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5"/>
  <workbookPr/>
  <mc:AlternateContent xmlns:mc="http://schemas.openxmlformats.org/markup-compatibility/2006">
    <mc:Choice Requires="x15">
      <x15ac:absPath xmlns:x15ac="http://schemas.microsoft.com/office/spreadsheetml/2010/11/ac" url="H:\My Documents\Current work\"/>
    </mc:Choice>
  </mc:AlternateContent>
  <xr:revisionPtr revIDLastSave="0" documentId="11_576CCD749518F83F0A030C6D339B5846C15B1505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Cover" sheetId="11" r:id="rId1"/>
    <sheet name="DORC proposal" sheetId="1" r:id="rId2"/>
    <sheet name="ICB calcs - per asset calc" sheetId="2" r:id="rId3"/>
    <sheet name="kms replaced" sheetId="8" r:id="rId4"/>
    <sheet name="Inflation assumptions" sheetId="6" r:id="rId5"/>
    <sheet name="Results" sheetId="7" r:id="rId6"/>
    <sheet name="Figures for report 1" sheetId="9" r:id="rId7"/>
    <sheet name="Figures for report 2" sheetId="10" r:id="rId8"/>
  </sheets>
  <externalReferences>
    <externalReference r:id="rId9"/>
    <externalReference r:id="rId10"/>
    <externalReference r:id="rId11"/>
  </externalReferences>
  <calcPr calcId="191028" calcCompleted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18" i="10" l="1"/>
  <c r="AL18" i="10"/>
  <c r="BC37" i="10" l="1" a="1"/>
  <c r="BC37" i="10" s="1"/>
  <c r="BC34" i="10" a="1"/>
  <c r="BC34" i="10" s="1"/>
  <c r="BC28" i="10" a="1"/>
  <c r="BC28" i="10" s="1"/>
  <c r="BC25" i="10" a="1"/>
  <c r="BC25" i="10" s="1"/>
  <c r="BC24" i="10" a="1"/>
  <c r="BC24" i="10" s="1"/>
  <c r="BC23" i="10" a="1"/>
  <c r="BC23" i="10" s="1"/>
  <c r="BD17" i="10"/>
  <c r="V8" i="10"/>
  <c r="V7" i="10"/>
  <c r="V5" i="10"/>
  <c r="V6" i="10"/>
  <c r="V4" i="10"/>
  <c r="F8" i="10"/>
  <c r="F9" i="10"/>
  <c r="F7" i="10"/>
  <c r="BD37" i="10" l="1" a="1"/>
  <c r="BD37" i="10" s="1"/>
  <c r="BD34" i="10" a="1"/>
  <c r="BD34" i="10" s="1"/>
  <c r="BD28" i="10" a="1"/>
  <c r="BD28" i="10" s="1"/>
  <c r="BD25" i="10" a="1"/>
  <c r="BD25" i="10" s="1"/>
  <c r="BD24" i="10" a="1"/>
  <c r="BD24" i="10" s="1"/>
  <c r="BD23" i="10" a="1"/>
  <c r="BD23" i="10" s="1"/>
  <c r="BE17" i="10"/>
  <c r="BE37" i="10" l="1" a="1"/>
  <c r="BE37" i="10" s="1"/>
  <c r="BE34" i="10" a="1"/>
  <c r="BE34" i="10" s="1"/>
  <c r="BE28" i="10" a="1"/>
  <c r="BE28" i="10" s="1"/>
  <c r="BE25" i="10" a="1"/>
  <c r="BE25" i="10" s="1"/>
  <c r="BE24" i="10" a="1"/>
  <c r="BE24" i="10" s="1"/>
  <c r="BE23" i="10" a="1"/>
  <c r="BE23" i="10" s="1"/>
  <c r="S37" i="2"/>
  <c r="T37" i="2" s="1"/>
  <c r="U37" i="2" s="1"/>
  <c r="V37" i="2" s="1"/>
  <c r="W37" i="2" s="1"/>
  <c r="X37" i="2" s="1"/>
  <c r="Y37" i="2" s="1"/>
  <c r="Z37" i="2" s="1"/>
  <c r="AA37" i="2" s="1"/>
  <c r="AB37" i="2" s="1"/>
  <c r="AC37" i="2" s="1"/>
  <c r="AD37" i="2" s="1"/>
  <c r="AE37" i="2" s="1"/>
  <c r="AF37" i="2" s="1"/>
  <c r="AG37" i="2" s="1"/>
  <c r="AH37" i="2" s="1"/>
  <c r="AI37" i="2" s="1"/>
  <c r="AJ37" i="2" s="1"/>
  <c r="AK37" i="2" s="1"/>
  <c r="AL37" i="2" s="1"/>
  <c r="AM37" i="2" s="1"/>
  <c r="AN37" i="2" s="1"/>
  <c r="G29" i="8" l="1"/>
  <c r="I29" i="8" s="1"/>
  <c r="G30" i="2"/>
  <c r="G29" i="2"/>
  <c r="G24" i="2"/>
  <c r="X22" i="10" s="1"/>
  <c r="G23" i="2"/>
  <c r="X21" i="10" s="1"/>
  <c r="F24" i="2"/>
  <c r="W22" i="10" s="1"/>
  <c r="F23" i="2"/>
  <c r="W21" i="10" s="1"/>
  <c r="P10" i="6"/>
  <c r="O10" i="6"/>
  <c r="N10" i="6"/>
  <c r="M10" i="6"/>
  <c r="L10" i="6"/>
  <c r="K10" i="6"/>
  <c r="X33" i="10" l="1"/>
  <c r="X34" i="10" s="1"/>
  <c r="F29" i="2"/>
  <c r="H29" i="2" l="1"/>
  <c r="I29" i="2" l="1"/>
  <c r="F12" i="2"/>
  <c r="F11" i="2"/>
  <c r="BB39" i="10"/>
  <c r="G33" i="10" l="1"/>
  <c r="G32" i="10"/>
  <c r="AA35" i="10"/>
  <c r="U33" i="10"/>
  <c r="BA52" i="10"/>
  <c r="BA39" i="10"/>
  <c r="BA38" i="10"/>
  <c r="BA21" i="10"/>
  <c r="AE41" i="10"/>
  <c r="BA41" i="10" s="1"/>
  <c r="AE42" i="10"/>
  <c r="BA42" i="10" s="1"/>
  <c r="AE43" i="10"/>
  <c r="BA43" i="10" s="1"/>
  <c r="AE44" i="10"/>
  <c r="BA44" i="10" s="1"/>
  <c r="AE45" i="10"/>
  <c r="BA45" i="10" s="1"/>
  <c r="AE46" i="10"/>
  <c r="BA46" i="10" s="1"/>
  <c r="AE47" i="10"/>
  <c r="BA47" i="10" s="1"/>
  <c r="AE48" i="10"/>
  <c r="BA48" i="10" s="1"/>
  <c r="AE49" i="10"/>
  <c r="BA49" i="10" s="1"/>
  <c r="AE50" i="10"/>
  <c r="BA50" i="10" s="1"/>
  <c r="AE51" i="10"/>
  <c r="BA51" i="10" s="1"/>
  <c r="AE40" i="10"/>
  <c r="BA40" i="10" s="1"/>
  <c r="AE23" i="10"/>
  <c r="BA23" i="10" s="1"/>
  <c r="AE24" i="10"/>
  <c r="BA24" i="10" s="1"/>
  <c r="AE25" i="10"/>
  <c r="BA25" i="10" s="1"/>
  <c r="AE26" i="10"/>
  <c r="BA26" i="10" s="1"/>
  <c r="AE27" i="10"/>
  <c r="BA27" i="10" s="1"/>
  <c r="AE28" i="10"/>
  <c r="BA28" i="10" s="1"/>
  <c r="AE29" i="10"/>
  <c r="BA29" i="10" s="1"/>
  <c r="AE30" i="10"/>
  <c r="BA30" i="10" s="1"/>
  <c r="AE31" i="10"/>
  <c r="BA31" i="10" s="1"/>
  <c r="AE32" i="10"/>
  <c r="BA32" i="10" s="1"/>
  <c r="AE33" i="10"/>
  <c r="BA33" i="10" s="1"/>
  <c r="AE34" i="10"/>
  <c r="BA34" i="10" s="1"/>
  <c r="AE35" i="10"/>
  <c r="BA35" i="10" s="1"/>
  <c r="AE36" i="10"/>
  <c r="BA36" i="10" s="1"/>
  <c r="AE37" i="10"/>
  <c r="BA37" i="10" s="1"/>
  <c r="AE22" i="10"/>
  <c r="BA22" i="10" s="1"/>
  <c r="H66" i="2"/>
  <c r="AF47" i="10" s="1"/>
  <c r="H70" i="2"/>
  <c r="AF51" i="10" s="1"/>
  <c r="AD49" i="10"/>
  <c r="AD50" i="10"/>
  <c r="AD51" i="10"/>
  <c r="AD40" i="10"/>
  <c r="AD41" i="10"/>
  <c r="AD42" i="10"/>
  <c r="AD43" i="10"/>
  <c r="AD44" i="10"/>
  <c r="AD45" i="10"/>
  <c r="AD46" i="10"/>
  <c r="AD47" i="10"/>
  <c r="AD48" i="10"/>
  <c r="AD23" i="10"/>
  <c r="AD24" i="10"/>
  <c r="AD25" i="10"/>
  <c r="AD26" i="10"/>
  <c r="AD27" i="10"/>
  <c r="AD28" i="10"/>
  <c r="AD29" i="10"/>
  <c r="AD30" i="10"/>
  <c r="AD31" i="10"/>
  <c r="AD32" i="10"/>
  <c r="AD33" i="10"/>
  <c r="AD34" i="10"/>
  <c r="AD35" i="10"/>
  <c r="AD36" i="10"/>
  <c r="AD37" i="10"/>
  <c r="AD22" i="10"/>
  <c r="G34" i="10" l="1"/>
  <c r="T34" i="10" l="1"/>
  <c r="K10" i="10" a="1"/>
  <c r="K10" i="10" s="1"/>
  <c r="N4" i="10"/>
  <c r="Q4" i="10" s="1"/>
  <c r="R4" i="10" s="1"/>
  <c r="S4" i="10" s="1"/>
  <c r="L4" i="10"/>
  <c r="M4" i="10" s="1"/>
  <c r="M10" i="10" s="1" a="1"/>
  <c r="M10" i="10" s="1"/>
  <c r="E13" i="10"/>
  <c r="E14" i="10" s="1"/>
  <c r="E15" i="10" s="1"/>
  <c r="B11" i="9"/>
  <c r="B10" i="9"/>
  <c r="B9" i="9"/>
  <c r="B8" i="9"/>
  <c r="B7" i="9"/>
  <c r="B6" i="9"/>
  <c r="I34" i="8"/>
  <c r="Q18" i="10" s="1"/>
  <c r="G34" i="8"/>
  <c r="N18" i="10" s="1"/>
  <c r="E34" i="8"/>
  <c r="K18" i="10" s="1"/>
  <c r="I36" i="8" a="1"/>
  <c r="I36" i="8" s="1"/>
  <c r="R8" i="10" s="1"/>
  <c r="I35" i="8" a="1"/>
  <c r="I35" i="8" s="1"/>
  <c r="R7" i="10" s="1"/>
  <c r="G36" i="8" a="1"/>
  <c r="G36" i="8" s="1"/>
  <c r="O8" i="10" s="1"/>
  <c r="G35" i="8" a="1"/>
  <c r="G35" i="8" s="1"/>
  <c r="O7" i="10" s="1"/>
  <c r="E36" i="8" a="1"/>
  <c r="E36" i="8" s="1"/>
  <c r="L8" i="10" s="1"/>
  <c r="E35" i="8" a="1"/>
  <c r="E35" i="8" s="1"/>
  <c r="L7" i="10" s="1"/>
  <c r="I33" i="8" a="1"/>
  <c r="I33" i="8" s="1"/>
  <c r="Q9" i="10" s="1"/>
  <c r="I32" i="8" a="1"/>
  <c r="I32" i="8" s="1"/>
  <c r="Q8" i="10" s="1"/>
  <c r="I31" i="8" a="1"/>
  <c r="I31" i="8" s="1"/>
  <c r="Q7" i="10" s="1"/>
  <c r="G33" i="8" a="1"/>
  <c r="G33" i="8" s="1"/>
  <c r="N9" i="10" s="1"/>
  <c r="G32" i="8" a="1"/>
  <c r="G32" i="8" s="1"/>
  <c r="N8" i="10" s="1"/>
  <c r="G31" i="8" a="1"/>
  <c r="G31" i="8" s="1"/>
  <c r="N7" i="10" s="1"/>
  <c r="E33" i="8" a="1"/>
  <c r="E33" i="8" s="1"/>
  <c r="K9" i="10" s="1"/>
  <c r="E32" i="8" a="1"/>
  <c r="E32" i="8" s="1"/>
  <c r="K8" i="10" s="1"/>
  <c r="E31" i="8" a="1"/>
  <c r="E31" i="8" s="1"/>
  <c r="K7" i="10" s="1"/>
  <c r="G10" i="10"/>
  <c r="G11" i="10"/>
  <c r="G12" i="10"/>
  <c r="G13" i="10"/>
  <c r="Q10" i="10" l="1" a="1"/>
  <c r="Q10" i="10" s="1"/>
  <c r="T35" i="10"/>
  <c r="U34" i="10"/>
  <c r="S11" i="10" a="1"/>
  <c r="S11" i="10" s="1"/>
  <c r="L10" i="10" a="1"/>
  <c r="L10" i="10" s="1"/>
  <c r="K11" i="10" a="1"/>
  <c r="K11" i="10" s="1"/>
  <c r="K14" i="10" s="1"/>
  <c r="K19" i="10" s="1"/>
  <c r="R10" i="10" a="1"/>
  <c r="R10" i="10" s="1"/>
  <c r="L11" i="10" a="1"/>
  <c r="L11" i="10" s="1"/>
  <c r="S10" i="10" a="1"/>
  <c r="S10" i="10" s="1"/>
  <c r="N10" i="10" a="1"/>
  <c r="N10" i="10" s="1"/>
  <c r="R11" i="10" a="1"/>
  <c r="R11" i="10" s="1"/>
  <c r="M11" i="10" a="1"/>
  <c r="M11" i="10" s="1"/>
  <c r="Q11" i="10" a="1"/>
  <c r="Q11" i="10" s="1"/>
  <c r="N11" i="10" a="1"/>
  <c r="N11" i="10" s="1"/>
  <c r="O4" i="10"/>
  <c r="Q14" i="10" l="1"/>
  <c r="Q19" i="10" s="1"/>
  <c r="U35" i="10"/>
  <c r="T36" i="10"/>
  <c r="U36" i="10" s="1"/>
  <c r="P4" i="10"/>
  <c r="O10" i="10" a="1"/>
  <c r="O10" i="10" s="1"/>
  <c r="O11" i="10" a="1"/>
  <c r="O11" i="10" s="1"/>
  <c r="N14" i="10"/>
  <c r="N19" i="10" s="1"/>
  <c r="P10" i="10" l="1" a="1"/>
  <c r="P10" i="10" s="1"/>
  <c r="P11" i="10" a="1"/>
  <c r="P11" i="10" s="1"/>
  <c r="C11" i="9" l="1"/>
  <c r="C7" i="9"/>
  <c r="C8" i="9"/>
  <c r="C9" i="9"/>
  <c r="C10" i="9"/>
  <c r="C6" i="9"/>
  <c r="R7" i="7" l="1"/>
  <c r="Q32" i="8"/>
  <c r="Q33" i="8" l="1"/>
  <c r="R8" i="7"/>
  <c r="C32" i="8"/>
  <c r="C33" i="8"/>
  <c r="C34" i="8"/>
  <c r="C35" i="8"/>
  <c r="C36" i="8"/>
  <c r="Q34" i="8" l="1"/>
  <c r="R9" i="7"/>
  <c r="C31" i="8"/>
  <c r="Q35" i="8" l="1"/>
  <c r="R10" i="7"/>
  <c r="D26" i="8"/>
  <c r="F10" i="8"/>
  <c r="G10" i="8"/>
  <c r="H10" i="8" s="1"/>
  <c r="F11" i="8"/>
  <c r="G11" i="8"/>
  <c r="H11" i="8" s="1"/>
  <c r="F12" i="8"/>
  <c r="G12" i="8"/>
  <c r="H12" i="8" s="1"/>
  <c r="F13" i="8"/>
  <c r="G13" i="8"/>
  <c r="H13" i="8" s="1"/>
  <c r="F14" i="8"/>
  <c r="G14" i="8"/>
  <c r="H14" i="8" s="1"/>
  <c r="F15" i="8"/>
  <c r="G15" i="8"/>
  <c r="H15" i="8" s="1"/>
  <c r="F16" i="8"/>
  <c r="G16" i="8"/>
  <c r="H16" i="8" s="1"/>
  <c r="G9" i="8"/>
  <c r="H9" i="8" s="1"/>
  <c r="F9" i="8"/>
  <c r="I17" i="6"/>
  <c r="J17" i="6" s="1"/>
  <c r="K17" i="6" s="1"/>
  <c r="L17" i="6" s="1"/>
  <c r="M17" i="6" s="1"/>
  <c r="N17" i="6" s="1"/>
  <c r="O17" i="6" s="1"/>
  <c r="P17" i="6" s="1"/>
  <c r="Q17" i="6" s="1"/>
  <c r="R17" i="6" s="1"/>
  <c r="G8" i="6"/>
  <c r="H8" i="6" s="1"/>
  <c r="I8" i="6" s="1"/>
  <c r="J8" i="6" s="1"/>
  <c r="K8" i="6" s="1"/>
  <c r="L8" i="6" s="1"/>
  <c r="M8" i="6" s="1"/>
  <c r="N8" i="6" s="1"/>
  <c r="O8" i="6" s="1"/>
  <c r="P8" i="6" s="1"/>
  <c r="E6" i="6"/>
  <c r="G19" i="6" s="1"/>
  <c r="E4" i="6"/>
  <c r="E3" i="6"/>
  <c r="E24" i="8" l="1"/>
  <c r="F24" i="8" s="1"/>
  <c r="E25" i="8"/>
  <c r="F25" i="8" s="1"/>
  <c r="E23" i="8"/>
  <c r="F23" i="8" s="1"/>
  <c r="Q36" i="8"/>
  <c r="R11" i="7"/>
  <c r="G42" i="8"/>
  <c r="O18" i="10" s="1"/>
  <c r="F26" i="8"/>
  <c r="I42" i="8"/>
  <c r="R18" i="10" s="1"/>
  <c r="F18" i="6"/>
  <c r="G18" i="6" s="1"/>
  <c r="Q37" i="8" l="1"/>
  <c r="Q38" i="8" s="1"/>
  <c r="Q39" i="8" s="1"/>
  <c r="Q40" i="8" s="1"/>
  <c r="Q41" i="8" s="1"/>
  <c r="Q42" i="8" s="1"/>
  <c r="R12" i="7"/>
  <c r="S12" i="10"/>
  <c r="S14" i="10" s="1"/>
  <c r="P12" i="10"/>
  <c r="P14" i="10" s="1"/>
  <c r="M12" i="10"/>
  <c r="M14" i="10" s="1"/>
  <c r="R12" i="10"/>
  <c r="R14" i="10" s="1"/>
  <c r="R19" i="10" s="1"/>
  <c r="O12" i="10"/>
  <c r="O14" i="10" s="1"/>
  <c r="O19" i="10" s="1"/>
  <c r="L12" i="10"/>
  <c r="L14" i="10" s="1"/>
  <c r="E42" i="8"/>
  <c r="L18" i="10" s="1"/>
  <c r="L19" i="10" s="1"/>
  <c r="I43" i="8"/>
  <c r="G43" i="8"/>
  <c r="E43" i="8"/>
  <c r="G37" i="8"/>
  <c r="I37" i="8"/>
  <c r="E37" i="8"/>
  <c r="S58" i="2"/>
  <c r="T58" i="2" s="1"/>
  <c r="U58" i="2" s="1"/>
  <c r="V58" i="2" s="1"/>
  <c r="W58" i="2" s="1"/>
  <c r="X58" i="2" s="1"/>
  <c r="Y58" i="2" s="1"/>
  <c r="Z58" i="2" s="1"/>
  <c r="AA58" i="2" s="1"/>
  <c r="AB58" i="2" s="1"/>
  <c r="AC58" i="2" s="1"/>
  <c r="AD58" i="2" s="1"/>
  <c r="AE58" i="2" s="1"/>
  <c r="AF58" i="2" s="1"/>
  <c r="AG58" i="2" s="1"/>
  <c r="AH58" i="2" s="1"/>
  <c r="AI58" i="2" s="1"/>
  <c r="AJ58" i="2" s="1"/>
  <c r="AK58" i="2" s="1"/>
  <c r="AL58" i="2" s="1"/>
  <c r="AM58" i="2" s="1"/>
  <c r="AN58" i="2" s="1"/>
  <c r="I44" i="8" l="1"/>
  <c r="S18" i="10"/>
  <c r="S19" i="10"/>
  <c r="Q43" i="8"/>
  <c r="R30" i="7"/>
  <c r="E44" i="8"/>
  <c r="M18" i="10"/>
  <c r="M19" i="10" s="1"/>
  <c r="G44" i="8"/>
  <c r="P18" i="10"/>
  <c r="P19" i="10" s="1"/>
  <c r="K9" i="6"/>
  <c r="J9" i="6"/>
  <c r="I9" i="6"/>
  <c r="H9" i="6"/>
  <c r="G9" i="6"/>
  <c r="F9" i="6"/>
  <c r="F15" i="6"/>
  <c r="F14" i="6"/>
  <c r="F13" i="6"/>
  <c r="F12" i="6"/>
  <c r="Q44" i="8" l="1"/>
  <c r="R31" i="7"/>
  <c r="W23" i="10"/>
  <c r="X35" i="10"/>
  <c r="H18" i="6"/>
  <c r="I18" i="6" s="1"/>
  <c r="J18" i="6" s="1"/>
  <c r="K18" i="6" s="1"/>
  <c r="L18" i="6" s="1"/>
  <c r="M18" i="6" s="1"/>
  <c r="N18" i="6" s="1"/>
  <c r="O18" i="6" s="1"/>
  <c r="P18" i="6" s="1"/>
  <c r="Q18" i="6" s="1"/>
  <c r="R18" i="6" s="1"/>
  <c r="H19" i="6"/>
  <c r="I19" i="6" s="1"/>
  <c r="J19" i="6" s="1"/>
  <c r="K19" i="6" s="1"/>
  <c r="L19" i="6" s="1"/>
  <c r="M19" i="6" s="1"/>
  <c r="N19" i="6" l="1"/>
  <c r="O19" i="6" s="1"/>
  <c r="P19" i="6" s="1"/>
  <c r="Q19" i="6" s="1"/>
  <c r="R19" i="6" s="1"/>
  <c r="X40" i="10"/>
  <c r="Y36" i="10" l="1"/>
  <c r="AA36" i="10" s="1"/>
  <c r="J29" i="2"/>
  <c r="V19" i="6"/>
  <c r="X36" i="10"/>
  <c r="X41" i="10" l="1"/>
  <c r="L62" i="2" l="1"/>
  <c r="L61" i="2"/>
  <c r="L60" i="2"/>
  <c r="L59" i="2"/>
  <c r="L66" i="2"/>
  <c r="L65" i="2"/>
  <c r="L64" i="2"/>
  <c r="L63" i="2"/>
  <c r="L70" i="2"/>
  <c r="L69" i="2"/>
  <c r="L68" i="2"/>
  <c r="L67" i="2"/>
  <c r="G70" i="2"/>
  <c r="AI51" i="10" s="1"/>
  <c r="K70" i="2"/>
  <c r="F70" i="2"/>
  <c r="AH51" i="10" s="1"/>
  <c r="G66" i="2"/>
  <c r="AI47" i="10" s="1"/>
  <c r="K66" i="2"/>
  <c r="F66" i="2"/>
  <c r="AH47" i="10" s="1"/>
  <c r="H540" i="1"/>
  <c r="E539" i="1"/>
  <c r="H515" i="1"/>
  <c r="H505" i="1"/>
  <c r="H507" i="1" s="1"/>
  <c r="H504" i="1"/>
  <c r="D504" i="1" s="1"/>
  <c r="E503" i="1"/>
  <c r="D503" i="1"/>
  <c r="C503" i="1"/>
  <c r="H479" i="1"/>
  <c r="H491" i="1" s="1"/>
  <c r="C491" i="1" s="1"/>
  <c r="H469" i="1"/>
  <c r="C469" i="1" s="1"/>
  <c r="H468" i="1"/>
  <c r="H470" i="1" s="1"/>
  <c r="E467" i="1"/>
  <c r="D467" i="1"/>
  <c r="C467" i="1"/>
  <c r="H443" i="1"/>
  <c r="D443" i="1" s="1"/>
  <c r="N122" i="1"/>
  <c r="N123" i="1" s="1"/>
  <c r="N124" i="1" s="1"/>
  <c r="N125" i="1" s="1"/>
  <c r="N126" i="1" s="1"/>
  <c r="N127" i="1" s="1"/>
  <c r="N128" i="1" s="1"/>
  <c r="N129" i="1" s="1"/>
  <c r="N130" i="1" s="1"/>
  <c r="N131" i="1" s="1"/>
  <c r="N132" i="1" s="1"/>
  <c r="N133" i="1" s="1"/>
  <c r="N134" i="1" s="1"/>
  <c r="N135" i="1" s="1"/>
  <c r="N136" i="1" s="1"/>
  <c r="N137" i="1" s="1"/>
  <c r="N138" i="1" s="1"/>
  <c r="N139" i="1" s="1"/>
  <c r="N140" i="1" s="1"/>
  <c r="N141" i="1" s="1"/>
  <c r="N142" i="1" s="1"/>
  <c r="N143" i="1" s="1"/>
  <c r="N144" i="1" s="1"/>
  <c r="N145" i="1" s="1"/>
  <c r="N146" i="1" s="1"/>
  <c r="N147" i="1" s="1"/>
  <c r="N148" i="1" s="1"/>
  <c r="N149" i="1" s="1"/>
  <c r="N150" i="1" s="1"/>
  <c r="N151" i="1" s="1"/>
  <c r="N152" i="1" s="1"/>
  <c r="N153" i="1" s="1"/>
  <c r="N154" i="1" s="1"/>
  <c r="N155" i="1" s="1"/>
  <c r="N156" i="1" s="1"/>
  <c r="N157" i="1" s="1"/>
  <c r="N158" i="1" s="1"/>
  <c r="N159" i="1" s="1"/>
  <c r="N160" i="1" s="1"/>
  <c r="N161" i="1" s="1"/>
  <c r="N162" i="1" s="1"/>
  <c r="N163" i="1" s="1"/>
  <c r="N164" i="1" s="1"/>
  <c r="N165" i="1" s="1"/>
  <c r="N166" i="1" s="1"/>
  <c r="N167" i="1" s="1"/>
  <c r="N168" i="1" s="1"/>
  <c r="N169" i="1" s="1"/>
  <c r="N170" i="1" s="1"/>
  <c r="N171" i="1" s="1"/>
  <c r="N172" i="1" s="1"/>
  <c r="N173" i="1" s="1"/>
  <c r="N174" i="1" s="1"/>
  <c r="N175" i="1" s="1"/>
  <c r="N176" i="1" s="1"/>
  <c r="N177" i="1" s="1"/>
  <c r="N178" i="1" s="1"/>
  <c r="N179" i="1" s="1"/>
  <c r="N180" i="1" s="1"/>
  <c r="N181" i="1" s="1"/>
  <c r="N182" i="1" s="1"/>
  <c r="N183" i="1" s="1"/>
  <c r="N184" i="1" s="1"/>
  <c r="N185" i="1" s="1"/>
  <c r="N186" i="1" s="1"/>
  <c r="N187" i="1" s="1"/>
  <c r="N188" i="1" s="1"/>
  <c r="N189" i="1" s="1"/>
  <c r="N190" i="1" s="1"/>
  <c r="N191" i="1" s="1"/>
  <c r="N192" i="1" s="1"/>
  <c r="N193" i="1" s="1"/>
  <c r="N194" i="1" s="1"/>
  <c r="N195" i="1" s="1"/>
  <c r="N196" i="1" s="1"/>
  <c r="N197" i="1" s="1"/>
  <c r="N198" i="1" s="1"/>
  <c r="N199" i="1" s="1"/>
  <c r="N200" i="1" s="1"/>
  <c r="N201" i="1" s="1"/>
  <c r="N202" i="1" s="1"/>
  <c r="N203" i="1" s="1"/>
  <c r="N204" i="1" s="1"/>
  <c r="N205" i="1" s="1"/>
  <c r="N206" i="1" s="1"/>
  <c r="N207" i="1" s="1"/>
  <c r="N208" i="1" s="1"/>
  <c r="N209" i="1" s="1"/>
  <c r="N210" i="1" s="1"/>
  <c r="N211" i="1" s="1"/>
  <c r="N212" i="1" s="1"/>
  <c r="N213" i="1" s="1"/>
  <c r="N214" i="1" s="1"/>
  <c r="N215" i="1" s="1"/>
  <c r="N216" i="1" s="1"/>
  <c r="N217" i="1" s="1"/>
  <c r="N218" i="1" s="1"/>
  <c r="N219" i="1" s="1"/>
  <c r="N220" i="1" s="1"/>
  <c r="N221" i="1" s="1"/>
  <c r="N222" i="1" s="1"/>
  <c r="N223" i="1" s="1"/>
  <c r="N224" i="1" s="1"/>
  <c r="N225" i="1" s="1"/>
  <c r="N226" i="1" s="1"/>
  <c r="N227" i="1" s="1"/>
  <c r="N228" i="1" s="1"/>
  <c r="N229" i="1" s="1"/>
  <c r="N230" i="1" s="1"/>
  <c r="N231" i="1" s="1"/>
  <c r="N232" i="1" s="1"/>
  <c r="N233" i="1" s="1"/>
  <c r="N234" i="1" s="1"/>
  <c r="N235" i="1" s="1"/>
  <c r="N236" i="1" s="1"/>
  <c r="N237" i="1" s="1"/>
  <c r="N238" i="1" s="1"/>
  <c r="N239" i="1" s="1"/>
  <c r="N240" i="1" s="1"/>
  <c r="N241" i="1" s="1"/>
  <c r="N242" i="1" s="1"/>
  <c r="N243" i="1" s="1"/>
  <c r="N244" i="1" s="1"/>
  <c r="N245" i="1" s="1"/>
  <c r="N246" i="1" s="1"/>
  <c r="N247" i="1" s="1"/>
  <c r="N248" i="1" s="1"/>
  <c r="N249" i="1" s="1"/>
  <c r="N250" i="1" s="1"/>
  <c r="N251" i="1" s="1"/>
  <c r="N252" i="1" s="1"/>
  <c r="N253" i="1" s="1"/>
  <c r="N254" i="1" s="1"/>
  <c r="N255" i="1" s="1"/>
  <c r="N256" i="1" s="1"/>
  <c r="N257" i="1" s="1"/>
  <c r="N258" i="1" s="1"/>
  <c r="N259" i="1" s="1"/>
  <c r="N260" i="1" s="1"/>
  <c r="N261" i="1" s="1"/>
  <c r="N262" i="1" s="1"/>
  <c r="N263" i="1" s="1"/>
  <c r="N264" i="1" s="1"/>
  <c r="N265" i="1" s="1"/>
  <c r="N266" i="1" s="1"/>
  <c r="N267" i="1" s="1"/>
  <c r="N268" i="1" s="1"/>
  <c r="N269" i="1" s="1"/>
  <c r="N270" i="1" s="1"/>
  <c r="N271" i="1" s="1"/>
  <c r="N272" i="1" s="1"/>
  <c r="N273" i="1" s="1"/>
  <c r="N274" i="1" s="1"/>
  <c r="N275" i="1" s="1"/>
  <c r="N276" i="1" s="1"/>
  <c r="N277" i="1" s="1"/>
  <c r="N278" i="1" s="1"/>
  <c r="N279" i="1" s="1"/>
  <c r="N280" i="1" s="1"/>
  <c r="N281" i="1" s="1"/>
  <c r="N282" i="1" s="1"/>
  <c r="N283" i="1" s="1"/>
  <c r="N284" i="1" s="1"/>
  <c r="N285" i="1" s="1"/>
  <c r="N286" i="1" s="1"/>
  <c r="N287" i="1" s="1"/>
  <c r="N288" i="1" s="1"/>
  <c r="N289" i="1" s="1"/>
  <c r="N290" i="1" s="1"/>
  <c r="N291" i="1" s="1"/>
  <c r="N292" i="1" s="1"/>
  <c r="N293" i="1" s="1"/>
  <c r="N294" i="1" s="1"/>
  <c r="N295" i="1" s="1"/>
  <c r="N296" i="1" s="1"/>
  <c r="N297" i="1" s="1"/>
  <c r="N298" i="1" s="1"/>
  <c r="N299" i="1" s="1"/>
  <c r="N300" i="1" s="1"/>
  <c r="N301" i="1" s="1"/>
  <c r="N302" i="1" s="1"/>
  <c r="N303" i="1" s="1"/>
  <c r="N304" i="1" s="1"/>
  <c r="N305" i="1" s="1"/>
  <c r="N306" i="1" s="1"/>
  <c r="N307" i="1" s="1"/>
  <c r="N308" i="1" s="1"/>
  <c r="N309" i="1" s="1"/>
  <c r="N310" i="1" s="1"/>
  <c r="N311" i="1" s="1"/>
  <c r="N312" i="1" s="1"/>
  <c r="N313" i="1" s="1"/>
  <c r="N314" i="1" s="1"/>
  <c r="N315" i="1" s="1"/>
  <c r="N316" i="1" s="1"/>
  <c r="N317" i="1" s="1"/>
  <c r="N318" i="1" s="1"/>
  <c r="N319" i="1" s="1"/>
  <c r="N320" i="1" s="1"/>
  <c r="N321" i="1" s="1"/>
  <c r="H433" i="1"/>
  <c r="E431" i="1"/>
  <c r="D431" i="1"/>
  <c r="C431" i="1"/>
  <c r="H432" i="1"/>
  <c r="C432" i="1" s="1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53" i="2"/>
  <c r="L52" i="2"/>
  <c r="C539" i="1"/>
  <c r="D539" i="1"/>
  <c r="C515" i="1"/>
  <c r="C505" i="1"/>
  <c r="E505" i="1"/>
  <c r="E479" i="1"/>
  <c r="E443" i="1"/>
  <c r="C443" i="1"/>
  <c r="L14" i="1"/>
  <c r="L15" i="1" s="1"/>
  <c r="L16" i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I3" i="1"/>
  <c r="E15" i="1"/>
  <c r="I15" i="1"/>
  <c r="J15" i="1" s="1"/>
  <c r="E16" i="1"/>
  <c r="E17" i="1" s="1"/>
  <c r="I16" i="1"/>
  <c r="J16" i="1" s="1"/>
  <c r="B17" i="1"/>
  <c r="C17" i="1"/>
  <c r="F38" i="2"/>
  <c r="AH22" i="10" s="1"/>
  <c r="D17" i="1"/>
  <c r="F17" i="1"/>
  <c r="G38" i="2" s="1"/>
  <c r="AI22" i="10" s="1"/>
  <c r="G17" i="1"/>
  <c r="K38" i="2" s="1"/>
  <c r="H17" i="1"/>
  <c r="E20" i="1"/>
  <c r="I20" i="1"/>
  <c r="J20" i="1" s="1"/>
  <c r="E21" i="1"/>
  <c r="E22" i="1" s="1"/>
  <c r="I21" i="1"/>
  <c r="J21" i="1" s="1"/>
  <c r="B22" i="1"/>
  <c r="C22" i="1"/>
  <c r="G82" i="2" s="1"/>
  <c r="D22" i="1"/>
  <c r="F22" i="1"/>
  <c r="G39" i="2" s="1"/>
  <c r="AI23" i="10" s="1"/>
  <c r="G22" i="1"/>
  <c r="K39" i="2" s="1"/>
  <c r="H22" i="1"/>
  <c r="E25" i="1"/>
  <c r="I25" i="1"/>
  <c r="E26" i="1"/>
  <c r="I26" i="1"/>
  <c r="B27" i="1"/>
  <c r="C27" i="1"/>
  <c r="D27" i="1"/>
  <c r="F27" i="1"/>
  <c r="G40" i="2" s="1"/>
  <c r="AI24" i="10" s="1"/>
  <c r="G27" i="1"/>
  <c r="K40" i="2"/>
  <c r="H27" i="1"/>
  <c r="E30" i="1"/>
  <c r="I30" i="1"/>
  <c r="J30" i="1" s="1"/>
  <c r="E31" i="1"/>
  <c r="I31" i="1"/>
  <c r="J31" i="1" s="1"/>
  <c r="B32" i="1"/>
  <c r="C32" i="1"/>
  <c r="D32" i="1"/>
  <c r="F32" i="1"/>
  <c r="G41" i="2" s="1"/>
  <c r="AI25" i="10" s="1"/>
  <c r="G32" i="1"/>
  <c r="K41" i="2" s="1"/>
  <c r="H32" i="1"/>
  <c r="E38" i="1"/>
  <c r="J38" i="1"/>
  <c r="E39" i="1"/>
  <c r="J39" i="1"/>
  <c r="B40" i="1"/>
  <c r="C40" i="1"/>
  <c r="D40" i="1"/>
  <c r="F40" i="1"/>
  <c r="G42" i="2" s="1"/>
  <c r="AI26" i="10" s="1"/>
  <c r="G40" i="1"/>
  <c r="K42" i="2" s="1"/>
  <c r="H40" i="1"/>
  <c r="I40" i="1"/>
  <c r="E43" i="1"/>
  <c r="J43" i="1"/>
  <c r="E44" i="1"/>
  <c r="E45" i="1" s="1"/>
  <c r="J44" i="1"/>
  <c r="B45" i="1"/>
  <c r="C45" i="1"/>
  <c r="D45" i="1"/>
  <c r="F45" i="1"/>
  <c r="G43" i="2" s="1"/>
  <c r="G45" i="1"/>
  <c r="K43" i="2" s="1"/>
  <c r="H45" i="1"/>
  <c r="I45" i="1"/>
  <c r="E48" i="1"/>
  <c r="J48" i="1"/>
  <c r="E49" i="1"/>
  <c r="J49" i="1"/>
  <c r="B50" i="1"/>
  <c r="C50" i="1"/>
  <c r="D50" i="1"/>
  <c r="F50" i="1"/>
  <c r="G44" i="2"/>
  <c r="AI28" i="10" s="1"/>
  <c r="G50" i="1"/>
  <c r="K44" i="2" s="1"/>
  <c r="H50" i="1"/>
  <c r="I50" i="1"/>
  <c r="E56" i="1"/>
  <c r="I56" i="1"/>
  <c r="J56" i="1" s="1"/>
  <c r="E57" i="1"/>
  <c r="I57" i="1"/>
  <c r="J57" i="1" s="1"/>
  <c r="B58" i="1"/>
  <c r="C58" i="1"/>
  <c r="F45" i="2" s="1"/>
  <c r="AH29" i="10" s="1"/>
  <c r="D58" i="1"/>
  <c r="F58" i="1"/>
  <c r="G45" i="2" s="1"/>
  <c r="AI29" i="10" s="1"/>
  <c r="G58" i="1"/>
  <c r="K45" i="2" s="1"/>
  <c r="H58" i="1"/>
  <c r="E61" i="1"/>
  <c r="I61" i="1"/>
  <c r="J61" i="1" s="1"/>
  <c r="E62" i="1"/>
  <c r="I62" i="1"/>
  <c r="J62" i="1" s="1"/>
  <c r="B63" i="1"/>
  <c r="C63" i="1"/>
  <c r="F46" i="2" s="1"/>
  <c r="AH30" i="10" s="1"/>
  <c r="D63" i="1"/>
  <c r="F63" i="1"/>
  <c r="G46" i="2" s="1"/>
  <c r="AI30" i="10" s="1"/>
  <c r="G63" i="1"/>
  <c r="K46" i="2" s="1"/>
  <c r="H63" i="1"/>
  <c r="E66" i="1"/>
  <c r="I66" i="1"/>
  <c r="E67" i="1"/>
  <c r="E68" i="1" s="1"/>
  <c r="I67" i="1"/>
  <c r="B68" i="1"/>
  <c r="C68" i="1"/>
  <c r="F47" i="2" s="1"/>
  <c r="AH31" i="10" s="1"/>
  <c r="D68" i="1"/>
  <c r="F68" i="1"/>
  <c r="G47" i="2" s="1"/>
  <c r="G68" i="1"/>
  <c r="K47" i="2" s="1"/>
  <c r="H68" i="1"/>
  <c r="E74" i="1"/>
  <c r="H74" i="1"/>
  <c r="H76" i="1" s="1"/>
  <c r="J74" i="1"/>
  <c r="E75" i="1"/>
  <c r="J75" i="1"/>
  <c r="J76" i="1" s="1"/>
  <c r="H48" i="2" s="1"/>
  <c r="AF32" i="10" s="1"/>
  <c r="B76" i="1"/>
  <c r="C76" i="1"/>
  <c r="D76" i="1"/>
  <c r="F76" i="1"/>
  <c r="G48" i="2" s="1"/>
  <c r="AI32" i="10" s="1"/>
  <c r="G76" i="1"/>
  <c r="K48" i="2"/>
  <c r="I76" i="1"/>
  <c r="E79" i="1"/>
  <c r="H79" i="1"/>
  <c r="H81" i="1" s="1"/>
  <c r="J79" i="1"/>
  <c r="E80" i="1"/>
  <c r="J80" i="1"/>
  <c r="B81" i="1"/>
  <c r="C81" i="1"/>
  <c r="D81" i="1"/>
  <c r="F81" i="1"/>
  <c r="G49" i="2" s="1"/>
  <c r="AI33" i="10" s="1"/>
  <c r="G81" i="1"/>
  <c r="K49" i="2" s="1"/>
  <c r="I81" i="1"/>
  <c r="E84" i="1"/>
  <c r="H84" i="1"/>
  <c r="H86" i="1" s="1"/>
  <c r="J84" i="1"/>
  <c r="E85" i="1"/>
  <c r="J85" i="1"/>
  <c r="B86" i="1"/>
  <c r="C86" i="1"/>
  <c r="F50" i="2" s="1"/>
  <c r="AH34" i="10" s="1"/>
  <c r="D86" i="1"/>
  <c r="F86" i="1"/>
  <c r="G86" i="1"/>
  <c r="K50" i="2" s="1"/>
  <c r="I86" i="1"/>
  <c r="E92" i="1"/>
  <c r="H92" i="1"/>
  <c r="J92" i="1"/>
  <c r="E93" i="1"/>
  <c r="H93" i="1"/>
  <c r="J93" i="1"/>
  <c r="J94" i="1" s="1"/>
  <c r="B94" i="1"/>
  <c r="C94" i="1"/>
  <c r="F51" i="2" s="1"/>
  <c r="AH35" i="10" s="1"/>
  <c r="D94" i="1"/>
  <c r="F94" i="1"/>
  <c r="G94" i="1"/>
  <c r="K51" i="2" s="1"/>
  <c r="I94" i="1"/>
  <c r="E97" i="1"/>
  <c r="H97" i="1"/>
  <c r="J97" i="1"/>
  <c r="E98" i="1"/>
  <c r="H98" i="1"/>
  <c r="J98" i="1"/>
  <c r="B99" i="1"/>
  <c r="C99" i="1"/>
  <c r="F52" i="2" s="1"/>
  <c r="AH36" i="10" s="1"/>
  <c r="D99" i="1"/>
  <c r="F99" i="1"/>
  <c r="G52" i="2" s="1"/>
  <c r="G99" i="1"/>
  <c r="K52" i="2" s="1"/>
  <c r="I99" i="1"/>
  <c r="E102" i="1"/>
  <c r="E104" i="1" s="1"/>
  <c r="H102" i="1"/>
  <c r="H104" i="1" s="1"/>
  <c r="J102" i="1"/>
  <c r="J103" i="1"/>
  <c r="J104" i="1" s="1"/>
  <c r="H53" i="2" s="1"/>
  <c r="AF37" i="10" s="1"/>
  <c r="B104" i="1"/>
  <c r="C104" i="1"/>
  <c r="F53" i="2"/>
  <c r="AH37" i="10" s="1"/>
  <c r="D104" i="1"/>
  <c r="F104" i="1"/>
  <c r="G53" i="2" s="1"/>
  <c r="AI37" i="10" s="1"/>
  <c r="G104" i="1"/>
  <c r="K53" i="2" s="1"/>
  <c r="I104" i="1"/>
  <c r="I108" i="1"/>
  <c r="C111" i="1"/>
  <c r="C112" i="1"/>
  <c r="E121" i="1"/>
  <c r="F431" i="1" s="1"/>
  <c r="I121" i="1"/>
  <c r="J121" i="1"/>
  <c r="G431" i="1" s="1"/>
  <c r="D122" i="1"/>
  <c r="E122" i="1" s="1"/>
  <c r="F432" i="1" s="1"/>
  <c r="I122" i="1"/>
  <c r="D124" i="1"/>
  <c r="E124" i="1"/>
  <c r="F443" i="1" s="1"/>
  <c r="H124" i="1"/>
  <c r="D125" i="1"/>
  <c r="I125" i="1"/>
  <c r="D127" i="1"/>
  <c r="E127" i="1" s="1"/>
  <c r="I127" i="1"/>
  <c r="J127" i="1" s="1"/>
  <c r="D128" i="1"/>
  <c r="E128" i="1" s="1"/>
  <c r="H128" i="1"/>
  <c r="C129" i="1"/>
  <c r="G129" i="1" s="1"/>
  <c r="E133" i="1"/>
  <c r="I133" i="1"/>
  <c r="J133" i="1" s="1"/>
  <c r="D134" i="1"/>
  <c r="E134" i="1" s="1"/>
  <c r="I134" i="1"/>
  <c r="D136" i="1"/>
  <c r="E136" i="1" s="1"/>
  <c r="H136" i="1"/>
  <c r="D137" i="1"/>
  <c r="E137" i="1" s="1"/>
  <c r="I137" i="1"/>
  <c r="J137" i="1" s="1"/>
  <c r="D139" i="1"/>
  <c r="E139" i="1" s="1"/>
  <c r="I139" i="1"/>
  <c r="J139" i="1" s="1"/>
  <c r="D140" i="1"/>
  <c r="E140" i="1" s="1"/>
  <c r="H140" i="1"/>
  <c r="C141" i="1"/>
  <c r="F141" i="1" s="1"/>
  <c r="E145" i="1"/>
  <c r="I145" i="1"/>
  <c r="J145" i="1" s="1"/>
  <c r="D146" i="1"/>
  <c r="E146" i="1" s="1"/>
  <c r="I146" i="1"/>
  <c r="D148" i="1"/>
  <c r="J148" i="1" s="1"/>
  <c r="H148" i="1"/>
  <c r="D149" i="1"/>
  <c r="E149" i="1" s="1"/>
  <c r="I149" i="1"/>
  <c r="D151" i="1"/>
  <c r="E151" i="1" s="1"/>
  <c r="I151" i="1"/>
  <c r="D152" i="1"/>
  <c r="J152" i="1" s="1"/>
  <c r="H152" i="1"/>
  <c r="C153" i="1"/>
  <c r="G153" i="1" s="1"/>
  <c r="E157" i="1"/>
  <c r="I157" i="1"/>
  <c r="J157" i="1" s="1"/>
  <c r="D158" i="1"/>
  <c r="E158" i="1" s="1"/>
  <c r="I158" i="1"/>
  <c r="D160" i="1"/>
  <c r="J160" i="1" s="1"/>
  <c r="H160" i="1"/>
  <c r="D161" i="1"/>
  <c r="E161" i="1" s="1"/>
  <c r="I161" i="1"/>
  <c r="D163" i="1"/>
  <c r="E163" i="1" s="1"/>
  <c r="I163" i="1"/>
  <c r="D164" i="1"/>
  <c r="E164" i="1" s="1"/>
  <c r="H164" i="1"/>
  <c r="C165" i="1"/>
  <c r="E169" i="1"/>
  <c r="I169" i="1"/>
  <c r="J169" i="1" s="1"/>
  <c r="D170" i="1"/>
  <c r="E170" i="1" s="1"/>
  <c r="I170" i="1"/>
  <c r="J170" i="1" s="1"/>
  <c r="D172" i="1"/>
  <c r="J172" i="1" s="1"/>
  <c r="H172" i="1"/>
  <c r="D173" i="1"/>
  <c r="E173" i="1" s="1"/>
  <c r="I173" i="1"/>
  <c r="D175" i="1"/>
  <c r="E175" i="1" s="1"/>
  <c r="I175" i="1"/>
  <c r="J175" i="1" s="1"/>
  <c r="D176" i="1"/>
  <c r="J176" i="1" s="1"/>
  <c r="E176" i="1"/>
  <c r="H176" i="1"/>
  <c r="C177" i="1"/>
  <c r="E184" i="1"/>
  <c r="F467" i="1" s="1"/>
  <c r="I184" i="1"/>
  <c r="J184" i="1" s="1"/>
  <c r="G467" i="1" s="1"/>
  <c r="D185" i="1"/>
  <c r="E185" i="1"/>
  <c r="I185" i="1"/>
  <c r="J185" i="1" s="1"/>
  <c r="G468" i="1" s="1"/>
  <c r="D187" i="1"/>
  <c r="J187" i="1" s="1"/>
  <c r="H187" i="1"/>
  <c r="D188" i="1"/>
  <c r="E188" i="1" s="1"/>
  <c r="I188" i="1"/>
  <c r="D190" i="1"/>
  <c r="E190" i="1" s="1"/>
  <c r="I190" i="1"/>
  <c r="J190" i="1" s="1"/>
  <c r="D191" i="1"/>
  <c r="J191" i="1" s="1"/>
  <c r="H191" i="1"/>
  <c r="C192" i="1"/>
  <c r="E196" i="1"/>
  <c r="I196" i="1"/>
  <c r="J196" i="1" s="1"/>
  <c r="G469" i="1" s="1"/>
  <c r="D197" i="1"/>
  <c r="E197" i="1"/>
  <c r="I197" i="1"/>
  <c r="D199" i="1"/>
  <c r="E199" i="1" s="1"/>
  <c r="H199" i="1"/>
  <c r="D200" i="1"/>
  <c r="I200" i="1"/>
  <c r="J200" i="1" s="1"/>
  <c r="D202" i="1"/>
  <c r="E202" i="1" s="1"/>
  <c r="I202" i="1"/>
  <c r="D203" i="1"/>
  <c r="E203" i="1" s="1"/>
  <c r="H203" i="1"/>
  <c r="C204" i="1"/>
  <c r="F204" i="1" s="1"/>
  <c r="E208" i="1"/>
  <c r="I208" i="1"/>
  <c r="J208" i="1" s="1"/>
  <c r="D209" i="1"/>
  <c r="E209" i="1"/>
  <c r="I209" i="1"/>
  <c r="D211" i="1"/>
  <c r="E211" i="1" s="1"/>
  <c r="H211" i="1"/>
  <c r="D212" i="1"/>
  <c r="E212" i="1" s="1"/>
  <c r="I212" i="1"/>
  <c r="D214" i="1"/>
  <c r="E214" i="1" s="1"/>
  <c r="I214" i="1"/>
  <c r="D215" i="1"/>
  <c r="E215" i="1" s="1"/>
  <c r="H215" i="1"/>
  <c r="C216" i="1"/>
  <c r="G216" i="1" s="1"/>
  <c r="E220" i="1"/>
  <c r="I220" i="1"/>
  <c r="J220" i="1" s="1"/>
  <c r="D221" i="1"/>
  <c r="I221" i="1"/>
  <c r="D223" i="1"/>
  <c r="H223" i="1"/>
  <c r="D224" i="1"/>
  <c r="E224" i="1" s="1"/>
  <c r="I224" i="1"/>
  <c r="J224" i="1" s="1"/>
  <c r="D226" i="1"/>
  <c r="E226" i="1" s="1"/>
  <c r="I226" i="1"/>
  <c r="D227" i="1"/>
  <c r="H227" i="1"/>
  <c r="C228" i="1"/>
  <c r="F228" i="1" s="1"/>
  <c r="E232" i="1"/>
  <c r="I232" i="1"/>
  <c r="J232" i="1" s="1"/>
  <c r="D233" i="1"/>
  <c r="I233" i="1"/>
  <c r="J233" i="1" s="1"/>
  <c r="D235" i="1"/>
  <c r="J235" i="1"/>
  <c r="H235" i="1"/>
  <c r="D236" i="1"/>
  <c r="E236" i="1" s="1"/>
  <c r="I236" i="1"/>
  <c r="J236" i="1" s="1"/>
  <c r="D238" i="1"/>
  <c r="I238" i="1"/>
  <c r="D239" i="1"/>
  <c r="J239" i="1" s="1"/>
  <c r="H239" i="1"/>
  <c r="C240" i="1"/>
  <c r="F240" i="1" s="1"/>
  <c r="E247" i="1"/>
  <c r="F503" i="1"/>
  <c r="I247" i="1"/>
  <c r="J247" i="1" s="1"/>
  <c r="G503" i="1" s="1"/>
  <c r="D248" i="1"/>
  <c r="E248" i="1" s="1"/>
  <c r="I248" i="1"/>
  <c r="D250" i="1"/>
  <c r="J250" i="1" s="1"/>
  <c r="H250" i="1"/>
  <c r="D251" i="1"/>
  <c r="E251" i="1" s="1"/>
  <c r="I251" i="1"/>
  <c r="D253" i="1"/>
  <c r="E253" i="1" s="1"/>
  <c r="I253" i="1"/>
  <c r="J253" i="1" s="1"/>
  <c r="D254" i="1"/>
  <c r="J254" i="1" s="1"/>
  <c r="H254" i="1"/>
  <c r="C255" i="1"/>
  <c r="G255" i="1" s="1"/>
  <c r="F255" i="1"/>
  <c r="E259" i="1"/>
  <c r="F505" i="1"/>
  <c r="I259" i="1"/>
  <c r="J259" i="1" s="1"/>
  <c r="G505" i="1" s="1"/>
  <c r="D260" i="1"/>
  <c r="E260" i="1" s="1"/>
  <c r="I260" i="1"/>
  <c r="D262" i="1"/>
  <c r="E262" i="1" s="1"/>
  <c r="H262" i="1"/>
  <c r="D263" i="1"/>
  <c r="E263" i="1"/>
  <c r="I263" i="1"/>
  <c r="D265" i="1"/>
  <c r="E265" i="1" s="1"/>
  <c r="I265" i="1"/>
  <c r="J265" i="1" s="1"/>
  <c r="D266" i="1"/>
  <c r="E266" i="1" s="1"/>
  <c r="H266" i="1"/>
  <c r="C267" i="1"/>
  <c r="F267" i="1" s="1"/>
  <c r="E271" i="1"/>
  <c r="I271" i="1"/>
  <c r="J271" i="1" s="1"/>
  <c r="D272" i="1"/>
  <c r="E272" i="1" s="1"/>
  <c r="I272" i="1"/>
  <c r="D274" i="1"/>
  <c r="J274" i="1" s="1"/>
  <c r="H274" i="1"/>
  <c r="D275" i="1"/>
  <c r="E275" i="1" s="1"/>
  <c r="I275" i="1"/>
  <c r="D277" i="1"/>
  <c r="I277" i="1"/>
  <c r="D278" i="1"/>
  <c r="J278" i="1" s="1"/>
  <c r="H278" i="1"/>
  <c r="C279" i="1"/>
  <c r="G279" i="1" s="1"/>
  <c r="E283" i="1"/>
  <c r="I283" i="1"/>
  <c r="J283" i="1" s="1"/>
  <c r="D284" i="1"/>
  <c r="I284" i="1"/>
  <c r="D286" i="1"/>
  <c r="J286" i="1" s="1"/>
  <c r="H286" i="1"/>
  <c r="D287" i="1"/>
  <c r="E287" i="1" s="1"/>
  <c r="I287" i="1"/>
  <c r="D289" i="1"/>
  <c r="E289" i="1" s="1"/>
  <c r="I289" i="1"/>
  <c r="D290" i="1"/>
  <c r="J290" i="1" s="1"/>
  <c r="H290" i="1"/>
  <c r="C291" i="1"/>
  <c r="G291" i="1" s="1"/>
  <c r="E295" i="1"/>
  <c r="I295" i="1"/>
  <c r="J295" i="1" s="1"/>
  <c r="D296" i="1"/>
  <c r="I296" i="1"/>
  <c r="D298" i="1"/>
  <c r="E298" i="1" s="1"/>
  <c r="H298" i="1"/>
  <c r="D299" i="1"/>
  <c r="E299" i="1" s="1"/>
  <c r="I299" i="1"/>
  <c r="J299" i="1"/>
  <c r="D301" i="1"/>
  <c r="E301" i="1"/>
  <c r="I301" i="1"/>
  <c r="D302" i="1"/>
  <c r="E302" i="1" s="1"/>
  <c r="H302" i="1"/>
  <c r="C303" i="1"/>
  <c r="F303" i="1"/>
  <c r="E310" i="1"/>
  <c r="F539" i="1" s="1"/>
  <c r="I310" i="1"/>
  <c r="J310" i="1" s="1"/>
  <c r="G539" i="1" s="1"/>
  <c r="D311" i="1"/>
  <c r="E311" i="1" s="1"/>
  <c r="F540" i="1" s="1"/>
  <c r="I311" i="1"/>
  <c r="J311" i="1" s="1"/>
  <c r="G540" i="1" s="1"/>
  <c r="D313" i="1"/>
  <c r="E313" i="1" s="1"/>
  <c r="H313" i="1"/>
  <c r="D314" i="1"/>
  <c r="I314" i="1"/>
  <c r="J314" i="1" s="1"/>
  <c r="D316" i="1"/>
  <c r="E316" i="1" s="1"/>
  <c r="I316" i="1"/>
  <c r="D317" i="1"/>
  <c r="E317" i="1" s="1"/>
  <c r="H317" i="1"/>
  <c r="C318" i="1"/>
  <c r="G318" i="1" s="1"/>
  <c r="G320" i="1" s="1"/>
  <c r="I323" i="1"/>
  <c r="C326" i="1"/>
  <c r="C327" i="1"/>
  <c r="E334" i="1"/>
  <c r="I334" i="1"/>
  <c r="J334" i="1"/>
  <c r="D335" i="1"/>
  <c r="E335" i="1"/>
  <c r="E336" i="1" s="1"/>
  <c r="G335" i="1"/>
  <c r="I335" i="1" s="1"/>
  <c r="B336" i="1"/>
  <c r="C336" i="1"/>
  <c r="F336" i="1" s="1"/>
  <c r="E339" i="1"/>
  <c r="I339" i="1"/>
  <c r="J339" i="1"/>
  <c r="D340" i="1"/>
  <c r="G340" i="1"/>
  <c r="B341" i="1"/>
  <c r="C341" i="1"/>
  <c r="H341" i="1" s="1"/>
  <c r="E344" i="1"/>
  <c r="I344" i="1"/>
  <c r="J344" i="1"/>
  <c r="D345" i="1"/>
  <c r="E345" i="1" s="1"/>
  <c r="G345" i="1"/>
  <c r="B346" i="1"/>
  <c r="C346" i="1"/>
  <c r="F346" i="1" s="1"/>
  <c r="E349" i="1"/>
  <c r="I349" i="1"/>
  <c r="J349" i="1"/>
  <c r="J351" i="1" s="1"/>
  <c r="E350" i="1"/>
  <c r="B351" i="1"/>
  <c r="C351" i="1"/>
  <c r="E354" i="1"/>
  <c r="I354" i="1"/>
  <c r="J354" i="1"/>
  <c r="J356" i="1" s="1"/>
  <c r="E355" i="1"/>
  <c r="E356" i="1" s="1"/>
  <c r="B356" i="1"/>
  <c r="C356" i="1"/>
  <c r="H356" i="1"/>
  <c r="E361" i="1"/>
  <c r="I361" i="1"/>
  <c r="J361" i="1"/>
  <c r="E362" i="1"/>
  <c r="J362" i="1"/>
  <c r="E363" i="1"/>
  <c r="J363" i="1"/>
  <c r="E364" i="1"/>
  <c r="J364" i="1"/>
  <c r="E365" i="1"/>
  <c r="I365" i="1"/>
  <c r="J365" i="1"/>
  <c r="B366" i="1"/>
  <c r="C366" i="1"/>
  <c r="G366" i="1" s="1"/>
  <c r="I368" i="1"/>
  <c r="C371" i="1"/>
  <c r="C372" i="1"/>
  <c r="E380" i="1"/>
  <c r="I380" i="1"/>
  <c r="J380" i="1"/>
  <c r="E381" i="1"/>
  <c r="I381" i="1"/>
  <c r="J381" i="1"/>
  <c r="B382" i="1"/>
  <c r="C382" i="1"/>
  <c r="G382" i="1" s="1"/>
  <c r="E385" i="1"/>
  <c r="I385" i="1"/>
  <c r="J385" i="1"/>
  <c r="E386" i="1"/>
  <c r="E395" i="1" s="1"/>
  <c r="I386" i="1"/>
  <c r="J386" i="1"/>
  <c r="B387" i="1"/>
  <c r="C387" i="1"/>
  <c r="D387" i="1" s="1"/>
  <c r="F387" i="1"/>
  <c r="I391" i="1"/>
  <c r="C394" i="1"/>
  <c r="C395" i="1"/>
  <c r="I400" i="1"/>
  <c r="E403" i="1"/>
  <c r="D403" i="1" s="1"/>
  <c r="D404" i="1" s="1"/>
  <c r="J403" i="1"/>
  <c r="J404" i="1" s="1"/>
  <c r="C404" i="1"/>
  <c r="I408" i="1"/>
  <c r="E411" i="1"/>
  <c r="E414" i="1"/>
  <c r="J411" i="1"/>
  <c r="J412" i="1"/>
  <c r="J413" i="1"/>
  <c r="C414" i="1"/>
  <c r="E417" i="1"/>
  <c r="E420" i="1"/>
  <c r="J417" i="1"/>
  <c r="J418" i="1"/>
  <c r="J419" i="1"/>
  <c r="C420" i="1"/>
  <c r="J316" i="1"/>
  <c r="G267" i="1"/>
  <c r="E239" i="1"/>
  <c r="J199" i="1"/>
  <c r="J151" i="1"/>
  <c r="J146" i="1"/>
  <c r="J124" i="1"/>
  <c r="E32" i="1"/>
  <c r="J313" i="1"/>
  <c r="G240" i="1"/>
  <c r="E238" i="1"/>
  <c r="J226" i="1"/>
  <c r="E223" i="1"/>
  <c r="J223" i="1"/>
  <c r="J67" i="1"/>
  <c r="E227" i="1"/>
  <c r="J227" i="1"/>
  <c r="E221" i="1"/>
  <c r="J221" i="1"/>
  <c r="I58" i="1"/>
  <c r="F356" i="1"/>
  <c r="D356" i="1"/>
  <c r="D366" i="1"/>
  <c r="G387" i="1"/>
  <c r="I345" i="1"/>
  <c r="E274" i="1"/>
  <c r="J25" i="1"/>
  <c r="J262" i="1"/>
  <c r="E152" i="1"/>
  <c r="J298" i="1"/>
  <c r="I255" i="1"/>
  <c r="G303" i="1"/>
  <c r="G356" i="1"/>
  <c r="E187" i="1"/>
  <c r="F479" i="1" s="1"/>
  <c r="E27" i="1"/>
  <c r="E235" i="1"/>
  <c r="F42" i="2"/>
  <c r="AH26" i="10" s="1"/>
  <c r="F79" i="2"/>
  <c r="F129" i="1"/>
  <c r="I279" i="1"/>
  <c r="J188" i="1"/>
  <c r="J86" i="1"/>
  <c r="H50" i="2" s="1"/>
  <c r="AF34" i="10" s="1"/>
  <c r="F49" i="2"/>
  <c r="AH33" i="10" s="1"/>
  <c r="C88" i="1"/>
  <c r="E200" i="1"/>
  <c r="J395" i="1"/>
  <c r="F382" i="1"/>
  <c r="D382" i="1"/>
  <c r="I340" i="1"/>
  <c r="G443" i="1"/>
  <c r="E94" i="1"/>
  <c r="F48" i="2"/>
  <c r="AH32" i="10" s="1"/>
  <c r="J302" i="1"/>
  <c r="H82" i="2"/>
  <c r="E540" i="1"/>
  <c r="D540" i="1"/>
  <c r="C540" i="1"/>
  <c r="C541" i="1" s="1"/>
  <c r="F62" i="2" s="1"/>
  <c r="AH43" i="10" s="1"/>
  <c r="F41" i="2"/>
  <c r="AH25" i="10" s="1"/>
  <c r="I82" i="2"/>
  <c r="I83" i="2" s="1"/>
  <c r="I84" i="2" s="1"/>
  <c r="I85" i="2" s="1"/>
  <c r="F44" i="2"/>
  <c r="AH28" i="10" s="1"/>
  <c r="H79" i="2"/>
  <c r="F82" i="2"/>
  <c r="F39" i="2"/>
  <c r="AH23" i="10" s="1"/>
  <c r="D515" i="1"/>
  <c r="H527" i="1"/>
  <c r="D527" i="1" s="1"/>
  <c r="E515" i="1"/>
  <c r="H435" i="1"/>
  <c r="E435" i="1" s="1"/>
  <c r="G433" i="1"/>
  <c r="F433" i="1"/>
  <c r="H481" i="1"/>
  <c r="F481" i="1" s="1"/>
  <c r="F469" i="1"/>
  <c r="E469" i="1"/>
  <c r="D469" i="1"/>
  <c r="H471" i="1"/>
  <c r="G471" i="1" s="1"/>
  <c r="H517" i="1"/>
  <c r="H529" i="1" s="1"/>
  <c r="J414" i="1" l="1"/>
  <c r="E387" i="1"/>
  <c r="E394" i="1"/>
  <c r="E396" i="1" s="1"/>
  <c r="E351" i="1"/>
  <c r="H318" i="1"/>
  <c r="H320" i="1" s="1"/>
  <c r="G541" i="1"/>
  <c r="H62" i="2" s="1"/>
  <c r="AF43" i="10" s="1"/>
  <c r="H303" i="1"/>
  <c r="I303" i="1"/>
  <c r="D303" i="1"/>
  <c r="H228" i="1"/>
  <c r="H216" i="1"/>
  <c r="I216" i="1"/>
  <c r="I204" i="1"/>
  <c r="H204" i="1"/>
  <c r="J197" i="1"/>
  <c r="I141" i="1"/>
  <c r="C113" i="1"/>
  <c r="H99" i="1"/>
  <c r="E99" i="1"/>
  <c r="F88" i="1"/>
  <c r="E76" i="1"/>
  <c r="I68" i="1"/>
  <c r="E63" i="1"/>
  <c r="J50" i="1"/>
  <c r="H44" i="2" s="1"/>
  <c r="AF28" i="10" s="1"/>
  <c r="C52" i="1"/>
  <c r="J40" i="1"/>
  <c r="H42" i="2" s="1"/>
  <c r="AF26" i="10" s="1"/>
  <c r="J26" i="1"/>
  <c r="I27" i="1"/>
  <c r="J17" i="1"/>
  <c r="AJ44" i="10"/>
  <c r="AJ37" i="10"/>
  <c r="AK37" i="10" s="1"/>
  <c r="AJ29" i="10"/>
  <c r="AK29" i="10" s="1"/>
  <c r="AJ45" i="10"/>
  <c r="AJ22" i="10"/>
  <c r="AK22" i="10" s="1"/>
  <c r="AO22" i="10" s="1"/>
  <c r="AJ30" i="10"/>
  <c r="AK30" i="10" s="1"/>
  <c r="AJ46" i="10"/>
  <c r="AJ28" i="10"/>
  <c r="AK28" i="10" s="1"/>
  <c r="AJ23" i="10"/>
  <c r="AK23" i="10" s="1"/>
  <c r="AJ31" i="10"/>
  <c r="AJ47" i="10"/>
  <c r="AK47" i="10" s="1"/>
  <c r="AJ24" i="10"/>
  <c r="AK24" i="10" s="1"/>
  <c r="AJ32" i="10"/>
  <c r="AK32" i="10" s="1"/>
  <c r="AJ48" i="10"/>
  <c r="AJ40" i="10"/>
  <c r="AJ36" i="10"/>
  <c r="AJ25" i="10"/>
  <c r="AK25" i="10" s="1"/>
  <c r="AJ33" i="10"/>
  <c r="AK33" i="10" s="1"/>
  <c r="AJ49" i="10"/>
  <c r="AJ41" i="10"/>
  <c r="AJ26" i="10"/>
  <c r="AK26" i="10" s="1"/>
  <c r="AJ34" i="10"/>
  <c r="AJ50" i="10"/>
  <c r="AJ42" i="10"/>
  <c r="AJ27" i="10"/>
  <c r="AJ35" i="10"/>
  <c r="AJ51" i="10"/>
  <c r="AK51" i="10" s="1"/>
  <c r="AJ43" i="10"/>
  <c r="M39" i="2"/>
  <c r="AI31" i="10"/>
  <c r="AI27" i="10"/>
  <c r="AI36" i="10"/>
  <c r="M38" i="2"/>
  <c r="M70" i="2"/>
  <c r="M66" i="2"/>
  <c r="D43" i="8"/>
  <c r="D51" i="8"/>
  <c r="F81" i="2"/>
  <c r="D48" i="8"/>
  <c r="D32" i="8"/>
  <c r="H81" i="2"/>
  <c r="D42" i="8"/>
  <c r="D49" i="8"/>
  <c r="D33" i="8"/>
  <c r="D31" i="8"/>
  <c r="D34" i="8"/>
  <c r="D35" i="8"/>
  <c r="G81" i="2"/>
  <c r="H80" i="2"/>
  <c r="M44" i="2"/>
  <c r="M42" i="2"/>
  <c r="M48" i="2"/>
  <c r="M40" i="2"/>
  <c r="M45" i="2"/>
  <c r="N70" i="2"/>
  <c r="O70" i="2" s="1"/>
  <c r="P70" i="2" s="1"/>
  <c r="N66" i="2"/>
  <c r="O66" i="2" s="1"/>
  <c r="P66" i="2" s="1"/>
  <c r="M47" i="2"/>
  <c r="M49" i="2"/>
  <c r="M41" i="2"/>
  <c r="N52" i="2"/>
  <c r="O52" i="2" s="1"/>
  <c r="P52" i="2" s="1"/>
  <c r="N44" i="2"/>
  <c r="O44" i="2" s="1"/>
  <c r="P44" i="2" s="1"/>
  <c r="N42" i="2"/>
  <c r="O42" i="2" s="1"/>
  <c r="P42" i="2" s="1"/>
  <c r="N39" i="2"/>
  <c r="O39" i="2" s="1"/>
  <c r="P39" i="2" s="1"/>
  <c r="N49" i="2"/>
  <c r="O49" i="2" s="1"/>
  <c r="P49" i="2" s="1"/>
  <c r="N47" i="2"/>
  <c r="O47" i="2" s="1"/>
  <c r="P47" i="2" s="1"/>
  <c r="M53" i="2"/>
  <c r="M46" i="2"/>
  <c r="N41" i="2"/>
  <c r="O41" i="2" s="1"/>
  <c r="P41" i="2" s="1"/>
  <c r="N38" i="2"/>
  <c r="O38" i="2" s="1"/>
  <c r="N53" i="2"/>
  <c r="O53" i="2" s="1"/>
  <c r="P53" i="2" s="1"/>
  <c r="N46" i="2"/>
  <c r="O46" i="2" s="1"/>
  <c r="P46" i="2" s="1"/>
  <c r="M43" i="2"/>
  <c r="N43" i="2"/>
  <c r="O43" i="2" s="1"/>
  <c r="P43" i="2" s="1"/>
  <c r="M52" i="2"/>
  <c r="N48" i="2"/>
  <c r="O48" i="2" s="1"/>
  <c r="P48" i="2" s="1"/>
  <c r="N45" i="2"/>
  <c r="O45" i="2" s="1"/>
  <c r="P45" i="2" s="1"/>
  <c r="N40" i="2"/>
  <c r="O40" i="2" s="1"/>
  <c r="P40" i="2" s="1"/>
  <c r="C527" i="1"/>
  <c r="H382" i="1"/>
  <c r="F435" i="1"/>
  <c r="C481" i="1"/>
  <c r="G79" i="2"/>
  <c r="E112" i="1"/>
  <c r="J140" i="1"/>
  <c r="J163" i="1"/>
  <c r="D336" i="1"/>
  <c r="F291" i="1"/>
  <c r="J212" i="1"/>
  <c r="J173" i="1"/>
  <c r="J177" i="1" s="1"/>
  <c r="I165" i="1"/>
  <c r="H129" i="1"/>
  <c r="H94" i="1"/>
  <c r="E58" i="1"/>
  <c r="J27" i="1"/>
  <c r="H40" i="2" s="1"/>
  <c r="AF24" i="10" s="1"/>
  <c r="D541" i="1"/>
  <c r="K62" i="2" s="1"/>
  <c r="D479" i="1"/>
  <c r="H52" i="1"/>
  <c r="C328" i="1"/>
  <c r="F491" i="1"/>
  <c r="F43" i="2"/>
  <c r="AH27" i="10" s="1"/>
  <c r="H336" i="1"/>
  <c r="E382" i="1"/>
  <c r="E346" i="1"/>
  <c r="C106" i="1"/>
  <c r="I106" i="1" s="1"/>
  <c r="E286" i="1"/>
  <c r="J203" i="1"/>
  <c r="E422" i="1"/>
  <c r="C396" i="1"/>
  <c r="J394" i="1"/>
  <c r="J396" i="1" s="1"/>
  <c r="D57" i="8" s="1"/>
  <c r="H291" i="1"/>
  <c r="E254" i="1"/>
  <c r="J238" i="1"/>
  <c r="D240" i="1"/>
  <c r="G479" i="1"/>
  <c r="G141" i="1"/>
  <c r="G88" i="1"/>
  <c r="C479" i="1"/>
  <c r="G491" i="1"/>
  <c r="G341" i="1"/>
  <c r="I318" i="1"/>
  <c r="I320" i="1" s="1"/>
  <c r="J211" i="1"/>
  <c r="J301" i="1"/>
  <c r="J296" i="1"/>
  <c r="J275" i="1"/>
  <c r="J122" i="1"/>
  <c r="G432" i="1" s="1"/>
  <c r="J81" i="1"/>
  <c r="H49" i="2" s="1"/>
  <c r="AF33" i="10" s="1"/>
  <c r="I52" i="1"/>
  <c r="E40" i="1"/>
  <c r="E148" i="1"/>
  <c r="I153" i="1"/>
  <c r="D505" i="1"/>
  <c r="D88" i="1"/>
  <c r="D106" i="1"/>
  <c r="H387" i="1"/>
  <c r="J215" i="1"/>
  <c r="J345" i="1"/>
  <c r="J272" i="1"/>
  <c r="H267" i="1"/>
  <c r="D216" i="1"/>
  <c r="E81" i="1"/>
  <c r="J63" i="1"/>
  <c r="H46" i="2" s="1"/>
  <c r="AF30" i="10" s="1"/>
  <c r="H78" i="2"/>
  <c r="G78" i="2"/>
  <c r="F80" i="2"/>
  <c r="G80" i="2"/>
  <c r="E470" i="1"/>
  <c r="G470" i="1"/>
  <c r="H509" i="1"/>
  <c r="F507" i="1"/>
  <c r="G507" i="1"/>
  <c r="E507" i="1"/>
  <c r="H38" i="2"/>
  <c r="AF22" i="10" s="1"/>
  <c r="J112" i="1"/>
  <c r="E70" i="1"/>
  <c r="E504" i="1"/>
  <c r="G527" i="1"/>
  <c r="G106" i="1"/>
  <c r="H279" i="1"/>
  <c r="H153" i="1"/>
  <c r="E106" i="1"/>
  <c r="G435" i="1"/>
  <c r="H88" i="1"/>
  <c r="E153" i="1"/>
  <c r="J228" i="1"/>
  <c r="J32" i="1"/>
  <c r="H41" i="2" s="1"/>
  <c r="AF25" i="10" s="1"/>
  <c r="J22" i="1"/>
  <c r="D435" i="1"/>
  <c r="J192" i="1"/>
  <c r="D471" i="1"/>
  <c r="F40" i="2"/>
  <c r="AH24" i="10" s="1"/>
  <c r="H51" i="2"/>
  <c r="AF35" i="10" s="1"/>
  <c r="F468" i="1"/>
  <c r="F153" i="1"/>
  <c r="I228" i="1"/>
  <c r="D228" i="1"/>
  <c r="D267" i="1"/>
  <c r="C34" i="1"/>
  <c r="H34" i="1" s="1"/>
  <c r="F216" i="1"/>
  <c r="I32" i="1"/>
  <c r="F341" i="1"/>
  <c r="D279" i="1"/>
  <c r="J248" i="1"/>
  <c r="G504" i="1" s="1"/>
  <c r="J158" i="1"/>
  <c r="J66" i="1"/>
  <c r="J68" i="1" s="1"/>
  <c r="H47" i="2" s="1"/>
  <c r="AF31" i="10" s="1"/>
  <c r="J45" i="1"/>
  <c r="H43" i="2" s="1"/>
  <c r="AF27" i="10" s="1"/>
  <c r="C504" i="1"/>
  <c r="I129" i="1"/>
  <c r="J240" i="1"/>
  <c r="H165" i="1"/>
  <c r="E371" i="1"/>
  <c r="J99" i="1"/>
  <c r="E527" i="1"/>
  <c r="H437" i="1"/>
  <c r="H473" i="1"/>
  <c r="D473" i="1" s="1"/>
  <c r="E204" i="1"/>
  <c r="J164" i="1"/>
  <c r="I22" i="1"/>
  <c r="C373" i="1"/>
  <c r="C374" i="1" s="1"/>
  <c r="G228" i="1"/>
  <c r="I17" i="1"/>
  <c r="J136" i="1"/>
  <c r="C320" i="1"/>
  <c r="J346" i="1"/>
  <c r="E267" i="1"/>
  <c r="E141" i="1"/>
  <c r="E86" i="1"/>
  <c r="F527" i="1"/>
  <c r="H447" i="1"/>
  <c r="F366" i="1"/>
  <c r="F504" i="1"/>
  <c r="H346" i="1"/>
  <c r="J149" i="1"/>
  <c r="J153" i="1" s="1"/>
  <c r="D165" i="1"/>
  <c r="G346" i="1"/>
  <c r="J128" i="1"/>
  <c r="J387" i="1"/>
  <c r="J382" i="1"/>
  <c r="J251" i="1"/>
  <c r="J214" i="1"/>
  <c r="F470" i="1"/>
  <c r="C179" i="1"/>
  <c r="H516" i="1"/>
  <c r="F516" i="1" s="1"/>
  <c r="E216" i="1"/>
  <c r="D153" i="1"/>
  <c r="C305" i="1"/>
  <c r="G305" i="1" s="1"/>
  <c r="C435" i="1"/>
  <c r="D129" i="1"/>
  <c r="E34" i="1"/>
  <c r="I267" i="1"/>
  <c r="E250" i="1"/>
  <c r="F515" i="1" s="1"/>
  <c r="I63" i="1"/>
  <c r="J266" i="1"/>
  <c r="C422" i="1"/>
  <c r="D346" i="1"/>
  <c r="J263" i="1"/>
  <c r="H255" i="1"/>
  <c r="E233" i="1"/>
  <c r="E240" i="1" s="1"/>
  <c r="J209" i="1"/>
  <c r="J202" i="1"/>
  <c r="J161" i="1"/>
  <c r="G50" i="2"/>
  <c r="E389" i="1"/>
  <c r="J204" i="1"/>
  <c r="E255" i="1"/>
  <c r="F106" i="1"/>
  <c r="H506" i="1"/>
  <c r="J303" i="1"/>
  <c r="J111" i="1"/>
  <c r="J113" i="1" s="1"/>
  <c r="G19" i="2" s="1"/>
  <c r="J88" i="1"/>
  <c r="E172" i="1"/>
  <c r="E177" i="1" s="1"/>
  <c r="G51" i="2"/>
  <c r="I240" i="1"/>
  <c r="J317" i="1"/>
  <c r="D255" i="1"/>
  <c r="E160" i="1"/>
  <c r="E165" i="1" s="1"/>
  <c r="E228" i="1"/>
  <c r="F318" i="1"/>
  <c r="F320" i="1" s="1"/>
  <c r="J420" i="1"/>
  <c r="J371" i="1"/>
  <c r="E296" i="1"/>
  <c r="E303" i="1" s="1"/>
  <c r="H141" i="1"/>
  <c r="F78" i="2"/>
  <c r="G529" i="1"/>
  <c r="C529" i="1"/>
  <c r="D529" i="1"/>
  <c r="E529" i="1"/>
  <c r="F529" i="1"/>
  <c r="H351" i="1"/>
  <c r="G351" i="1"/>
  <c r="F351" i="1"/>
  <c r="C358" i="1"/>
  <c r="D351" i="1"/>
  <c r="C437" i="1"/>
  <c r="H493" i="1"/>
  <c r="E284" i="1"/>
  <c r="D291" i="1"/>
  <c r="J284" i="1"/>
  <c r="C447" i="1"/>
  <c r="E473" i="1"/>
  <c r="G437" i="1"/>
  <c r="G517" i="1"/>
  <c r="D481" i="1"/>
  <c r="F541" i="1"/>
  <c r="J366" i="1"/>
  <c r="J373" i="1" s="1"/>
  <c r="D437" i="1"/>
  <c r="E517" i="1"/>
  <c r="E481" i="1"/>
  <c r="J287" i="1"/>
  <c r="I291" i="1"/>
  <c r="G473" i="1"/>
  <c r="H439" i="1"/>
  <c r="F517" i="1"/>
  <c r="G481" i="1"/>
  <c r="F471" i="1"/>
  <c r="C471" i="1"/>
  <c r="E471" i="1"/>
  <c r="H483" i="1"/>
  <c r="F447" i="1"/>
  <c r="H485" i="1"/>
  <c r="H449" i="1"/>
  <c r="E541" i="1"/>
  <c r="G62" i="2" s="1"/>
  <c r="AI43" i="10" s="1"/>
  <c r="J165" i="1"/>
  <c r="D517" i="1"/>
  <c r="C517" i="1"/>
  <c r="G52" i="1"/>
  <c r="F52" i="1"/>
  <c r="D52" i="1"/>
  <c r="J422" i="1"/>
  <c r="E366" i="1"/>
  <c r="E373" i="1" s="1"/>
  <c r="E340" i="1"/>
  <c r="J340" i="1"/>
  <c r="J341" i="1" s="1"/>
  <c r="D341" i="1"/>
  <c r="D318" i="1"/>
  <c r="D320" i="1" s="1"/>
  <c r="J318" i="1"/>
  <c r="J320" i="1" s="1"/>
  <c r="F279" i="1"/>
  <c r="E277" i="1"/>
  <c r="E326" i="1" s="1"/>
  <c r="F192" i="1"/>
  <c r="D192" i="1"/>
  <c r="H192" i="1"/>
  <c r="G192" i="1"/>
  <c r="I88" i="1"/>
  <c r="D141" i="1"/>
  <c r="D179" i="1" s="1"/>
  <c r="J134" i="1"/>
  <c r="J141" i="1" s="1"/>
  <c r="J260" i="1"/>
  <c r="H106" i="1"/>
  <c r="E50" i="1"/>
  <c r="E52" i="1" s="1"/>
  <c r="G336" i="1"/>
  <c r="J52" i="1"/>
  <c r="E290" i="1"/>
  <c r="C70" i="1"/>
  <c r="D70" i="1" s="1"/>
  <c r="E314" i="1"/>
  <c r="E278" i="1"/>
  <c r="J58" i="1"/>
  <c r="I192" i="1"/>
  <c r="J289" i="1"/>
  <c r="J277" i="1"/>
  <c r="E404" i="1"/>
  <c r="C389" i="1"/>
  <c r="F389" i="1" s="1"/>
  <c r="H240" i="1"/>
  <c r="J125" i="1"/>
  <c r="E125" i="1"/>
  <c r="E129" i="1" s="1"/>
  <c r="J335" i="1"/>
  <c r="C242" i="1"/>
  <c r="E111" i="1"/>
  <c r="F165" i="1"/>
  <c r="F179" i="1" s="1"/>
  <c r="G165" i="1"/>
  <c r="G179" i="1" s="1"/>
  <c r="D491" i="1"/>
  <c r="E491" i="1"/>
  <c r="D204" i="1"/>
  <c r="E433" i="1"/>
  <c r="D433" i="1"/>
  <c r="C433" i="1"/>
  <c r="D509" i="1"/>
  <c r="H521" i="1"/>
  <c r="C509" i="1"/>
  <c r="H480" i="1"/>
  <c r="C468" i="1"/>
  <c r="D468" i="1"/>
  <c r="E468" i="1"/>
  <c r="D516" i="1"/>
  <c r="E516" i="1"/>
  <c r="C516" i="1"/>
  <c r="H528" i="1"/>
  <c r="H444" i="1"/>
  <c r="E432" i="1"/>
  <c r="D432" i="1"/>
  <c r="H434" i="1"/>
  <c r="E191" i="1"/>
  <c r="E192" i="1" s="1"/>
  <c r="E242" i="1" s="1"/>
  <c r="H482" i="1"/>
  <c r="D470" i="1"/>
  <c r="C470" i="1"/>
  <c r="H472" i="1"/>
  <c r="G515" i="1"/>
  <c r="G204" i="1"/>
  <c r="H445" i="1"/>
  <c r="H518" i="1"/>
  <c r="C506" i="1"/>
  <c r="H455" i="1"/>
  <c r="C507" i="1"/>
  <c r="D507" i="1"/>
  <c r="H519" i="1"/>
  <c r="F242" i="1" l="1"/>
  <c r="G516" i="1"/>
  <c r="H39" i="2"/>
  <c r="AF23" i="10" s="1"/>
  <c r="J34" i="1"/>
  <c r="J216" i="1"/>
  <c r="J242" i="1" s="1"/>
  <c r="AM49" i="2"/>
  <c r="AE49" i="2"/>
  <c r="W49" i="2"/>
  <c r="AN49" i="2"/>
  <c r="AF49" i="2"/>
  <c r="X49" i="2"/>
  <c r="AL49" i="2"/>
  <c r="AD49" i="2"/>
  <c r="V49" i="2"/>
  <c r="AI49" i="2"/>
  <c r="AA49" i="2"/>
  <c r="AK49" i="2"/>
  <c r="AC49" i="2"/>
  <c r="U49" i="2"/>
  <c r="S49" i="2"/>
  <c r="AJ49" i="2"/>
  <c r="AB49" i="2"/>
  <c r="T49" i="2"/>
  <c r="AH49" i="2"/>
  <c r="Z49" i="2"/>
  <c r="R49" i="2"/>
  <c r="AG49" i="2"/>
  <c r="Y49" i="2"/>
  <c r="AN42" i="2"/>
  <c r="AF42" i="2"/>
  <c r="X42" i="2"/>
  <c r="Y42" i="2"/>
  <c r="AM42" i="2"/>
  <c r="AE42" i="2"/>
  <c r="W42" i="2"/>
  <c r="AJ42" i="2"/>
  <c r="T42" i="2"/>
  <c r="AG42" i="2"/>
  <c r="AL42" i="2"/>
  <c r="AD42" i="2"/>
  <c r="V42" i="2"/>
  <c r="AB42" i="2"/>
  <c r="AK42" i="2"/>
  <c r="AC42" i="2"/>
  <c r="U42" i="2"/>
  <c r="AI42" i="2"/>
  <c r="AA42" i="2"/>
  <c r="S42" i="2"/>
  <c r="AH42" i="2"/>
  <c r="Z42" i="2"/>
  <c r="R42" i="2"/>
  <c r="AH44" i="2"/>
  <c r="Z44" i="2"/>
  <c r="R44" i="2"/>
  <c r="AI44" i="2"/>
  <c r="S44" i="2"/>
  <c r="AG44" i="2"/>
  <c r="Y44" i="2"/>
  <c r="AL44" i="2"/>
  <c r="AA44" i="2"/>
  <c r="AN44" i="2"/>
  <c r="AO44" i="2" s="1"/>
  <c r="AP44" i="2" s="1"/>
  <c r="AF44" i="2"/>
  <c r="X44" i="2"/>
  <c r="AD44" i="2"/>
  <c r="V44" i="2"/>
  <c r="AM44" i="2"/>
  <c r="AE44" i="2"/>
  <c r="W44" i="2"/>
  <c r="AK44" i="2"/>
  <c r="AC44" i="2"/>
  <c r="U44" i="2"/>
  <c r="AJ44" i="2"/>
  <c r="AB44" i="2"/>
  <c r="T44" i="2"/>
  <c r="AL52" i="2"/>
  <c r="AD52" i="2"/>
  <c r="V52" i="2"/>
  <c r="AM52" i="2"/>
  <c r="AE52" i="2"/>
  <c r="W52" i="2"/>
  <c r="AK52" i="2"/>
  <c r="AC52" i="2"/>
  <c r="U52" i="2"/>
  <c r="AH52" i="2"/>
  <c r="R52" i="2"/>
  <c r="AJ52" i="2"/>
  <c r="AB52" i="2"/>
  <c r="T52" i="2"/>
  <c r="Z52" i="2"/>
  <c r="AI52" i="2"/>
  <c r="AA52" i="2"/>
  <c r="S52" i="2"/>
  <c r="AG52" i="2"/>
  <c r="Y52" i="2"/>
  <c r="AN52" i="2"/>
  <c r="AF52" i="2"/>
  <c r="X52" i="2"/>
  <c r="AG43" i="2"/>
  <c r="Y43" i="2"/>
  <c r="AC43" i="2"/>
  <c r="Z43" i="2"/>
  <c r="AN43" i="2"/>
  <c r="AO43" i="2" s="1"/>
  <c r="AP43" i="2" s="1"/>
  <c r="AF43" i="2"/>
  <c r="X43" i="2"/>
  <c r="AK43" i="2"/>
  <c r="AH43" i="2"/>
  <c r="R43" i="2"/>
  <c r="AM43" i="2"/>
  <c r="AE43" i="2"/>
  <c r="W43" i="2"/>
  <c r="U43" i="2"/>
  <c r="AL43" i="2"/>
  <c r="AD43" i="2"/>
  <c r="V43" i="2"/>
  <c r="AJ43" i="2"/>
  <c r="AB43" i="2"/>
  <c r="T43" i="2"/>
  <c r="AI43" i="2"/>
  <c r="AA43" i="2"/>
  <c r="S43" i="2"/>
  <c r="AK43" i="10"/>
  <c r="AK36" i="10"/>
  <c r="AN36" i="10" s="1"/>
  <c r="AK27" i="10"/>
  <c r="AN27" i="10" s="1"/>
  <c r="AK31" i="10"/>
  <c r="AO31" i="10" s="1"/>
  <c r="AN32" i="10"/>
  <c r="AO32" i="10"/>
  <c r="AN22" i="10"/>
  <c r="AO51" i="10"/>
  <c r="AN51" i="10"/>
  <c r="AO28" i="10"/>
  <c r="AN28" i="10"/>
  <c r="AO47" i="10"/>
  <c r="AN47" i="10"/>
  <c r="AO29" i="10"/>
  <c r="AN29" i="10"/>
  <c r="AO33" i="10"/>
  <c r="AN33" i="10"/>
  <c r="AO30" i="10"/>
  <c r="AN30" i="10"/>
  <c r="AO37" i="10"/>
  <c r="AN37" i="10"/>
  <c r="AO26" i="10"/>
  <c r="AN26" i="10"/>
  <c r="AO25" i="10"/>
  <c r="AN25" i="10"/>
  <c r="AO23" i="10"/>
  <c r="AN23" i="10"/>
  <c r="AO24" i="10"/>
  <c r="AN24" i="10"/>
  <c r="AI34" i="10"/>
  <c r="AK34" i="10" s="1"/>
  <c r="AI35" i="10"/>
  <c r="AK35" i="10" s="1"/>
  <c r="P38" i="2"/>
  <c r="G8" i="9"/>
  <c r="I8" i="9" s="1"/>
  <c r="H9" i="10"/>
  <c r="G10" i="9"/>
  <c r="H10" i="9" s="1"/>
  <c r="I7" i="10"/>
  <c r="G7" i="9"/>
  <c r="J7" i="9" s="1"/>
  <c r="H8" i="10"/>
  <c r="G9" i="9"/>
  <c r="J9" i="9" s="1"/>
  <c r="H14" i="10"/>
  <c r="G6" i="9"/>
  <c r="H6" i="9" s="1"/>
  <c r="H7" i="10"/>
  <c r="G15" i="9"/>
  <c r="J15" i="9" s="1"/>
  <c r="J14" i="10"/>
  <c r="G14" i="9"/>
  <c r="I14" i="9" s="1"/>
  <c r="I14" i="10"/>
  <c r="AO42" i="2"/>
  <c r="AP42" i="2" s="1"/>
  <c r="H83" i="2"/>
  <c r="H84" i="2" s="1"/>
  <c r="H85" i="2" s="1"/>
  <c r="H34" i="8"/>
  <c r="J34" i="8"/>
  <c r="BE29" i="10" s="1" a="1"/>
  <c r="BE29" i="10" s="1"/>
  <c r="F34" i="8"/>
  <c r="F42" i="8"/>
  <c r="D44" i="8"/>
  <c r="J42" i="8"/>
  <c r="BE30" i="10" s="1" a="1"/>
  <c r="BE30" i="10" s="1"/>
  <c r="H42" i="8"/>
  <c r="D52" i="8"/>
  <c r="E51" i="8" s="1"/>
  <c r="E52" i="8" s="1"/>
  <c r="D36" i="8"/>
  <c r="I8" i="10" s="1"/>
  <c r="F31" i="8"/>
  <c r="H31" i="8"/>
  <c r="J31" i="8"/>
  <c r="E48" i="8"/>
  <c r="F43" i="8"/>
  <c r="J43" i="8"/>
  <c r="BE31" i="10" s="1" a="1"/>
  <c r="BE31" i="10" s="1"/>
  <c r="H43" i="8"/>
  <c r="F33" i="8"/>
  <c r="J33" i="8"/>
  <c r="BE22" i="10" s="1" a="1"/>
  <c r="BE22" i="10" s="1"/>
  <c r="H33" i="8"/>
  <c r="H32" i="8"/>
  <c r="J32" i="8"/>
  <c r="BE26" i="10" s="1" a="1"/>
  <c r="BE26" i="10" s="1"/>
  <c r="F32" i="8"/>
  <c r="J35" i="8"/>
  <c r="F35" i="8"/>
  <c r="H35" i="8"/>
  <c r="M62" i="2"/>
  <c r="N62" i="2"/>
  <c r="O62" i="2" s="1"/>
  <c r="P62" i="2" s="1"/>
  <c r="M50" i="2"/>
  <c r="N50" i="2"/>
  <c r="O50" i="2" s="1"/>
  <c r="P50" i="2" s="1"/>
  <c r="N51" i="2"/>
  <c r="O51" i="2" s="1"/>
  <c r="P51" i="2" s="1"/>
  <c r="M51" i="2"/>
  <c r="F54" i="2"/>
  <c r="F305" i="1"/>
  <c r="J255" i="1"/>
  <c r="J279" i="1"/>
  <c r="D305" i="1"/>
  <c r="E88" i="1"/>
  <c r="H358" i="1"/>
  <c r="H179" i="1"/>
  <c r="I305" i="1"/>
  <c r="F83" i="2"/>
  <c r="F84" i="2" s="1"/>
  <c r="F85" i="2" s="1"/>
  <c r="G83" i="2"/>
  <c r="G84" i="2" s="1"/>
  <c r="G85" i="2" s="1"/>
  <c r="I41" i="2"/>
  <c r="I47" i="2"/>
  <c r="Y47" i="2" s="1"/>
  <c r="I50" i="2"/>
  <c r="I43" i="2"/>
  <c r="I40" i="2"/>
  <c r="I38" i="2"/>
  <c r="I49" i="2"/>
  <c r="I42" i="2"/>
  <c r="I48" i="2"/>
  <c r="I39" i="2"/>
  <c r="AA39" i="2" s="1"/>
  <c r="I51" i="2"/>
  <c r="H52" i="2"/>
  <c r="J106" i="1"/>
  <c r="J326" i="1"/>
  <c r="E179" i="1"/>
  <c r="I242" i="1"/>
  <c r="F70" i="1"/>
  <c r="H242" i="1"/>
  <c r="D358" i="1"/>
  <c r="I53" i="2"/>
  <c r="I44" i="2"/>
  <c r="I46" i="2"/>
  <c r="J389" i="1"/>
  <c r="G447" i="1"/>
  <c r="H459" i="1"/>
  <c r="E447" i="1"/>
  <c r="D447" i="1"/>
  <c r="I179" i="1"/>
  <c r="F34" i="1"/>
  <c r="J327" i="1"/>
  <c r="H508" i="1"/>
  <c r="E506" i="1"/>
  <c r="F506" i="1"/>
  <c r="D506" i="1"/>
  <c r="H475" i="1"/>
  <c r="C473" i="1"/>
  <c r="F473" i="1"/>
  <c r="D34" i="1"/>
  <c r="F509" i="1"/>
  <c r="E509" i="1"/>
  <c r="H511" i="1"/>
  <c r="G509" i="1"/>
  <c r="G358" i="1"/>
  <c r="I34" i="1"/>
  <c r="E437" i="1"/>
  <c r="F437" i="1"/>
  <c r="F358" i="1"/>
  <c r="H305" i="1"/>
  <c r="G34" i="1"/>
  <c r="E528" i="1"/>
  <c r="D528" i="1"/>
  <c r="C528" i="1"/>
  <c r="G528" i="1"/>
  <c r="F528" i="1"/>
  <c r="J129" i="1"/>
  <c r="J179" i="1" s="1"/>
  <c r="E455" i="1"/>
  <c r="D455" i="1"/>
  <c r="C455" i="1"/>
  <c r="F455" i="1"/>
  <c r="G455" i="1"/>
  <c r="D521" i="1"/>
  <c r="H533" i="1"/>
  <c r="C521" i="1"/>
  <c r="E521" i="1"/>
  <c r="G521" i="1"/>
  <c r="F521" i="1"/>
  <c r="D242" i="1"/>
  <c r="H389" i="1"/>
  <c r="E279" i="1"/>
  <c r="H45" i="2"/>
  <c r="AF29" i="10" s="1"/>
  <c r="J70" i="1"/>
  <c r="E341" i="1"/>
  <c r="E358" i="1" s="1"/>
  <c r="E372" i="1"/>
  <c r="E374" i="1" s="1"/>
  <c r="E445" i="1"/>
  <c r="G445" i="1"/>
  <c r="D445" i="1"/>
  <c r="F445" i="1"/>
  <c r="H457" i="1"/>
  <c r="C445" i="1"/>
  <c r="H436" i="1"/>
  <c r="E434" i="1"/>
  <c r="H446" i="1"/>
  <c r="D434" i="1"/>
  <c r="G434" i="1"/>
  <c r="F434" i="1"/>
  <c r="C434" i="1"/>
  <c r="E318" i="1"/>
  <c r="E320" i="1" s="1"/>
  <c r="E327" i="1"/>
  <c r="E7" i="1" s="1"/>
  <c r="F485" i="1"/>
  <c r="E485" i="1"/>
  <c r="D485" i="1"/>
  <c r="C485" i="1"/>
  <c r="H497" i="1"/>
  <c r="G485" i="1"/>
  <c r="J291" i="1"/>
  <c r="G389" i="1"/>
  <c r="G506" i="1"/>
  <c r="J267" i="1"/>
  <c r="H530" i="1"/>
  <c r="E518" i="1"/>
  <c r="D518" i="1"/>
  <c r="C518" i="1"/>
  <c r="F518" i="1"/>
  <c r="G518" i="1"/>
  <c r="E113" i="1"/>
  <c r="E6" i="1"/>
  <c r="G70" i="1"/>
  <c r="H70" i="1"/>
  <c r="H494" i="1"/>
  <c r="D482" i="1"/>
  <c r="E482" i="1"/>
  <c r="C482" i="1"/>
  <c r="G482" i="1"/>
  <c r="F482" i="1"/>
  <c r="F519" i="1"/>
  <c r="D519" i="1"/>
  <c r="E519" i="1"/>
  <c r="C519" i="1"/>
  <c r="H531" i="1"/>
  <c r="G519" i="1"/>
  <c r="J372" i="1"/>
  <c r="J374" i="1" s="1"/>
  <c r="J336" i="1"/>
  <c r="J358" i="1" s="1"/>
  <c r="E291" i="1"/>
  <c r="E449" i="1"/>
  <c r="D449" i="1"/>
  <c r="C449" i="1"/>
  <c r="H461" i="1"/>
  <c r="F449" i="1"/>
  <c r="G449" i="1"/>
  <c r="H474" i="1"/>
  <c r="D472" i="1"/>
  <c r="C472" i="1"/>
  <c r="H484" i="1"/>
  <c r="G472" i="1"/>
  <c r="E472" i="1"/>
  <c r="F472" i="1"/>
  <c r="F444" i="1"/>
  <c r="H456" i="1"/>
  <c r="E444" i="1"/>
  <c r="C444" i="1"/>
  <c r="D444" i="1"/>
  <c r="G444" i="1"/>
  <c r="E480" i="1"/>
  <c r="D480" i="1"/>
  <c r="C480" i="1"/>
  <c r="H492" i="1"/>
  <c r="F480" i="1"/>
  <c r="G480" i="1"/>
  <c r="J328" i="1"/>
  <c r="J6" i="1"/>
  <c r="G242" i="1"/>
  <c r="G439" i="1"/>
  <c r="H451" i="1"/>
  <c r="C439" i="1"/>
  <c r="F439" i="1"/>
  <c r="D439" i="1"/>
  <c r="E439" i="1"/>
  <c r="D389" i="1"/>
  <c r="E483" i="1"/>
  <c r="G483" i="1"/>
  <c r="D483" i="1"/>
  <c r="C483" i="1"/>
  <c r="H495" i="1"/>
  <c r="F483" i="1"/>
  <c r="I70" i="1"/>
  <c r="F493" i="1"/>
  <c r="D493" i="1"/>
  <c r="C493" i="1"/>
  <c r="E493" i="1"/>
  <c r="G493" i="1"/>
  <c r="G20" i="2" l="1"/>
  <c r="D56" i="8"/>
  <c r="V46" i="2"/>
  <c r="AD46" i="2"/>
  <c r="Z46" i="2"/>
  <c r="AC53" i="2"/>
  <c r="V53" i="2"/>
  <c r="Y53" i="2"/>
  <c r="T48" i="2"/>
  <c r="AB48" i="2"/>
  <c r="X48" i="2"/>
  <c r="R48" i="2"/>
  <c r="X40" i="2"/>
  <c r="R40" i="2"/>
  <c r="AD40" i="2"/>
  <c r="S40" i="2"/>
  <c r="U40" i="2"/>
  <c r="T40" i="2"/>
  <c r="AA40" i="2"/>
  <c r="AD41" i="2"/>
  <c r="V41" i="2"/>
  <c r="T41" i="2"/>
  <c r="R41" i="2"/>
  <c r="W41" i="2"/>
  <c r="H31" i="7" a="1"/>
  <c r="H31" i="7" s="1"/>
  <c r="BD31" i="10" a="1"/>
  <c r="BD31" i="10" s="1"/>
  <c r="BD50" i="10" s="1"/>
  <c r="G31" i="7" a="1"/>
  <c r="G31" i="7" s="1"/>
  <c r="BC31" i="10" a="1"/>
  <c r="BC31" i="10" s="1"/>
  <c r="BC50" i="10" s="1"/>
  <c r="H30" i="7" a="1"/>
  <c r="H30" i="7" s="1"/>
  <c r="BD30" i="10" a="1"/>
  <c r="BD30" i="10" s="1"/>
  <c r="BD49" i="10" s="1"/>
  <c r="G30" i="7" a="1"/>
  <c r="G30" i="7" s="1"/>
  <c r="BC30" i="10" a="1"/>
  <c r="BC30" i="10" s="1"/>
  <c r="BC49" i="10" s="1"/>
  <c r="H11" i="7" a="1"/>
  <c r="H11" i="7" s="1"/>
  <c r="BD33" i="10" a="1"/>
  <c r="BD33" i="10" s="1"/>
  <c r="BD36" i="10" a="1"/>
  <c r="BD36" i="10" s="1"/>
  <c r="G7" i="7" a="1"/>
  <c r="G7" i="7" s="1"/>
  <c r="G17" i="7" s="1"/>
  <c r="BC35" i="10" a="1"/>
  <c r="BC35" i="10" s="1"/>
  <c r="BC32" i="10" a="1"/>
  <c r="BC32" i="10" s="1"/>
  <c r="BE33" i="10" a="1"/>
  <c r="BE33" i="10" s="1"/>
  <c r="BE36" i="10" a="1"/>
  <c r="BE36" i="10" s="1"/>
  <c r="G11" i="7" a="1"/>
  <c r="G11" i="7" s="1"/>
  <c r="BC36" i="10" a="1"/>
  <c r="BC36" i="10" s="1"/>
  <c r="BC33" i="10" a="1"/>
  <c r="BC33" i="10" s="1"/>
  <c r="G9" i="7" a="1"/>
  <c r="G9" i="7" s="1"/>
  <c r="BC22" i="10" a="1"/>
  <c r="BC22" i="10" s="1"/>
  <c r="H10" i="7" a="1"/>
  <c r="H10" i="7" s="1"/>
  <c r="H20" i="7" s="1"/>
  <c r="BD29" i="10" a="1"/>
  <c r="BD29" i="10" s="1"/>
  <c r="G8" i="7" a="1"/>
  <c r="G8" i="7" s="1"/>
  <c r="BC26" i="10" a="1"/>
  <c r="BC26" i="10" s="1"/>
  <c r="H8" i="7" a="1"/>
  <c r="H8" i="7" s="1"/>
  <c r="H18" i="7" s="1"/>
  <c r="BD26" i="10" a="1"/>
  <c r="BD26" i="10" s="1"/>
  <c r="BE32" i="10" a="1"/>
  <c r="BE32" i="10" s="1"/>
  <c r="BE35" i="10" a="1"/>
  <c r="BE35" i="10" s="1"/>
  <c r="H9" i="7" a="1"/>
  <c r="H9" i="7" s="1"/>
  <c r="H19" i="7" s="1"/>
  <c r="BD22" i="10" a="1"/>
  <c r="BD22" i="10" s="1"/>
  <c r="H7" i="7" a="1"/>
  <c r="H7" i="7" s="1"/>
  <c r="BD35" i="10" a="1"/>
  <c r="BD35" i="10" s="1"/>
  <c r="BD32" i="10" a="1"/>
  <c r="BD32" i="10" s="1"/>
  <c r="G10" i="7" a="1"/>
  <c r="G10" i="7" s="1"/>
  <c r="BC29" i="10" a="1"/>
  <c r="BC29" i="10" s="1"/>
  <c r="W8" i="10"/>
  <c r="X8" i="10"/>
  <c r="Y8" i="10"/>
  <c r="W9" i="10"/>
  <c r="X9" i="10"/>
  <c r="Y9" i="10"/>
  <c r="W6" i="10"/>
  <c r="X6" i="10"/>
  <c r="Y6" i="10"/>
  <c r="W10" i="10"/>
  <c r="X10" i="10"/>
  <c r="Y10" i="10"/>
  <c r="Y4" i="10"/>
  <c r="W4" i="10"/>
  <c r="X4" i="10"/>
  <c r="W5" i="10"/>
  <c r="X5" i="10"/>
  <c r="Y5" i="10"/>
  <c r="W11" i="10"/>
  <c r="X11" i="10"/>
  <c r="Y11" i="10"/>
  <c r="W7" i="10"/>
  <c r="X7" i="10"/>
  <c r="Y7" i="10"/>
  <c r="R39" i="2"/>
  <c r="V39" i="2"/>
  <c r="AC47" i="2"/>
  <c r="AB40" i="2"/>
  <c r="Y40" i="2"/>
  <c r="Z48" i="2"/>
  <c r="X41" i="2"/>
  <c r="AB41" i="2"/>
  <c r="R53" i="2"/>
  <c r="AD53" i="2"/>
  <c r="Z39" i="2"/>
  <c r="AD39" i="2"/>
  <c r="T46" i="2"/>
  <c r="Z53" i="2"/>
  <c r="X53" i="2"/>
  <c r="T39" i="2"/>
  <c r="W39" i="2"/>
  <c r="AB46" i="2"/>
  <c r="AD47" i="2"/>
  <c r="S47" i="2"/>
  <c r="R47" i="2"/>
  <c r="AC40" i="2"/>
  <c r="Z40" i="2"/>
  <c r="S48" i="2"/>
  <c r="Z41" i="2"/>
  <c r="U41" i="2"/>
  <c r="T53" i="2"/>
  <c r="S53" i="2"/>
  <c r="AB39" i="2"/>
  <c r="R46" i="2"/>
  <c r="AA47" i="2"/>
  <c r="U47" i="2"/>
  <c r="W40" i="2"/>
  <c r="V48" i="2"/>
  <c r="AA48" i="2"/>
  <c r="Y41" i="2"/>
  <c r="AC41" i="2"/>
  <c r="AB53" i="2"/>
  <c r="W53" i="2"/>
  <c r="S39" i="2"/>
  <c r="X46" i="2"/>
  <c r="U46" i="2"/>
  <c r="AB38" i="2"/>
  <c r="T38" i="2"/>
  <c r="AC38" i="2"/>
  <c r="AA38" i="2"/>
  <c r="S38" i="2"/>
  <c r="X38" i="2"/>
  <c r="Z38" i="2"/>
  <c r="R38" i="2"/>
  <c r="U38" i="2"/>
  <c r="Y38" i="2"/>
  <c r="W38" i="2"/>
  <c r="AD38" i="2"/>
  <c r="V38" i="2"/>
  <c r="AJ38" i="2" s="1"/>
  <c r="AH38" i="2"/>
  <c r="AL38" i="2"/>
  <c r="T47" i="2"/>
  <c r="X47" i="2"/>
  <c r="V40" i="2"/>
  <c r="AL40" i="2" s="1"/>
  <c r="AD48" i="2"/>
  <c r="U48" i="2"/>
  <c r="S41" i="2"/>
  <c r="AA53" i="2"/>
  <c r="U39" i="2"/>
  <c r="Y46" i="2"/>
  <c r="AC46" i="2"/>
  <c r="W47" i="2"/>
  <c r="AA51" i="2"/>
  <c r="S51" i="2"/>
  <c r="AB51" i="2"/>
  <c r="Z51" i="2"/>
  <c r="R51" i="2"/>
  <c r="T51" i="2"/>
  <c r="Y51" i="2"/>
  <c r="W51" i="2"/>
  <c r="X51" i="2"/>
  <c r="AD51" i="2"/>
  <c r="V51" i="2"/>
  <c r="AC51" i="2"/>
  <c r="U51" i="2"/>
  <c r="AG51" i="2"/>
  <c r="AO36" i="10"/>
  <c r="AB47" i="2"/>
  <c r="Z47" i="2"/>
  <c r="W48" i="2"/>
  <c r="AC48" i="2"/>
  <c r="AA41" i="2"/>
  <c r="U53" i="2"/>
  <c r="Y39" i="2"/>
  <c r="AC39" i="2"/>
  <c r="S46" i="2"/>
  <c r="W46" i="2"/>
  <c r="X50" i="2"/>
  <c r="Y50" i="2"/>
  <c r="W50" i="2"/>
  <c r="AB50" i="2"/>
  <c r="T50" i="2"/>
  <c r="AD50" i="2"/>
  <c r="V50" i="2"/>
  <c r="AC50" i="2"/>
  <c r="U50" i="2"/>
  <c r="AA50" i="2"/>
  <c r="S50" i="2"/>
  <c r="Z50" i="2"/>
  <c r="R50" i="2"/>
  <c r="V47" i="2"/>
  <c r="AM47" i="2" s="1"/>
  <c r="Y48" i="2"/>
  <c r="AM53" i="2"/>
  <c r="X39" i="2"/>
  <c r="AA46" i="2"/>
  <c r="AO27" i="10"/>
  <c r="AO43" i="10"/>
  <c r="AN43" i="10"/>
  <c r="AN31" i="10"/>
  <c r="H9" i="9"/>
  <c r="I9" i="9"/>
  <c r="I10" i="9"/>
  <c r="I15" i="9"/>
  <c r="I16" i="9" s="1"/>
  <c r="H15" i="9"/>
  <c r="J10" i="9"/>
  <c r="I6" i="9"/>
  <c r="G16" i="9"/>
  <c r="J14" i="9"/>
  <c r="J16" i="9" s="1"/>
  <c r="H14" i="9"/>
  <c r="I7" i="9"/>
  <c r="H7" i="9"/>
  <c r="AO34" i="10"/>
  <c r="AN34" i="10"/>
  <c r="I52" i="2"/>
  <c r="AF36" i="10"/>
  <c r="AH38" i="10"/>
  <c r="AN35" i="10"/>
  <c r="AO35" i="10"/>
  <c r="I66" i="2"/>
  <c r="I70" i="2"/>
  <c r="I62" i="2"/>
  <c r="I11" i="7" a="1"/>
  <c r="I11" i="7" s="1"/>
  <c r="I31" i="7" a="1"/>
  <c r="I31" i="7" s="1"/>
  <c r="J6" i="9"/>
  <c r="A22" i="7"/>
  <c r="I8" i="7" a="1"/>
  <c r="I8" i="7" s="1"/>
  <c r="A19" i="7"/>
  <c r="I30" i="7" a="1"/>
  <c r="I30" i="7" s="1"/>
  <c r="J8" i="9"/>
  <c r="H8" i="9"/>
  <c r="I9" i="7" a="1"/>
  <c r="I9" i="7" s="1"/>
  <c r="BE48" i="10"/>
  <c r="AO52" i="2"/>
  <c r="AP52" i="2" s="1"/>
  <c r="D37" i="8"/>
  <c r="J37" i="8" s="1"/>
  <c r="G11" i="9"/>
  <c r="H35" i="7"/>
  <c r="H36" i="7"/>
  <c r="G36" i="7"/>
  <c r="G35" i="7"/>
  <c r="G21" i="7"/>
  <c r="H17" i="7"/>
  <c r="G18" i="7"/>
  <c r="G19" i="7"/>
  <c r="G20" i="7"/>
  <c r="H21" i="7"/>
  <c r="I7" i="7" a="1"/>
  <c r="I7" i="7" s="1"/>
  <c r="I10" i="7" a="1"/>
  <c r="I10" i="7" s="1"/>
  <c r="F55" i="2"/>
  <c r="H44" i="8"/>
  <c r="F44" i="8"/>
  <c r="J44" i="8"/>
  <c r="E49" i="8"/>
  <c r="J36" i="8"/>
  <c r="BE27" i="10" s="1" a="1"/>
  <c r="BE27" i="10" s="1"/>
  <c r="F36" i="8"/>
  <c r="H36" i="8"/>
  <c r="E305" i="1"/>
  <c r="J83" i="2"/>
  <c r="J84" i="2" s="1"/>
  <c r="J85" i="2" s="1"/>
  <c r="H523" i="1"/>
  <c r="C511" i="1"/>
  <c r="E511" i="1"/>
  <c r="F511" i="1"/>
  <c r="D511" i="1"/>
  <c r="G511" i="1"/>
  <c r="E459" i="1"/>
  <c r="G459" i="1"/>
  <c r="F459" i="1"/>
  <c r="C459" i="1"/>
  <c r="D459" i="1"/>
  <c r="E8" i="1"/>
  <c r="C475" i="1"/>
  <c r="G475" i="1"/>
  <c r="F475" i="1"/>
  <c r="E475" i="1"/>
  <c r="H487" i="1"/>
  <c r="D475" i="1"/>
  <c r="F508" i="1"/>
  <c r="G508" i="1"/>
  <c r="H510" i="1"/>
  <c r="H520" i="1"/>
  <c r="E508" i="1"/>
  <c r="C508" i="1"/>
  <c r="D508" i="1"/>
  <c r="J305" i="1"/>
  <c r="E446" i="1"/>
  <c r="D446" i="1"/>
  <c r="F446" i="1"/>
  <c r="G446" i="1"/>
  <c r="C446" i="1"/>
  <c r="H458" i="1"/>
  <c r="E531" i="1"/>
  <c r="F531" i="1"/>
  <c r="G531" i="1"/>
  <c r="D531" i="1"/>
  <c r="C531" i="1"/>
  <c r="E456" i="1"/>
  <c r="F456" i="1"/>
  <c r="G456" i="1"/>
  <c r="D456" i="1"/>
  <c r="C456" i="1"/>
  <c r="H438" i="1"/>
  <c r="F436" i="1"/>
  <c r="C436" i="1"/>
  <c r="H448" i="1"/>
  <c r="D436" i="1"/>
  <c r="E436" i="1"/>
  <c r="G436" i="1"/>
  <c r="D492" i="1"/>
  <c r="C492" i="1"/>
  <c r="G492" i="1"/>
  <c r="E492" i="1"/>
  <c r="F492" i="1"/>
  <c r="D530" i="1"/>
  <c r="C530" i="1"/>
  <c r="E530" i="1"/>
  <c r="F530" i="1"/>
  <c r="G530" i="1"/>
  <c r="E328" i="1"/>
  <c r="H463" i="1"/>
  <c r="C451" i="1"/>
  <c r="D451" i="1"/>
  <c r="E451" i="1"/>
  <c r="G451" i="1"/>
  <c r="F451" i="1"/>
  <c r="D457" i="1"/>
  <c r="E457" i="1"/>
  <c r="G457" i="1"/>
  <c r="C457" i="1"/>
  <c r="F457" i="1"/>
  <c r="C533" i="1"/>
  <c r="D533" i="1"/>
  <c r="G533" i="1"/>
  <c r="E533" i="1"/>
  <c r="F533" i="1"/>
  <c r="I45" i="2"/>
  <c r="H54" i="2"/>
  <c r="H55" i="2" s="1"/>
  <c r="G461" i="1"/>
  <c r="E461" i="1"/>
  <c r="C461" i="1"/>
  <c r="D461" i="1"/>
  <c r="F461" i="1"/>
  <c r="C494" i="1"/>
  <c r="F494" i="1"/>
  <c r="G494" i="1"/>
  <c r="E494" i="1"/>
  <c r="D494" i="1"/>
  <c r="H476" i="1"/>
  <c r="D474" i="1"/>
  <c r="E474" i="1"/>
  <c r="F474" i="1"/>
  <c r="C474" i="1"/>
  <c r="G474" i="1"/>
  <c r="H486" i="1"/>
  <c r="E495" i="1"/>
  <c r="D495" i="1"/>
  <c r="F495" i="1"/>
  <c r="C495" i="1"/>
  <c r="G495" i="1"/>
  <c r="E484" i="1"/>
  <c r="D484" i="1"/>
  <c r="C484" i="1"/>
  <c r="H496" i="1"/>
  <c r="F484" i="1"/>
  <c r="G484" i="1"/>
  <c r="G497" i="1"/>
  <c r="D497" i="1"/>
  <c r="F497" i="1"/>
  <c r="C497" i="1"/>
  <c r="E497" i="1"/>
  <c r="J7" i="1"/>
  <c r="J8" i="1" s="1"/>
  <c r="A18" i="7" l="1"/>
  <c r="BE40" i="10"/>
  <c r="T62" i="2"/>
  <c r="AD62" i="2"/>
  <c r="V62" i="2"/>
  <c r="U62" i="2"/>
  <c r="AB62" i="2"/>
  <c r="S62" i="2"/>
  <c r="Y62" i="2"/>
  <c r="AM50" i="2"/>
  <c r="AN50" i="2"/>
  <c r="AJ46" i="2"/>
  <c r="AE39" i="2"/>
  <c r="AJ47" i="2"/>
  <c r="AJ51" i="2"/>
  <c r="AN51" i="2"/>
  <c r="AH51" i="2"/>
  <c r="AK51" i="2"/>
  <c r="AJ39" i="2"/>
  <c r="AH41" i="2"/>
  <c r="AG48" i="2"/>
  <c r="AE38" i="2"/>
  <c r="AF38" i="2"/>
  <c r="AN46" i="2"/>
  <c r="AG47" i="2"/>
  <c r="AF46" i="2"/>
  <c r="AF53" i="2"/>
  <c r="AJ41" i="2"/>
  <c r="AI48" i="2"/>
  <c r="AF40" i="2"/>
  <c r="AM41" i="2"/>
  <c r="D58" i="8"/>
  <c r="E57" i="8" s="1"/>
  <c r="E56" i="8"/>
  <c r="G12" i="7" a="1"/>
  <c r="G12" i="7" s="1"/>
  <c r="BC27" i="10" a="1"/>
  <c r="BC27" i="10" s="1"/>
  <c r="BC44" i="10"/>
  <c r="BE41" i="10"/>
  <c r="H12" i="7" a="1"/>
  <c r="H12" i="7" s="1"/>
  <c r="BD27" i="10" a="1"/>
  <c r="BD27" i="10" s="1"/>
  <c r="BC45" i="10"/>
  <c r="BC40" i="10"/>
  <c r="BC48" i="10"/>
  <c r="BD44" i="10"/>
  <c r="BD45" i="10"/>
  <c r="BD40" i="10"/>
  <c r="BD48" i="10"/>
  <c r="AB45" i="2"/>
  <c r="V45" i="2"/>
  <c r="Z45" i="2"/>
  <c r="AC45" i="2"/>
  <c r="R45" i="2"/>
  <c r="U45" i="2"/>
  <c r="T45" i="2"/>
  <c r="Y45" i="2"/>
  <c r="W45" i="2"/>
  <c r="AA45" i="2"/>
  <c r="X45" i="2"/>
  <c r="S45" i="2"/>
  <c r="AD45" i="2"/>
  <c r="T70" i="2"/>
  <c r="S70" i="2"/>
  <c r="W70" i="2"/>
  <c r="AD70" i="2"/>
  <c r="R70" i="2"/>
  <c r="V70" i="2"/>
  <c r="Z70" i="2"/>
  <c r="AC70" i="2"/>
  <c r="Y70" i="2"/>
  <c r="U70" i="2"/>
  <c r="AB70" i="2"/>
  <c r="AA70" i="2"/>
  <c r="X70" i="2"/>
  <c r="AF41" i="2"/>
  <c r="AJ50" i="2"/>
  <c r="AH48" i="2"/>
  <c r="AE46" i="2"/>
  <c r="AK47" i="2"/>
  <c r="AE41" i="2"/>
  <c r="W62" i="2"/>
  <c r="AF50" i="2"/>
  <c r="AM39" i="2"/>
  <c r="AJ48" i="2"/>
  <c r="AK38" i="2"/>
  <c r="AK39" i="2"/>
  <c r="AK53" i="2"/>
  <c r="AH39" i="2"/>
  <c r="AJ70" i="2"/>
  <c r="AK48" i="2"/>
  <c r="AH50" i="2"/>
  <c r="AG53" i="2"/>
  <c r="AJ40" i="2"/>
  <c r="AG46" i="2"/>
  <c r="AL46" i="2"/>
  <c r="AN41" i="2"/>
  <c r="AH47" i="2"/>
  <c r="AL39" i="2"/>
  <c r="AN48" i="2"/>
  <c r="AG39" i="2"/>
  <c r="AL70" i="2"/>
  <c r="AC62" i="2"/>
  <c r="AK40" i="2"/>
  <c r="AI50" i="2"/>
  <c r="AI53" i="2"/>
  <c r="AI51" i="2"/>
  <c r="AM51" i="2"/>
  <c r="AF48" i="2"/>
  <c r="AN40" i="2"/>
  <c r="AI38" i="2"/>
  <c r="AI46" i="2"/>
  <c r="AL47" i="2"/>
  <c r="AN39" i="2"/>
  <c r="T66" i="2"/>
  <c r="R66" i="2"/>
  <c r="AA66" i="2"/>
  <c r="X66" i="2"/>
  <c r="Z66" i="2"/>
  <c r="W66" i="2"/>
  <c r="Y66" i="2"/>
  <c r="U66" i="2"/>
  <c r="S66" i="2"/>
  <c r="AC66" i="2"/>
  <c r="AD66" i="2"/>
  <c r="AB66" i="2"/>
  <c r="V66" i="2"/>
  <c r="AA62" i="2"/>
  <c r="AM46" i="2"/>
  <c r="AE50" i="2"/>
  <c r="AG50" i="2"/>
  <c r="AN47" i="2"/>
  <c r="AF51" i="2"/>
  <c r="AH53" i="2"/>
  <c r="AN38" i="2"/>
  <c r="AH46" i="2"/>
  <c r="AI47" i="2"/>
  <c r="AN53" i="2"/>
  <c r="AJ53" i="2"/>
  <c r="AE53" i="2"/>
  <c r="AE40" i="2"/>
  <c r="X62" i="2"/>
  <c r="R62" i="2"/>
  <c r="AE70" i="2"/>
  <c r="AL50" i="2"/>
  <c r="AL41" i="2"/>
  <c r="AE51" i="2"/>
  <c r="AI41" i="2"/>
  <c r="AK41" i="2"/>
  <c r="AG38" i="2"/>
  <c r="AI40" i="2"/>
  <c r="AG40" i="2"/>
  <c r="AM48" i="2"/>
  <c r="AF47" i="2"/>
  <c r="AL53" i="2"/>
  <c r="AH40" i="2"/>
  <c r="AE48" i="2"/>
  <c r="Z62" i="2"/>
  <c r="AF39" i="2"/>
  <c r="AK50" i="2"/>
  <c r="AK46" i="2"/>
  <c r="AL51" i="2"/>
  <c r="AG41" i="2"/>
  <c r="AE47" i="2"/>
  <c r="AM38" i="2"/>
  <c r="AI39" i="2"/>
  <c r="AL48" i="2"/>
  <c r="AM40" i="2"/>
  <c r="I36" i="7"/>
  <c r="I35" i="7"/>
  <c r="I19" i="7"/>
  <c r="I21" i="7"/>
  <c r="I18" i="7"/>
  <c r="H16" i="9"/>
  <c r="AJ62" i="2"/>
  <c r="AK62" i="2"/>
  <c r="AF38" i="10"/>
  <c r="BE49" i="10"/>
  <c r="BE50" i="10"/>
  <c r="BE45" i="10"/>
  <c r="I12" i="7" a="1"/>
  <c r="I12" i="7" s="1"/>
  <c r="BE44" i="10"/>
  <c r="AO49" i="2"/>
  <c r="AP49" i="2" s="1"/>
  <c r="F37" i="8"/>
  <c r="H37" i="8"/>
  <c r="I11" i="9"/>
  <c r="I12" i="9" s="1"/>
  <c r="I18" i="9" s="1"/>
  <c r="H11" i="9"/>
  <c r="H12" i="9" s="1"/>
  <c r="H18" i="9" s="1"/>
  <c r="J11" i="9"/>
  <c r="J12" i="9" s="1"/>
  <c r="J18" i="9" s="1"/>
  <c r="G12" i="9"/>
  <c r="G18" i="9" s="1"/>
  <c r="I20" i="7"/>
  <c r="H22" i="7"/>
  <c r="I17" i="7"/>
  <c r="G22" i="7"/>
  <c r="C487" i="1"/>
  <c r="G487" i="1"/>
  <c r="H499" i="1"/>
  <c r="E487" i="1"/>
  <c r="D487" i="1"/>
  <c r="F487" i="1"/>
  <c r="F523" i="1"/>
  <c r="G523" i="1"/>
  <c r="H535" i="1"/>
  <c r="E523" i="1"/>
  <c r="C523" i="1"/>
  <c r="D523" i="1"/>
  <c r="E520" i="1"/>
  <c r="H532" i="1"/>
  <c r="F520" i="1"/>
  <c r="D520" i="1"/>
  <c r="G520" i="1"/>
  <c r="C520" i="1"/>
  <c r="C510" i="1"/>
  <c r="D510" i="1"/>
  <c r="H522" i="1"/>
  <c r="G510" i="1"/>
  <c r="F510" i="1"/>
  <c r="H512" i="1"/>
  <c r="E510" i="1"/>
  <c r="G486" i="1"/>
  <c r="E486" i="1"/>
  <c r="C486" i="1"/>
  <c r="H498" i="1"/>
  <c r="F486" i="1"/>
  <c r="D486" i="1"/>
  <c r="I54" i="2"/>
  <c r="I55" i="2" s="1"/>
  <c r="D438" i="1"/>
  <c r="H440" i="1"/>
  <c r="F438" i="1"/>
  <c r="C438" i="1"/>
  <c r="G438" i="1"/>
  <c r="E438" i="1"/>
  <c r="H450" i="1"/>
  <c r="F463" i="1"/>
  <c r="G463" i="1"/>
  <c r="D463" i="1"/>
  <c r="C463" i="1"/>
  <c r="E463" i="1"/>
  <c r="F496" i="1"/>
  <c r="D496" i="1"/>
  <c r="G496" i="1"/>
  <c r="E496" i="1"/>
  <c r="C496" i="1"/>
  <c r="G458" i="1"/>
  <c r="F458" i="1"/>
  <c r="E458" i="1"/>
  <c r="D458" i="1"/>
  <c r="C458" i="1"/>
  <c r="G476" i="1"/>
  <c r="G477" i="1" s="1"/>
  <c r="H60" i="2" s="1"/>
  <c r="F476" i="1"/>
  <c r="F477" i="1" s="1"/>
  <c r="C476" i="1"/>
  <c r="C477" i="1" s="1"/>
  <c r="F60" i="2" s="1"/>
  <c r="AH41" i="10" s="1"/>
  <c r="E476" i="1"/>
  <c r="D476" i="1"/>
  <c r="D477" i="1" s="1"/>
  <c r="K60" i="2" s="1"/>
  <c r="H488" i="1"/>
  <c r="F448" i="1"/>
  <c r="H460" i="1"/>
  <c r="E448" i="1"/>
  <c r="C448" i="1"/>
  <c r="D448" i="1"/>
  <c r="G448" i="1"/>
  <c r="AF41" i="10" l="1"/>
  <c r="I60" i="2"/>
  <c r="AM62" i="2"/>
  <c r="AH62" i="2"/>
  <c r="AF66" i="2"/>
  <c r="AN66" i="2"/>
  <c r="AH70" i="2"/>
  <c r="AG70" i="2"/>
  <c r="AJ45" i="2"/>
  <c r="AH45" i="2"/>
  <c r="F30" i="2"/>
  <c r="Z33" i="10"/>
  <c r="BD41" i="10"/>
  <c r="BC41" i="10"/>
  <c r="AI70" i="2"/>
  <c r="AM45" i="2"/>
  <c r="AL45" i="2"/>
  <c r="AL62" i="2"/>
  <c r="AG45" i="2"/>
  <c r="AG62" i="2"/>
  <c r="AF70" i="2"/>
  <c r="AK45" i="2"/>
  <c r="AM66" i="2"/>
  <c r="AG66" i="2"/>
  <c r="AL66" i="2"/>
  <c r="AK66" i="2"/>
  <c r="AI66" i="2"/>
  <c r="AE66" i="2"/>
  <c r="AI62" i="2"/>
  <c r="AE62" i="2"/>
  <c r="AN70" i="2"/>
  <c r="AK70" i="2"/>
  <c r="AE45" i="2"/>
  <c r="AF45" i="2"/>
  <c r="AI45" i="2"/>
  <c r="AH66" i="2"/>
  <c r="AF62" i="2"/>
  <c r="AN62" i="2"/>
  <c r="AM70" i="2"/>
  <c r="AN45" i="2"/>
  <c r="AJ66" i="2"/>
  <c r="AG26" i="10"/>
  <c r="AL26" i="10" s="1"/>
  <c r="AM26" i="10" s="1"/>
  <c r="AP26" i="10" s="1"/>
  <c r="AQ26" i="10" s="1"/>
  <c r="AG32" i="10"/>
  <c r="AL32" i="10" s="1"/>
  <c r="AM32" i="10" s="1"/>
  <c r="AP32" i="10" s="1"/>
  <c r="AQ32" i="10" s="1"/>
  <c r="AG37" i="10"/>
  <c r="AL37" i="10" s="1"/>
  <c r="AM37" i="10" s="1"/>
  <c r="AP37" i="10" s="1"/>
  <c r="AQ37" i="10" s="1"/>
  <c r="AG34" i="10"/>
  <c r="AL34" i="10" s="1"/>
  <c r="AM34" i="10" s="1"/>
  <c r="AP34" i="10" s="1"/>
  <c r="AQ34" i="10" s="1"/>
  <c r="AG28" i="10"/>
  <c r="AL28" i="10" s="1"/>
  <c r="AM28" i="10" s="1"/>
  <c r="AP28" i="10" s="1"/>
  <c r="AQ28" i="10" s="1"/>
  <c r="AG35" i="10"/>
  <c r="AL35" i="10" s="1"/>
  <c r="AM35" i="10" s="1"/>
  <c r="AP35" i="10" s="1"/>
  <c r="AQ35" i="10" s="1"/>
  <c r="AG25" i="10"/>
  <c r="AL25" i="10" s="1"/>
  <c r="AM25" i="10" s="1"/>
  <c r="AP25" i="10" s="1"/>
  <c r="AQ25" i="10" s="1"/>
  <c r="AG30" i="10"/>
  <c r="AL30" i="10" s="1"/>
  <c r="AM30" i="10" s="1"/>
  <c r="AP30" i="10" s="1"/>
  <c r="AQ30" i="10" s="1"/>
  <c r="AG33" i="10"/>
  <c r="AL33" i="10" s="1"/>
  <c r="AM33" i="10" s="1"/>
  <c r="AP33" i="10" s="1"/>
  <c r="AQ33" i="10" s="1"/>
  <c r="AG27" i="10"/>
  <c r="AL27" i="10" s="1"/>
  <c r="AM27" i="10" s="1"/>
  <c r="AP27" i="10" s="1"/>
  <c r="AQ27" i="10" s="1"/>
  <c r="AG24" i="10"/>
  <c r="AL24" i="10" s="1"/>
  <c r="AM24" i="10" s="1"/>
  <c r="AP24" i="10" s="1"/>
  <c r="AQ24" i="10" s="1"/>
  <c r="AG23" i="10"/>
  <c r="AL23" i="10" s="1"/>
  <c r="AM23" i="10" s="1"/>
  <c r="AP23" i="10" s="1"/>
  <c r="AQ23" i="10" s="1"/>
  <c r="AG31" i="10"/>
  <c r="AL31" i="10" s="1"/>
  <c r="AM31" i="10" s="1"/>
  <c r="AP31" i="10" s="1"/>
  <c r="AQ31" i="10" s="1"/>
  <c r="AG22" i="10"/>
  <c r="AG29" i="10"/>
  <c r="AL29" i="10" s="1"/>
  <c r="AM29" i="10" s="1"/>
  <c r="AP29" i="10" s="1"/>
  <c r="AQ29" i="10" s="1"/>
  <c r="AG36" i="10"/>
  <c r="AL36" i="10" s="1"/>
  <c r="AM36" i="10" s="1"/>
  <c r="AP36" i="10" s="1"/>
  <c r="AQ36" i="10" s="1"/>
  <c r="I22" i="7"/>
  <c r="N55" i="2"/>
  <c r="AO50" i="2"/>
  <c r="AP50" i="2" s="1"/>
  <c r="AO38" i="2"/>
  <c r="AO51" i="2"/>
  <c r="AP51" i="2" s="1"/>
  <c r="AO48" i="2"/>
  <c r="AP48" i="2" s="1"/>
  <c r="AO46" i="2"/>
  <c r="AP46" i="2" s="1"/>
  <c r="AO41" i="2"/>
  <c r="AP41" i="2" s="1"/>
  <c r="AO47" i="2"/>
  <c r="AP47" i="2" s="1"/>
  <c r="AO40" i="2"/>
  <c r="AP40" i="2" s="1"/>
  <c r="AO39" i="2"/>
  <c r="AP39" i="2" s="1"/>
  <c r="AO53" i="2"/>
  <c r="AP53" i="2" s="1"/>
  <c r="F535" i="1"/>
  <c r="C535" i="1"/>
  <c r="G535" i="1"/>
  <c r="D535" i="1"/>
  <c r="E535" i="1"/>
  <c r="D532" i="1"/>
  <c r="F532" i="1"/>
  <c r="C532" i="1"/>
  <c r="E532" i="1"/>
  <c r="G532" i="1"/>
  <c r="F512" i="1"/>
  <c r="F513" i="1" s="1"/>
  <c r="E512" i="1"/>
  <c r="D512" i="1"/>
  <c r="D513" i="1" s="1"/>
  <c r="K61" i="2" s="1"/>
  <c r="C512" i="1"/>
  <c r="C513" i="1" s="1"/>
  <c r="F61" i="2" s="1"/>
  <c r="AH42" i="10" s="1"/>
  <c r="H524" i="1"/>
  <c r="G512" i="1"/>
  <c r="G513" i="1" s="1"/>
  <c r="H61" i="2" s="1"/>
  <c r="D522" i="1"/>
  <c r="H534" i="1"/>
  <c r="C522" i="1"/>
  <c r="E522" i="1"/>
  <c r="F522" i="1"/>
  <c r="G522" i="1"/>
  <c r="D499" i="1"/>
  <c r="C499" i="1"/>
  <c r="E499" i="1"/>
  <c r="G499" i="1"/>
  <c r="F499" i="1"/>
  <c r="C488" i="1"/>
  <c r="C489" i="1" s="1"/>
  <c r="F64" i="2" s="1"/>
  <c r="AH45" i="10" s="1"/>
  <c r="H500" i="1"/>
  <c r="E488" i="1"/>
  <c r="D488" i="1"/>
  <c r="D489" i="1" s="1"/>
  <c r="K64" i="2" s="1"/>
  <c r="F488" i="1"/>
  <c r="F489" i="1" s="1"/>
  <c r="G488" i="1"/>
  <c r="G489" i="1" s="1"/>
  <c r="H64" i="2" s="1"/>
  <c r="G460" i="1"/>
  <c r="D460" i="1"/>
  <c r="C460" i="1"/>
  <c r="E460" i="1"/>
  <c r="F460" i="1"/>
  <c r="D450" i="1"/>
  <c r="G450" i="1"/>
  <c r="C450" i="1"/>
  <c r="H462" i="1"/>
  <c r="F450" i="1"/>
  <c r="E450" i="1"/>
  <c r="F498" i="1"/>
  <c r="C498" i="1"/>
  <c r="G498" i="1"/>
  <c r="D498" i="1"/>
  <c r="E498" i="1"/>
  <c r="F440" i="1"/>
  <c r="F441" i="1" s="1"/>
  <c r="D440" i="1"/>
  <c r="D441" i="1" s="1"/>
  <c r="K59" i="2" s="1"/>
  <c r="E440" i="1"/>
  <c r="C440" i="1"/>
  <c r="C441" i="1" s="1"/>
  <c r="F59" i="2" s="1"/>
  <c r="AH40" i="10" s="1"/>
  <c r="G440" i="1"/>
  <c r="G441" i="1" s="1"/>
  <c r="H59" i="2" s="1"/>
  <c r="H452" i="1"/>
  <c r="E477" i="1"/>
  <c r="G60" i="2" s="1"/>
  <c r="AF40" i="10" l="1"/>
  <c r="I59" i="2"/>
  <c r="AF45" i="10"/>
  <c r="I64" i="2"/>
  <c r="AF42" i="10"/>
  <c r="I61" i="2"/>
  <c r="Z34" i="10"/>
  <c r="Z35" i="10"/>
  <c r="Z40" i="10" s="1"/>
  <c r="H30" i="2"/>
  <c r="F31" i="2"/>
  <c r="AR29" i="10"/>
  <c r="AR31" i="10"/>
  <c r="AR28" i="10"/>
  <c r="AR23" i="10"/>
  <c r="AR34" i="10"/>
  <c r="AL22" i="10"/>
  <c r="AG38" i="10"/>
  <c r="AR35" i="10"/>
  <c r="AR24" i="10"/>
  <c r="AR37" i="10"/>
  <c r="AR27" i="10"/>
  <c r="AR32" i="10"/>
  <c r="AR33" i="10"/>
  <c r="AR26" i="10"/>
  <c r="M60" i="2"/>
  <c r="AI41" i="10"/>
  <c r="AK41" i="10" s="1"/>
  <c r="AR25" i="10"/>
  <c r="AR36" i="10"/>
  <c r="AR30" i="10"/>
  <c r="AY53" i="10"/>
  <c r="AO45" i="2"/>
  <c r="AP45" i="2" s="1"/>
  <c r="AP38" i="2"/>
  <c r="AO70" i="2"/>
  <c r="AP70" i="2" s="1"/>
  <c r="AO66" i="2"/>
  <c r="AP66" i="2" s="1"/>
  <c r="N60" i="2"/>
  <c r="O60" i="2" s="1"/>
  <c r="P60" i="2" s="1"/>
  <c r="AO62" i="2"/>
  <c r="AP62" i="2" s="1"/>
  <c r="E513" i="1"/>
  <c r="G61" i="2" s="1"/>
  <c r="AI42" i="10" s="1"/>
  <c r="AK42" i="10" s="1"/>
  <c r="H536" i="1"/>
  <c r="F524" i="1"/>
  <c r="F525" i="1" s="1"/>
  <c r="C524" i="1"/>
  <c r="C525" i="1" s="1"/>
  <c r="F65" i="2" s="1"/>
  <c r="AH46" i="10" s="1"/>
  <c r="D524" i="1"/>
  <c r="D525" i="1" s="1"/>
  <c r="K65" i="2" s="1"/>
  <c r="G524" i="1"/>
  <c r="G525" i="1" s="1"/>
  <c r="H65" i="2" s="1"/>
  <c r="E524" i="1"/>
  <c r="C534" i="1"/>
  <c r="F534" i="1"/>
  <c r="G534" i="1"/>
  <c r="D534" i="1"/>
  <c r="E534" i="1"/>
  <c r="E441" i="1"/>
  <c r="G59" i="2" s="1"/>
  <c r="G452" i="1"/>
  <c r="G453" i="1" s="1"/>
  <c r="H63" i="2" s="1"/>
  <c r="E452" i="1"/>
  <c r="F452" i="1"/>
  <c r="F453" i="1" s="1"/>
  <c r="C452" i="1"/>
  <c r="C453" i="1" s="1"/>
  <c r="F63" i="2" s="1"/>
  <c r="AH44" i="10" s="1"/>
  <c r="D452" i="1"/>
  <c r="D453" i="1" s="1"/>
  <c r="K63" i="2" s="1"/>
  <c r="H464" i="1"/>
  <c r="E500" i="1"/>
  <c r="C500" i="1"/>
  <c r="C501" i="1" s="1"/>
  <c r="F68" i="2" s="1"/>
  <c r="AH49" i="10" s="1"/>
  <c r="G500" i="1"/>
  <c r="G501" i="1" s="1"/>
  <c r="H68" i="2" s="1"/>
  <c r="F500" i="1"/>
  <c r="F501" i="1" s="1"/>
  <c r="D500" i="1"/>
  <c r="D501" i="1" s="1"/>
  <c r="K68" i="2" s="1"/>
  <c r="E489" i="1"/>
  <c r="G64" i="2" s="1"/>
  <c r="C462" i="1"/>
  <c r="E462" i="1"/>
  <c r="D462" i="1"/>
  <c r="G462" i="1"/>
  <c r="F462" i="1"/>
  <c r="AF49" i="10" l="1"/>
  <c r="I68" i="2"/>
  <c r="AF44" i="10"/>
  <c r="I63" i="2"/>
  <c r="AF46" i="10"/>
  <c r="I65" i="2"/>
  <c r="I30" i="2"/>
  <c r="H31" i="2"/>
  <c r="AD60" i="2"/>
  <c r="V60" i="2"/>
  <c r="AB60" i="2"/>
  <c r="AA60" i="2"/>
  <c r="AC60" i="2"/>
  <c r="U60" i="2"/>
  <c r="T60" i="2"/>
  <c r="S60" i="2"/>
  <c r="R60" i="2"/>
  <c r="Y60" i="2"/>
  <c r="X60" i="2"/>
  <c r="Z60" i="2"/>
  <c r="W60" i="2"/>
  <c r="AO41" i="10"/>
  <c r="AN41" i="10"/>
  <c r="AM22" i="10"/>
  <c r="AL38" i="10"/>
  <c r="M59" i="2"/>
  <c r="AI40" i="10"/>
  <c r="AK40" i="10" s="1"/>
  <c r="M64" i="2"/>
  <c r="AI45" i="10"/>
  <c r="AK45" i="10" s="1"/>
  <c r="AO42" i="10"/>
  <c r="AN42" i="10"/>
  <c r="AO54" i="2"/>
  <c r="AP54" i="2"/>
  <c r="AR45" i="2" s="1"/>
  <c r="F10" i="7" s="1"/>
  <c r="N59" i="2"/>
  <c r="O59" i="2" s="1"/>
  <c r="P59" i="2" s="1"/>
  <c r="N61" i="2"/>
  <c r="O61" i="2" s="1"/>
  <c r="P61" i="2" s="1"/>
  <c r="N64" i="2"/>
  <c r="O64" i="2" s="1"/>
  <c r="P64" i="2" s="1"/>
  <c r="M61" i="2"/>
  <c r="C536" i="1"/>
  <c r="D536" i="1"/>
  <c r="D537" i="1" s="1"/>
  <c r="K69" i="2" s="1"/>
  <c r="E536" i="1"/>
  <c r="G536" i="1"/>
  <c r="G537" i="1" s="1"/>
  <c r="H69" i="2" s="1"/>
  <c r="F536" i="1"/>
  <c r="F537" i="1" s="1"/>
  <c r="C537" i="1"/>
  <c r="F69" i="2" s="1"/>
  <c r="AH50" i="10" s="1"/>
  <c r="E525" i="1"/>
  <c r="G65" i="2" s="1"/>
  <c r="E501" i="1"/>
  <c r="G68" i="2" s="1"/>
  <c r="AI49" i="10" s="1"/>
  <c r="AK49" i="10" s="1"/>
  <c r="E453" i="1"/>
  <c r="G63" i="2" s="1"/>
  <c r="C464" i="1"/>
  <c r="C465" i="1" s="1"/>
  <c r="F67" i="2" s="1"/>
  <c r="AH48" i="10" s="1"/>
  <c r="D464" i="1"/>
  <c r="D465" i="1" s="1"/>
  <c r="K67" i="2" s="1"/>
  <c r="E464" i="1"/>
  <c r="F464" i="1"/>
  <c r="F465" i="1" s="1"/>
  <c r="G464" i="1"/>
  <c r="G465" i="1" s="1"/>
  <c r="H67" i="2" s="1"/>
  <c r="AF48" i="10" l="1"/>
  <c r="I67" i="2"/>
  <c r="H71" i="2"/>
  <c r="H72" i="2" s="1"/>
  <c r="AF50" i="10"/>
  <c r="I69" i="2"/>
  <c r="AM60" i="2"/>
  <c r="I31" i="2"/>
  <c r="J30" i="2"/>
  <c r="J31" i="2" s="1"/>
  <c r="J10" i="7"/>
  <c r="L10" i="7"/>
  <c r="K10" i="7"/>
  <c r="AF60" i="2"/>
  <c r="AK60" i="2"/>
  <c r="AI60" i="2"/>
  <c r="AH60" i="2"/>
  <c r="AG60" i="2"/>
  <c r="AA61" i="2"/>
  <c r="Z61" i="2"/>
  <c r="AD61" i="2"/>
  <c r="T61" i="2"/>
  <c r="Y61" i="2"/>
  <c r="X61" i="2"/>
  <c r="R61" i="2"/>
  <c r="V61" i="2"/>
  <c r="W61" i="2"/>
  <c r="AB61" i="2"/>
  <c r="AC61" i="2"/>
  <c r="U61" i="2"/>
  <c r="S61" i="2"/>
  <c r="U59" i="2"/>
  <c r="AJ59" i="2"/>
  <c r="AB59" i="2"/>
  <c r="T59" i="2"/>
  <c r="AH59" i="2"/>
  <c r="AG59" i="2"/>
  <c r="AN59" i="2"/>
  <c r="AO59" i="2" s="1"/>
  <c r="AM59" i="2"/>
  <c r="R59" i="2"/>
  <c r="AC59" i="2"/>
  <c r="AI59" i="2"/>
  <c r="AA59" i="2"/>
  <c r="S59" i="2"/>
  <c r="Y59" i="2"/>
  <c r="AF59" i="2"/>
  <c r="Z59" i="2"/>
  <c r="W59" i="2"/>
  <c r="V59" i="2"/>
  <c r="X59" i="2"/>
  <c r="AE59" i="2"/>
  <c r="AD59" i="2"/>
  <c r="AK59" i="2"/>
  <c r="AL59" i="2"/>
  <c r="AN60" i="2"/>
  <c r="AE60" i="2"/>
  <c r="AL60" i="2"/>
  <c r="W64" i="2"/>
  <c r="AD64" i="2"/>
  <c r="V64" i="2"/>
  <c r="R64" i="2"/>
  <c r="AB64" i="2"/>
  <c r="AA64" i="2"/>
  <c r="Z64" i="2"/>
  <c r="X64" i="2"/>
  <c r="AC64" i="2"/>
  <c r="U64" i="2"/>
  <c r="T64" i="2"/>
  <c r="S64" i="2"/>
  <c r="Y64" i="2"/>
  <c r="AJ60" i="2"/>
  <c r="AR38" i="2"/>
  <c r="F9" i="7" s="1"/>
  <c r="AR42" i="2"/>
  <c r="F8" i="7" s="1"/>
  <c r="AR44" i="2"/>
  <c r="AR43" i="2"/>
  <c r="F12" i="7" s="1"/>
  <c r="AR52" i="2"/>
  <c r="AR49" i="2"/>
  <c r="F11" i="7" s="1"/>
  <c r="AR40" i="2"/>
  <c r="AR50" i="2"/>
  <c r="AR41" i="2"/>
  <c r="AR51" i="2"/>
  <c r="AR48" i="2"/>
  <c r="F7" i="7" s="1"/>
  <c r="AR47" i="2"/>
  <c r="F31" i="7" s="1"/>
  <c r="AR46" i="2"/>
  <c r="F30" i="7" s="1"/>
  <c r="AR53" i="2"/>
  <c r="AR39" i="2"/>
  <c r="AH52" i="10"/>
  <c r="M63" i="2"/>
  <c r="AI44" i="10"/>
  <c r="AK44" i="10" s="1"/>
  <c r="M65" i="2"/>
  <c r="AI46" i="10"/>
  <c r="AK46" i="10" s="1"/>
  <c r="AO49" i="10"/>
  <c r="AN49" i="10"/>
  <c r="AM38" i="10"/>
  <c r="AP22" i="10"/>
  <c r="AP38" i="10" s="1"/>
  <c r="AO40" i="10"/>
  <c r="AN40" i="10"/>
  <c r="AO45" i="10"/>
  <c r="AN45" i="10"/>
  <c r="N68" i="2"/>
  <c r="O68" i="2" s="1"/>
  <c r="P68" i="2" s="1"/>
  <c r="N65" i="2"/>
  <c r="O65" i="2" s="1"/>
  <c r="P65" i="2" s="1"/>
  <c r="N63" i="2"/>
  <c r="O63" i="2" s="1"/>
  <c r="P63" i="2" s="1"/>
  <c r="M68" i="2"/>
  <c r="E537" i="1"/>
  <c r="G69" i="2" s="1"/>
  <c r="AI50" i="10" s="1"/>
  <c r="AK50" i="10" s="1"/>
  <c r="F71" i="2"/>
  <c r="F72" i="2" s="1"/>
  <c r="E465" i="1"/>
  <c r="G67" i="2" s="1"/>
  <c r="I71" i="2" l="1"/>
  <c r="I72" i="2" s="1"/>
  <c r="AF52" i="10"/>
  <c r="K9" i="7"/>
  <c r="J9" i="7"/>
  <c r="L9" i="7"/>
  <c r="L7" i="7"/>
  <c r="J7" i="7"/>
  <c r="K7" i="7"/>
  <c r="J8" i="7"/>
  <c r="L8" i="7"/>
  <c r="K8" i="7"/>
  <c r="L11" i="7"/>
  <c r="K11" i="7"/>
  <c r="J11" i="7"/>
  <c r="L30" i="7"/>
  <c r="K30" i="7"/>
  <c r="J30" i="7"/>
  <c r="J31" i="7"/>
  <c r="K31" i="7"/>
  <c r="L31" i="7"/>
  <c r="J12" i="7"/>
  <c r="L12" i="7"/>
  <c r="K12" i="7"/>
  <c r="AH61" i="2"/>
  <c r="AI64" i="2"/>
  <c r="AN61" i="2"/>
  <c r="AD68" i="2"/>
  <c r="V68" i="2"/>
  <c r="AC68" i="2"/>
  <c r="U68" i="2"/>
  <c r="S68" i="2"/>
  <c r="R68" i="2"/>
  <c r="AB68" i="2"/>
  <c r="T68" i="2"/>
  <c r="AA68" i="2"/>
  <c r="Z68" i="2"/>
  <c r="Y68" i="2"/>
  <c r="X68" i="2"/>
  <c r="W68" i="2"/>
  <c r="AH64" i="2"/>
  <c r="AJ64" i="2"/>
  <c r="AM64" i="2"/>
  <c r="AF61" i="2"/>
  <c r="AA63" i="2"/>
  <c r="S63" i="2"/>
  <c r="Z63" i="2"/>
  <c r="X63" i="2"/>
  <c r="AC63" i="2"/>
  <c r="Y63" i="2"/>
  <c r="R63" i="2"/>
  <c r="W63" i="2"/>
  <c r="AD63" i="2"/>
  <c r="U63" i="2"/>
  <c r="V63" i="2"/>
  <c r="AB63" i="2"/>
  <c r="T63" i="2"/>
  <c r="AG64" i="2"/>
  <c r="AK64" i="2"/>
  <c r="AI61" i="2"/>
  <c r="AN64" i="2"/>
  <c r="AJ61" i="2"/>
  <c r="AE64" i="2"/>
  <c r="AE61" i="2"/>
  <c r="AL64" i="2"/>
  <c r="AK61" i="2"/>
  <c r="AL61" i="2"/>
  <c r="AF64" i="2"/>
  <c r="AM61" i="2"/>
  <c r="AG61" i="2"/>
  <c r="AA65" i="2"/>
  <c r="S65" i="2"/>
  <c r="Z65" i="2"/>
  <c r="Y65" i="2"/>
  <c r="X65" i="2"/>
  <c r="V65" i="2"/>
  <c r="T65" i="2"/>
  <c r="W65" i="2"/>
  <c r="AD65" i="2"/>
  <c r="AC65" i="2"/>
  <c r="R65" i="2"/>
  <c r="AB65" i="2"/>
  <c r="U65" i="2"/>
  <c r="AO50" i="10"/>
  <c r="AN50" i="10"/>
  <c r="AO46" i="10"/>
  <c r="AN46" i="10"/>
  <c r="AQ22" i="10"/>
  <c r="AO44" i="10"/>
  <c r="AN44" i="10"/>
  <c r="M67" i="2"/>
  <c r="AI48" i="10"/>
  <c r="AK48" i="10" s="1"/>
  <c r="AR54" i="2"/>
  <c r="AP59" i="2"/>
  <c r="AO60" i="2"/>
  <c r="AP60" i="2" s="1"/>
  <c r="N69" i="2"/>
  <c r="O69" i="2" s="1"/>
  <c r="P69" i="2" s="1"/>
  <c r="N67" i="2"/>
  <c r="O67" i="2" s="1"/>
  <c r="P67" i="2" s="1"/>
  <c r="M69" i="2"/>
  <c r="AG40" i="10" l="1"/>
  <c r="AG47" i="10"/>
  <c r="AL47" i="10" s="1"/>
  <c r="AM47" i="10" s="1"/>
  <c r="AP47" i="10" s="1"/>
  <c r="AQ47" i="10" s="1"/>
  <c r="AR47" i="10" s="1"/>
  <c r="AG51" i="10"/>
  <c r="AL51" i="10" s="1"/>
  <c r="AM51" i="10" s="1"/>
  <c r="AP51" i="10" s="1"/>
  <c r="AQ51" i="10" s="1"/>
  <c r="AR51" i="10" s="1"/>
  <c r="AG43" i="10"/>
  <c r="AL43" i="10" s="1"/>
  <c r="AM43" i="10" s="1"/>
  <c r="AP43" i="10" s="1"/>
  <c r="AQ43" i="10" s="1"/>
  <c r="AR43" i="10" s="1"/>
  <c r="AF53" i="10"/>
  <c r="AG41" i="10"/>
  <c r="AL41" i="10" s="1"/>
  <c r="AM41" i="10" s="1"/>
  <c r="AP41" i="10" s="1"/>
  <c r="AQ41" i="10" s="1"/>
  <c r="AR41" i="10" s="1"/>
  <c r="AG42" i="10"/>
  <c r="AL42" i="10" s="1"/>
  <c r="AM42" i="10" s="1"/>
  <c r="AP42" i="10" s="1"/>
  <c r="AQ42" i="10" s="1"/>
  <c r="AR42" i="10" s="1"/>
  <c r="AG45" i="10"/>
  <c r="AL45" i="10" s="1"/>
  <c r="AM45" i="10" s="1"/>
  <c r="AP45" i="10" s="1"/>
  <c r="AQ45" i="10" s="1"/>
  <c r="AG46" i="10"/>
  <c r="AL46" i="10" s="1"/>
  <c r="AM46" i="10" s="1"/>
  <c r="AG44" i="10"/>
  <c r="AL44" i="10" s="1"/>
  <c r="AM44" i="10" s="1"/>
  <c r="AG49" i="10"/>
  <c r="AL49" i="10" s="1"/>
  <c r="AM49" i="10" s="1"/>
  <c r="AP49" i="10" s="1"/>
  <c r="AQ49" i="10" s="1"/>
  <c r="AG50" i="10"/>
  <c r="AL50" i="10" s="1"/>
  <c r="AM50" i="10" s="1"/>
  <c r="AG48" i="10"/>
  <c r="AK68" i="2"/>
  <c r="AE63" i="2"/>
  <c r="AK63" i="2"/>
  <c r="AF63" i="2"/>
  <c r="AL65" i="2"/>
  <c r="AL63" i="2"/>
  <c r="AJ63" i="2"/>
  <c r="AM63" i="2"/>
  <c r="AI68" i="2"/>
  <c r="AJ65" i="2"/>
  <c r="AM68" i="2"/>
  <c r="AI65" i="2"/>
  <c r="AN68" i="2"/>
  <c r="AH68" i="2"/>
  <c r="AJ68" i="2"/>
  <c r="AH65" i="2"/>
  <c r="AM65" i="2"/>
  <c r="AN63" i="2"/>
  <c r="AE68" i="2"/>
  <c r="AF65" i="2"/>
  <c r="AK65" i="2"/>
  <c r="AI63" i="2"/>
  <c r="AL68" i="2"/>
  <c r="AE65" i="2"/>
  <c r="AG63" i="2"/>
  <c r="AG68" i="2"/>
  <c r="Z69" i="2"/>
  <c r="Y69" i="2"/>
  <c r="AD69" i="2"/>
  <c r="V69" i="2"/>
  <c r="AC69" i="2"/>
  <c r="T69" i="2"/>
  <c r="X69" i="2"/>
  <c r="U69" i="2"/>
  <c r="AB69" i="2"/>
  <c r="S69" i="2"/>
  <c r="W69" i="2"/>
  <c r="R69" i="2"/>
  <c r="AA69" i="2"/>
  <c r="AN65" i="2"/>
  <c r="AA67" i="2"/>
  <c r="S67" i="2"/>
  <c r="Z67" i="2"/>
  <c r="X67" i="2"/>
  <c r="AD67" i="2"/>
  <c r="Y67" i="2"/>
  <c r="W67" i="2"/>
  <c r="V67" i="2"/>
  <c r="U67" i="2"/>
  <c r="R67" i="2"/>
  <c r="AB67" i="2"/>
  <c r="AC67" i="2"/>
  <c r="T67" i="2"/>
  <c r="AG65" i="2"/>
  <c r="AH63" i="2"/>
  <c r="AF68" i="2"/>
  <c r="AR49" i="10"/>
  <c r="AQ38" i="10"/>
  <c r="AR22" i="10"/>
  <c r="AO48" i="10"/>
  <c r="AN48" i="10"/>
  <c r="AL48" i="10"/>
  <c r="AM48" i="10" s="1"/>
  <c r="AP50" i="10"/>
  <c r="AQ50" i="10" s="1"/>
  <c r="AP44" i="10"/>
  <c r="AQ44" i="10" s="1"/>
  <c r="AP46" i="10"/>
  <c r="AQ46" i="10" s="1"/>
  <c r="AR45" i="10"/>
  <c r="N72" i="2"/>
  <c r="L32" i="7"/>
  <c r="K32" i="7"/>
  <c r="AO61" i="2"/>
  <c r="AP61" i="2" s="1"/>
  <c r="AO64" i="2"/>
  <c r="AP64" i="2" s="1"/>
  <c r="AN67" i="2" l="1"/>
  <c r="AG52" i="10"/>
  <c r="AG53" i="10" s="1"/>
  <c r="AL40" i="10"/>
  <c r="AM40" i="10"/>
  <c r="AG69" i="2"/>
  <c r="AE69" i="2"/>
  <c r="AG67" i="2"/>
  <c r="AF69" i="2"/>
  <c r="AJ67" i="2"/>
  <c r="AF67" i="2"/>
  <c r="AH69" i="2"/>
  <c r="AN69" i="2"/>
  <c r="AK67" i="2"/>
  <c r="AK69" i="2"/>
  <c r="AM67" i="2"/>
  <c r="AI67" i="2"/>
  <c r="AL69" i="2"/>
  <c r="AL67" i="2"/>
  <c r="AM69" i="2"/>
  <c r="AH67" i="2"/>
  <c r="AJ69" i="2"/>
  <c r="AE67" i="2"/>
  <c r="AI69" i="2"/>
  <c r="AL52" i="10"/>
  <c r="AL53" i="10" s="1"/>
  <c r="AP48" i="10"/>
  <c r="AQ48" i="10" s="1"/>
  <c r="AR38" i="10"/>
  <c r="AR46" i="10"/>
  <c r="AR44" i="10"/>
  <c r="AR50" i="10"/>
  <c r="J32" i="7"/>
  <c r="AO63" i="2"/>
  <c r="AP63" i="2" s="1"/>
  <c r="AO68" i="2"/>
  <c r="AP68" i="2" s="1"/>
  <c r="AO65" i="2"/>
  <c r="AP65" i="2" s="1"/>
  <c r="AP40" i="10" l="1"/>
  <c r="AQ40" i="10" s="1"/>
  <c r="AM52" i="10"/>
  <c r="AM53" i="10" s="1"/>
  <c r="AQ52" i="10"/>
  <c r="AQ53" i="10" s="1"/>
  <c r="AR40" i="10"/>
  <c r="AS22" i="10"/>
  <c r="AS24" i="10"/>
  <c r="BB24" i="10" s="1"/>
  <c r="AS27" i="10"/>
  <c r="BB27" i="10" s="1"/>
  <c r="AS31" i="10"/>
  <c r="BB31" i="10" s="1"/>
  <c r="AS37" i="10"/>
  <c r="BB37" i="10" s="1"/>
  <c r="AS35" i="10"/>
  <c r="BB35" i="10" s="1"/>
  <c r="AS23" i="10"/>
  <c r="BB23" i="10" s="1"/>
  <c r="AS26" i="10"/>
  <c r="BB26" i="10" s="1"/>
  <c r="AS25" i="10"/>
  <c r="BB25" i="10" s="1"/>
  <c r="AS34" i="10"/>
  <c r="BB34" i="10" s="1"/>
  <c r="AS33" i="10"/>
  <c r="BB33" i="10" s="1"/>
  <c r="AS28" i="10"/>
  <c r="BB28" i="10" s="1"/>
  <c r="AS36" i="10"/>
  <c r="BB36" i="10" s="1"/>
  <c r="AS32" i="10"/>
  <c r="BB32" i="10" s="1"/>
  <c r="AS30" i="10"/>
  <c r="BB30" i="10" s="1"/>
  <c r="AS29" i="10"/>
  <c r="BB29" i="10" s="1"/>
  <c r="AR48" i="10"/>
  <c r="AP52" i="10"/>
  <c r="AP53" i="10" s="1"/>
  <c r="K13" i="7"/>
  <c r="J13" i="7"/>
  <c r="L13" i="7"/>
  <c r="AO67" i="2"/>
  <c r="AP67" i="2" s="1"/>
  <c r="AO69" i="2"/>
  <c r="AP69" i="2" s="1"/>
  <c r="BG33" i="10" l="1"/>
  <c r="BH33" i="10"/>
  <c r="BF33" i="10"/>
  <c r="BF23" i="10"/>
  <c r="BG23" i="10"/>
  <c r="BH23" i="10"/>
  <c r="BH32" i="10"/>
  <c r="BG32" i="10"/>
  <c r="BF32" i="10"/>
  <c r="BH37" i="10"/>
  <c r="BF37" i="10"/>
  <c r="BG37" i="10"/>
  <c r="BG31" i="10"/>
  <c r="BF31" i="10"/>
  <c r="BH31" i="10"/>
  <c r="BG24" i="10"/>
  <c r="BF24" i="10"/>
  <c r="BH24" i="10"/>
  <c r="BH25" i="10"/>
  <c r="BG25" i="10"/>
  <c r="BF25" i="10"/>
  <c r="BG30" i="10"/>
  <c r="BF30" i="10"/>
  <c r="BH30" i="10"/>
  <c r="BF35" i="10"/>
  <c r="BH35" i="10"/>
  <c r="BG35" i="10"/>
  <c r="BF36" i="10"/>
  <c r="BH36" i="10"/>
  <c r="BG36" i="10"/>
  <c r="BH28" i="10"/>
  <c r="BF28" i="10"/>
  <c r="BG28" i="10"/>
  <c r="BH27" i="10"/>
  <c r="BF27" i="10"/>
  <c r="BG27" i="10"/>
  <c r="BF34" i="10"/>
  <c r="BG34" i="10"/>
  <c r="BH34" i="10"/>
  <c r="BH29" i="10"/>
  <c r="BF29" i="10"/>
  <c r="BG29" i="10"/>
  <c r="BH26" i="10"/>
  <c r="BG26" i="10"/>
  <c r="BF26" i="10"/>
  <c r="BB22" i="10"/>
  <c r="AS38" i="10"/>
  <c r="BB38" i="10" s="1"/>
  <c r="AR52" i="10"/>
  <c r="AR53" i="10" s="1"/>
  <c r="AP71" i="2"/>
  <c r="AR69" i="2" s="1"/>
  <c r="F36" i="7" s="1"/>
  <c r="AO71" i="2"/>
  <c r="AR55" i="10" l="1"/>
  <c r="L36" i="7"/>
  <c r="K36" i="7"/>
  <c r="J36" i="7"/>
  <c r="BH22" i="10"/>
  <c r="BH38" i="10" s="1"/>
  <c r="BF22" i="10"/>
  <c r="BG22" i="10"/>
  <c r="BF38" i="10"/>
  <c r="BG38" i="10"/>
  <c r="K15" i="9"/>
  <c r="L15" i="9"/>
  <c r="M15" i="9"/>
  <c r="AR62" i="2"/>
  <c r="AR70" i="2"/>
  <c r="AR66" i="2"/>
  <c r="AR59" i="2"/>
  <c r="AR60" i="2"/>
  <c r="F22" i="7" s="1"/>
  <c r="AR61" i="2"/>
  <c r="AR64" i="2"/>
  <c r="F21" i="7" s="1"/>
  <c r="AR65" i="2"/>
  <c r="AR68" i="2"/>
  <c r="F35" i="7" s="1"/>
  <c r="AR63" i="2"/>
  <c r="F17" i="7" s="1"/>
  <c r="AR67" i="2"/>
  <c r="F20" i="7" s="1"/>
  <c r="Z36" i="10"/>
  <c r="X38" i="10" s="1"/>
  <c r="K22" i="7" l="1"/>
  <c r="L22" i="7"/>
  <c r="J22" i="7"/>
  <c r="K11" i="9" s="1"/>
  <c r="K17" i="7"/>
  <c r="J17" i="7"/>
  <c r="L17" i="7"/>
  <c r="M6" i="9" s="1"/>
  <c r="J20" i="7"/>
  <c r="L20" i="7"/>
  <c r="K20" i="7"/>
  <c r="K21" i="7"/>
  <c r="J21" i="7"/>
  <c r="L21" i="7"/>
  <c r="L35" i="7"/>
  <c r="J35" i="7"/>
  <c r="K35" i="7"/>
  <c r="L14" i="9" s="1"/>
  <c r="F19" i="7"/>
  <c r="F18" i="7"/>
  <c r="L11" i="9"/>
  <c r="M11" i="9"/>
  <c r="K14" i="9"/>
  <c r="M14" i="9"/>
  <c r="K6" i="9"/>
  <c r="L6" i="9"/>
  <c r="L10" i="9"/>
  <c r="K10" i="9"/>
  <c r="M10" i="9"/>
  <c r="L9" i="9"/>
  <c r="K9" i="9"/>
  <c r="M9" i="9"/>
  <c r="AS47" i="10"/>
  <c r="BB47" i="10" s="1"/>
  <c r="AS51" i="10"/>
  <c r="BB51" i="10" s="1"/>
  <c r="AS49" i="10"/>
  <c r="BB49" i="10" s="1"/>
  <c r="AS45" i="10"/>
  <c r="BB45" i="10" s="1"/>
  <c r="AS44" i="10"/>
  <c r="BB44" i="10" s="1"/>
  <c r="AS41" i="10"/>
  <c r="BB41" i="10" s="1"/>
  <c r="AS43" i="10"/>
  <c r="BB43" i="10" s="1"/>
  <c r="AS40" i="10"/>
  <c r="BB40" i="10" s="1"/>
  <c r="AS50" i="10"/>
  <c r="BB50" i="10" s="1"/>
  <c r="AS46" i="10"/>
  <c r="BB46" i="10" s="1"/>
  <c r="AS42" i="10"/>
  <c r="BB42" i="10" s="1"/>
  <c r="AS48" i="10"/>
  <c r="BB48" i="10" s="1"/>
  <c r="Z41" i="10"/>
  <c r="AR71" i="2"/>
  <c r="L19" i="7" l="1"/>
  <c r="K19" i="7"/>
  <c r="J19" i="7"/>
  <c r="L18" i="7"/>
  <c r="K18" i="7"/>
  <c r="J18" i="7"/>
  <c r="BH48" i="10"/>
  <c r="BF48" i="10"/>
  <c r="BG48" i="10"/>
  <c r="BG42" i="10"/>
  <c r="BH42" i="10"/>
  <c r="BF42" i="10"/>
  <c r="BG45" i="10"/>
  <c r="BF45" i="10"/>
  <c r="BH45" i="10"/>
  <c r="BG47" i="10"/>
  <c r="BH47" i="10"/>
  <c r="BF47" i="10"/>
  <c r="BF49" i="10"/>
  <c r="BG49" i="10"/>
  <c r="BH49" i="10"/>
  <c r="BG51" i="10"/>
  <c r="BH51" i="10"/>
  <c r="BF51" i="10"/>
  <c r="BH43" i="10"/>
  <c r="BF43" i="10"/>
  <c r="BG43" i="10"/>
  <c r="BF44" i="10"/>
  <c r="BG44" i="10"/>
  <c r="BH44" i="10"/>
  <c r="BG46" i="10"/>
  <c r="BH46" i="10"/>
  <c r="BF46" i="10"/>
  <c r="BG50" i="10"/>
  <c r="BF50" i="10"/>
  <c r="BH50" i="10"/>
  <c r="BH40" i="10"/>
  <c r="BF40" i="10"/>
  <c r="BG40" i="10"/>
  <c r="BH41" i="10"/>
  <c r="BG41" i="10"/>
  <c r="BF41" i="10"/>
  <c r="L7" i="9"/>
  <c r="K7" i="9"/>
  <c r="M7" i="9"/>
  <c r="L8" i="9"/>
  <c r="K8" i="9"/>
  <c r="M8" i="9"/>
  <c r="AS52" i="10"/>
  <c r="L37" i="7"/>
  <c r="L38" i="7" s="1"/>
  <c r="M16" i="9"/>
  <c r="K37" i="7"/>
  <c r="K38" i="7" s="1"/>
  <c r="L16" i="9"/>
  <c r="K16" i="9"/>
  <c r="J37" i="7"/>
  <c r="J38" i="7" s="1"/>
  <c r="BH52" i="10" l="1"/>
  <c r="BF52" i="10"/>
  <c r="BF53" i="10" s="1"/>
  <c r="BG52" i="10"/>
  <c r="BG53" i="10" s="1"/>
  <c r="BH53" i="10"/>
  <c r="AS53" i="10"/>
  <c r="BB52" i="10"/>
  <c r="K23" i="7"/>
  <c r="K24" i="7" s="1"/>
  <c r="K40" i="7" s="1"/>
  <c r="L23" i="7"/>
  <c r="L24" i="7" s="1"/>
  <c r="L40" i="7" s="1"/>
  <c r="L12" i="9"/>
  <c r="L18" i="9" s="1"/>
  <c r="K12" i="9"/>
  <c r="K18" i="9" s="1"/>
  <c r="M12" i="9"/>
  <c r="M18" i="9" s="1"/>
  <c r="J23" i="7"/>
  <c r="J24" i="7" s="1"/>
  <c r="J40" i="7" s="1"/>
  <c r="BH55" i="10" l="1"/>
  <c r="BG55" i="10"/>
  <c r="BB53" i="10"/>
  <c r="AS55" i="10"/>
  <c r="BF55" i="10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<sst xmlns="http://schemas.openxmlformats.org/spreadsheetml/2006/main" count="1207" uniqueCount="378">
  <si>
    <t>DORC TOTAL</t>
  </si>
  <si>
    <t>Replacement Cost ($000,s)</t>
  </si>
  <si>
    <t>DORC Cost ($000,s)</t>
  </si>
  <si>
    <t>Adelaide &amp; Barossa Valley</t>
  </si>
  <si>
    <t>Regional Areas</t>
  </si>
  <si>
    <t>Total DORC</t>
  </si>
  <si>
    <t>Mains</t>
  </si>
  <si>
    <t>Length (kms)</t>
  </si>
  <si>
    <t>Weighted Average Replacement Cost ($/mtr)</t>
  </si>
  <si>
    <t>Replacement Cost ($000's)</t>
  </si>
  <si>
    <t>Average Age (years)</t>
  </si>
  <si>
    <t>Estimated Useful Life (years)</t>
  </si>
  <si>
    <t>Residual Value (years)</t>
  </si>
  <si>
    <t>Residual Value</t>
  </si>
  <si>
    <t>DORC Value ($000,s)</t>
  </si>
  <si>
    <t>PROTECTED STEEL</t>
  </si>
  <si>
    <t>Low Pressure Protected Steel</t>
  </si>
  <si>
    <t>Medium Pressure Protected Steel</t>
  </si>
  <si>
    <t>High Pressure Protected Steel</t>
  </si>
  <si>
    <t>Transmission Pressure Protected Steel</t>
  </si>
  <si>
    <t>TOTAL PROTECTED STEEL MAINS</t>
  </si>
  <si>
    <t>UNPROTECTED STEEL</t>
  </si>
  <si>
    <t>Low Pressure Unprotected Steel</t>
  </si>
  <si>
    <t>Medium Pressure Unprotected Steel</t>
  </si>
  <si>
    <t>High Pressure Unprotected Steel</t>
  </si>
  <si>
    <t>TOTAL UNPROTECTED STEEL MAINS</t>
  </si>
  <si>
    <t>POLYETHYLENE</t>
  </si>
  <si>
    <t>Low Pressure Polyethylene</t>
  </si>
  <si>
    <t>Medium Pressure Polyethylene</t>
  </si>
  <si>
    <t>High Pressure Polyethylene</t>
  </si>
  <si>
    <t>TOTAL POLYETHYLENE MAINS</t>
  </si>
  <si>
    <t>CAST IRON DIRECT BURIAL</t>
  </si>
  <si>
    <t>Low Pressure Cast Iron Direct Burial</t>
  </si>
  <si>
    <t>Medium Pressure Cast Iron Direct Burial</t>
  </si>
  <si>
    <t>High Pressure Cast Iron Direct Burial</t>
  </si>
  <si>
    <t>TOTAL CAST IRON DIRECT BURIAL MAINS</t>
  </si>
  <si>
    <t>CAST IRON INSERTION</t>
  </si>
  <si>
    <t>Low Pressure Cast Iron Insertion</t>
  </si>
  <si>
    <t>Medium Pressure Cast Iron Insertion</t>
  </si>
  <si>
    <t>High Pressure Cast Iron Insertion</t>
  </si>
  <si>
    <t>TOTAL CAST IRON INSERTED MAINS</t>
  </si>
  <si>
    <t>Total Mains</t>
  </si>
  <si>
    <t>TOTAL MAINS</t>
  </si>
  <si>
    <t>Inlets</t>
  </si>
  <si>
    <t>Number of Inlets</t>
  </si>
  <si>
    <t>Replacement Cost Per Inlet</t>
  </si>
  <si>
    <t>LOW PRESSURE</t>
  </si>
  <si>
    <t>Domestic</t>
  </si>
  <si>
    <t>Steel</t>
  </si>
  <si>
    <t>Cast Iron</t>
  </si>
  <si>
    <t>Polyethylene</t>
  </si>
  <si>
    <t>Total Low Pressure Domestic Inlets</t>
  </si>
  <si>
    <t>Commercial</t>
  </si>
  <si>
    <t>Total Low Pressure Commercial Inlets</t>
  </si>
  <si>
    <t>Industrial</t>
  </si>
  <si>
    <t>Total Low Pressure Industrial Inlets</t>
  </si>
  <si>
    <t>Medium Volume</t>
  </si>
  <si>
    <t>Total Low Pressure Medium Volume Inlets</t>
  </si>
  <si>
    <t>MIP</t>
  </si>
  <si>
    <t>Total Low Pressure MIP Inlets</t>
  </si>
  <si>
    <t>TOTAL LOW PRESSURE INLETS</t>
  </si>
  <si>
    <t>MEDIUM PRESSURE</t>
  </si>
  <si>
    <t>Total Medium Pressure Domestic Inlets</t>
  </si>
  <si>
    <t>Total Medium Pressure Commercial Inlets</t>
  </si>
  <si>
    <t>Total Medium Pressure Industrial Inlets</t>
  </si>
  <si>
    <t>Total Medium Pressure Medium Volume Inlets</t>
  </si>
  <si>
    <t>Total Medium Pressure MIP Inlets</t>
  </si>
  <si>
    <t>TOTAL MEDIUM PRESSURE INLETS</t>
  </si>
  <si>
    <t>HIGH PRESSURE</t>
  </si>
  <si>
    <t>Total High Pressure Domestic Inlets</t>
  </si>
  <si>
    <t>Total High Pressure Commercial Inlets</t>
  </si>
  <si>
    <t>Total High Pressure Industrial Inlets</t>
  </si>
  <si>
    <t>Total High Pressure Medium Volume Inlets</t>
  </si>
  <si>
    <t>Total High Pressure MIP Inlets</t>
  </si>
  <si>
    <t>TOTAL HIGH PRESSURE INLETS</t>
  </si>
  <si>
    <t>TRANSMISSION PRESSURE</t>
  </si>
  <si>
    <t>Total Transmission Pressure MIP Inlets</t>
  </si>
  <si>
    <t>TOTAL TRANSMISSION PRESSURE INLETS</t>
  </si>
  <si>
    <t>Total Inlets</t>
  </si>
  <si>
    <t>Meters</t>
  </si>
  <si>
    <t>Number of Meters</t>
  </si>
  <si>
    <t>Replacement Cost Per Meter</t>
  </si>
  <si>
    <t>DOMESTIC</t>
  </si>
  <si>
    <t>COMMERCIAL</t>
  </si>
  <si>
    <t>INDUSTRIAL</t>
  </si>
  <si>
    <t>MEDIUM VOLUME</t>
  </si>
  <si>
    <t>TOTAL METERS</t>
  </si>
  <si>
    <t>METERS IN STOCK</t>
  </si>
  <si>
    <t>Total Meters</t>
  </si>
  <si>
    <t>Meters In Stock</t>
  </si>
  <si>
    <t>Regulators</t>
  </si>
  <si>
    <t>Optimised Quantity of Regulators</t>
  </si>
  <si>
    <t>Replacement Cost Per Regulator</t>
  </si>
  <si>
    <t>TRANSMISSION SYSTEM</t>
  </si>
  <si>
    <t>HIGH PRESSURE SYSTEM</t>
  </si>
  <si>
    <t>TOTAL REGULATORS</t>
  </si>
  <si>
    <t>Total Regulators</t>
  </si>
  <si>
    <t>Odorising Stations</t>
  </si>
  <si>
    <t>Number of Odorising Stations</t>
  </si>
  <si>
    <t>Average Replacement Cost Per Station</t>
  </si>
  <si>
    <t>South Australia</t>
  </si>
  <si>
    <t>Total Odorising Stations</t>
  </si>
  <si>
    <t>RDL/Telemetry</t>
  </si>
  <si>
    <t>Number of Sites</t>
  </si>
  <si>
    <t>Replacement Cost Per Site</t>
  </si>
  <si>
    <t>Site Costs</t>
  </si>
  <si>
    <t>Controlling System Software Allocation</t>
  </si>
  <si>
    <t>-</t>
  </si>
  <si>
    <t>Controlling System Hardware Allocation</t>
  </si>
  <si>
    <t>Total Adelaide &amp; Barossa Valley RDL/Telemetry</t>
  </si>
  <si>
    <t>Total Regional Areas RDL/Telemetry</t>
  </si>
  <si>
    <t>Total RDL/Telemetry</t>
  </si>
  <si>
    <t>BELOW ARE CALCULATIONS TO MAKE THE INLET SUMMARY EASIER TO ANALYSE</t>
  </si>
  <si>
    <t>Numbers</t>
  </si>
  <si>
    <t>New life</t>
  </si>
  <si>
    <t>Actual life</t>
  </si>
  <si>
    <t>ORC</t>
  </si>
  <si>
    <t>DORC</t>
  </si>
  <si>
    <t>LP</t>
  </si>
  <si>
    <t>Dom</t>
  </si>
  <si>
    <t>Comm</t>
  </si>
  <si>
    <t>Ind</t>
  </si>
  <si>
    <t>MV</t>
  </si>
  <si>
    <t>Total steel</t>
  </si>
  <si>
    <t>CI</t>
  </si>
  <si>
    <t>Total CI</t>
  </si>
  <si>
    <t>PE</t>
  </si>
  <si>
    <t>Total PE</t>
  </si>
  <si>
    <t>MP</t>
  </si>
  <si>
    <t>HP</t>
  </si>
  <si>
    <t>Trans</t>
  </si>
  <si>
    <t>Total Steel</t>
  </si>
  <si>
    <t>Calculation of regulatory book value of assets to write-off</t>
  </si>
  <si>
    <t>Inputs from outside of this spreadsheet</t>
  </si>
  <si>
    <t>Sources:</t>
  </si>
  <si>
    <t>Final AAI - Effective Lives</t>
  </si>
  <si>
    <t>Final AAI, p.14, table 7 (note p.12 table 3 is consistent but omits a life for cast iron inlets)</t>
  </si>
  <si>
    <t>Protected Steel</t>
  </si>
  <si>
    <t>Final AAI, p.12 table 3 and p.14, table 7.</t>
  </si>
  <si>
    <t>Unprotected Steel</t>
  </si>
  <si>
    <t>Scale down of mains REL from 2012</t>
  </si>
  <si>
    <t>2011 RFM</t>
  </si>
  <si>
    <t>Scale down of inlets REL from 2012</t>
  </si>
  <si>
    <t>Fiirst year of intial AA (FY ending 30 June)</t>
  </si>
  <si>
    <t>First year of new lives (FY ending 30 June)</t>
  </si>
  <si>
    <t>First year of target AA (FY ending 30 June)</t>
  </si>
  <si>
    <t>Inputs for scaling to agree with ICB and calculated scaling factors</t>
  </si>
  <si>
    <t>Mains Final AAI</t>
  </si>
  <si>
    <t>Final AAI, p.12, table 4.</t>
  </si>
  <si>
    <t>Inlets + Reg Final AAI</t>
  </si>
  <si>
    <t>Inputs for calculating the aggregate RAB for mains and inlets</t>
  </si>
  <si>
    <t>Remaining life (end FY2011)</t>
  </si>
  <si>
    <t>ICB Mains at end FY 2011 ($Dec 2005)</t>
  </si>
  <si>
    <t>ICB Inlets + Regulators at end FY 2011 ($Dec 2005)</t>
  </si>
  <si>
    <t>Calculations - aggregate ICB RAB calculations</t>
  </si>
  <si>
    <t>WDV @ end FY 2011 ($Dec 2005)</t>
  </si>
  <si>
    <t>Additional years of depreciation</t>
  </si>
  <si>
    <t>Depreciation ($Dec 2005)</t>
  </si>
  <si>
    <t>WDV @ end FY21 ($Dec 2005)</t>
  </si>
  <si>
    <t>WDV end FY21 ($end FY21)</t>
  </si>
  <si>
    <t>Mains ICB assets</t>
  </si>
  <si>
    <t>Inlets ICB assets (regulators removed)</t>
  </si>
  <si>
    <t>Calculations - individual tracking allocator calculations</t>
  </si>
  <si>
    <t>1. Mains / pipelines</t>
  </si>
  <si>
    <t>Length in ICB</t>
  </si>
  <si>
    <t>Actual age</t>
  </si>
  <si>
    <t>DORC proposal</t>
  </si>
  <si>
    <t>ICB (i.e., estimated DORC scaled down to match Final AAI)</t>
  </si>
  <si>
    <t>Life use for proposed DORC</t>
  </si>
  <si>
    <t>Adopted life in Final AAI</t>
  </si>
  <si>
    <t>REL - 30/6/1998, DORC lives</t>
  </si>
  <si>
    <t>REL - 30/6/1998, AAI lives</t>
  </si>
  <si>
    <t>REL - 1/7/2011</t>
  </si>
  <si>
    <t>REL - start of target AA</t>
  </si>
  <si>
    <t>RAB ($1/7/1998) - total</t>
  </si>
  <si>
    <t>RAB ($1/7/2021) - total</t>
  </si>
  <si>
    <t>RAB - pro-rate of individual roll-forward</t>
  </si>
  <si>
    <t>PS</t>
  </si>
  <si>
    <t>Main</t>
  </si>
  <si>
    <t>Low</t>
  </si>
  <si>
    <t>Medium</t>
  </si>
  <si>
    <t>High</t>
  </si>
  <si>
    <t>Transmission</t>
  </si>
  <si>
    <t>UPS</t>
  </si>
  <si>
    <t>DB</t>
  </si>
  <si>
    <t>Insert</t>
  </si>
  <si>
    <t>Total for mains</t>
  </si>
  <si>
    <t>CHECK of totals</t>
  </si>
  <si>
    <t>REL</t>
  </si>
  <si>
    <t>2. Inlets</t>
  </si>
  <si>
    <t>Number of inlets in ICB</t>
  </si>
  <si>
    <t>RAB ($1/7/1998)</t>
  </si>
  <si>
    <t>RAB ($1/7/2021)</t>
  </si>
  <si>
    <t>Inlet</t>
  </si>
  <si>
    <t>Transmision</t>
  </si>
  <si>
    <t>Total for inlets</t>
  </si>
  <si>
    <t>Checks of ICM mains km</t>
  </si>
  <si>
    <t>Other checks - km against AAI</t>
  </si>
  <si>
    <t>TP</t>
  </si>
  <si>
    <t>Low Pressure</t>
  </si>
  <si>
    <t>Medium Pressure</t>
  </si>
  <si>
    <t>High Pressure</t>
  </si>
  <si>
    <t>Transmission Pressure</t>
  </si>
  <si>
    <t>Total</t>
  </si>
  <si>
    <t>AAI, 22/2/1999, p.53.</t>
  </si>
  <si>
    <t>Length (km)</t>
  </si>
  <si>
    <t>UP</t>
  </si>
  <si>
    <t>CI1</t>
  </si>
  <si>
    <t>CI2</t>
  </si>
  <si>
    <t>PrS</t>
  </si>
  <si>
    <t>Error</t>
  </si>
  <si>
    <t>Calculation of the extent of the ICB assets that are written off</t>
  </si>
  <si>
    <t>1. Calculation of each of the class totals that were in the ICB</t>
  </si>
  <si>
    <t>Date for age range:</t>
  </si>
  <si>
    <t>Date for ICB:</t>
  </si>
  <si>
    <t>Age (max)</t>
  </si>
  <si>
    <t>Age (min)</t>
  </si>
  <si>
    <t>First used</t>
  </si>
  <si>
    <t>Last used</t>
  </si>
  <si>
    <t>Proportion of current assets in initial capital base</t>
  </si>
  <si>
    <t>Source of age range:</t>
  </si>
  <si>
    <t>AGN emails</t>
  </si>
  <si>
    <t>Unprotected steel</t>
  </si>
  <si>
    <t>Protected steel</t>
  </si>
  <si>
    <t>Copper</t>
  </si>
  <si>
    <t>HDPE 250</t>
  </si>
  <si>
    <t>HDPE 575</t>
  </si>
  <si>
    <t>PE 80</t>
  </si>
  <si>
    <t>PE 100</t>
  </si>
  <si>
    <t>PE 80 included in the ICB</t>
  </si>
  <si>
    <t>Date of inventory</t>
  </si>
  <si>
    <t>PE80 pressure grade</t>
  </si>
  <si>
    <t>PE80 (km) at 30 June 1999</t>
  </si>
  <si>
    <t>Pro-rating factor</t>
  </si>
  <si>
    <t>Pro-rated PE80 (km) at 30 June 1998</t>
  </si>
  <si>
    <t>Source of 1999 information:</t>
  </si>
  <si>
    <t>AGN email</t>
  </si>
  <si>
    <t>Low pressure</t>
  </si>
  <si>
    <t>Medium pressure</t>
  </si>
  <si>
    <t>High pressure</t>
  </si>
  <si>
    <t>2. Program 1 - Replace most LP and MP CI / UPS</t>
  </si>
  <si>
    <t>km in ICB</t>
  </si>
  <si>
    <t>km @2019</t>
  </si>
  <si>
    <t>% replaced</t>
  </si>
  <si>
    <t>km @2021</t>
  </si>
  <si>
    <t>km @2026</t>
  </si>
  <si>
    <t>3. Program 2 - Replace poorly performing MP and HP PE</t>
  </si>
  <si>
    <t>4. Splitting of steel inlets into inlets associated with UPS and PS (pro-rate by km of respective mains)</t>
  </si>
  <si>
    <t>5. Proportion of regulators in the initial capital base</t>
  </si>
  <si>
    <t>DORC inlets (value)</t>
  </si>
  <si>
    <t>DORC regulators (value)</t>
  </si>
  <si>
    <t>Information received from AGN - past and projected mains inventories, only re-formatted</t>
  </si>
  <si>
    <t>AGN - SA Networks (excl Mildura) - km - projected 1 July 2026</t>
  </si>
  <si>
    <t xml:space="preserve">Cast Iron </t>
  </si>
  <si>
    <t>PVC</t>
  </si>
  <si>
    <t>Nylon</t>
  </si>
  <si>
    <t>HDPE</t>
  </si>
  <si>
    <t>MDPE</t>
  </si>
  <si>
    <t>(Protected)</t>
  </si>
  <si>
    <t>PE 250</t>
  </si>
  <si>
    <t>PE 500/575</t>
  </si>
  <si>
    <t>(Unknown Class)</t>
  </si>
  <si>
    <t>AGN - SA Networks (excl Mildura) - km - projected 1 July 2021</t>
  </si>
  <si>
    <t>AGN - SA Networks (excl Mildura) - km - actual 1/7/2019</t>
  </si>
  <si>
    <t>Calculation of the aggregate RAB for initial assets at the start of the next access arrangement period</t>
  </si>
  <si>
    <t>Proxy price index - 1/7/1998</t>
  </si>
  <si>
    <t>Proxy price index - 31/12/2005</t>
  </si>
  <si>
    <t>Escalation factor - Dec 05 to end FY2010</t>
  </si>
  <si>
    <t>Inflation for 2010/11 to 2015/16</t>
  </si>
  <si>
    <t>2016 RFM</t>
  </si>
  <si>
    <t>Inflation 2015/16 to 2020/21</t>
  </si>
  <si>
    <t>2021 RFM</t>
  </si>
  <si>
    <t>RAB for mains @ 1/7/2011 ($Dec 2005)</t>
  </si>
  <si>
    <t>RAB for inlets and regulators @ 1/7/2011 ($Dec 2005)</t>
  </si>
  <si>
    <t>Remaining life for mains @1/7/2011</t>
  </si>
  <si>
    <t>Remaining life for inlets and regulators @ 1/7/2011</t>
  </si>
  <si>
    <t>end 2005</t>
  </si>
  <si>
    <t>end 2010</t>
  </si>
  <si>
    <t>Inflation index - 1/7/1998 to 30/6/2021</t>
  </si>
  <si>
    <t>Inflation index - 31/12/2005 to 30/6/2021</t>
  </si>
  <si>
    <t>Check:</t>
  </si>
  <si>
    <t>Results - assets replaced</t>
  </si>
  <si>
    <t>1. Replacement of low pressure and CI / UPS</t>
  </si>
  <si>
    <t>Replacements at end FY 19</t>
  </si>
  <si>
    <t>Replacements at end FY 21</t>
  </si>
  <si>
    <t>Replacements at end FY 26</t>
  </si>
  <si>
    <t>1.1 Mains</t>
  </si>
  <si>
    <t>ICB RAB</t>
  </si>
  <si>
    <t>% WO - 2019</t>
  </si>
  <si>
    <t>% WO - 2021</t>
  </si>
  <si>
    <t>% WO - 2026</t>
  </si>
  <si>
    <t>Cast iron - LP</t>
  </si>
  <si>
    <t>Steel - LP</t>
  </si>
  <si>
    <t>PE - LP</t>
  </si>
  <si>
    <t>Cast iron - MP</t>
  </si>
  <si>
    <t>UPS - MP</t>
  </si>
  <si>
    <t>1.2 Inlets</t>
  </si>
  <si>
    <t>Grand total</t>
  </si>
  <si>
    <t>2. Corrective replacement of PE</t>
  </si>
  <si>
    <t>2.1 Mains</t>
  </si>
  <si>
    <t>PE - MP</t>
  </si>
  <si>
    <t>PE - HP</t>
  </si>
  <si>
    <t>2.2 Inlets</t>
  </si>
  <si>
    <t>Overall total</t>
  </si>
  <si>
    <t>Figures for report - 1</t>
  </si>
  <si>
    <t>Km in ICB for asset type</t>
  </si>
  <si>
    <t>Km replaced by:</t>
  </si>
  <si>
    <t>Assets in opening RAB replaced by:</t>
  </si>
  <si>
    <t>Low pressure and iron / steel replacement</t>
  </si>
  <si>
    <t>Cast iron (low pressure)</t>
  </si>
  <si>
    <t>Unprotected steel (low pressure)</t>
  </si>
  <si>
    <t>Protected steel (low pressure)</t>
  </si>
  <si>
    <t>PE (low pressure)</t>
  </si>
  <si>
    <t>Cast iron (medium pressure)</t>
  </si>
  <si>
    <t>Unprotected steel (medium pressure)</t>
  </si>
  <si>
    <t>Non-performing PE replacement</t>
  </si>
  <si>
    <t>Combined programs</t>
  </si>
  <si>
    <t>Figures for report (2)</t>
  </si>
  <si>
    <t>Material type / pressure grade</t>
  </si>
  <si>
    <t>Proportion replaced by:</t>
  </si>
  <si>
    <t>Material / pressure grade</t>
  </si>
  <si>
    <t>30 June 2019</t>
  </si>
  <si>
    <t>30 June 2021</t>
  </si>
  <si>
    <t>30 June 2026</t>
  </si>
  <si>
    <t>Main inventory (km) as at:</t>
  </si>
  <si>
    <t>Initial capital base</t>
  </si>
  <si>
    <t>PE - low pressure</t>
  </si>
  <si>
    <t>PE - medium pressure</t>
  </si>
  <si>
    <t>PE - high pressure</t>
  </si>
  <si>
    <t>ICB scaled according to DORC</t>
  </si>
  <si>
    <t>Units (km of mains, number of inlets)</t>
  </si>
  <si>
    <t>Average age of class</t>
  </si>
  <si>
    <t>Total life from 1998</t>
  </si>
  <si>
    <t>Remaining life June 1998</t>
  </si>
  <si>
    <t>Depreciation to 2011 (13 years)</t>
  </si>
  <si>
    <t>Individual tracking WDVs at June 2011 ($June 1998)</t>
  </si>
  <si>
    <t>Remaining life at June 2011 - before adjustment</t>
  </si>
  <si>
    <t>Remaining life at June 2011 - after adjustment</t>
  </si>
  <si>
    <t>Depreciation to 2021 (10 years)</t>
  </si>
  <si>
    <t>Individual tracking WDVs at June 2021 ($June 1998)</t>
  </si>
  <si>
    <t>Individual tracking WDVs at June 2021 ($June 2021)</t>
  </si>
  <si>
    <t>ICB mains and inlets capital base allocated according to "individual tracking" WDVs</t>
  </si>
  <si>
    <t>Capital base value of ICB assets - apportioned by individual tracking</t>
  </si>
  <si>
    <t>Capital base value of assets replaced by:</t>
  </si>
  <si>
    <t>Asset class</t>
  </si>
  <si>
    <t>ICB assets at 30 June 2011 ($m Dec 2005)</t>
  </si>
  <si>
    <t>Remaining lives as at 30 June 2011</t>
  </si>
  <si>
    <t/>
  </si>
  <si>
    <t>Inlets and regulators</t>
  </si>
  <si>
    <t xml:space="preserve"> - Low pressure</t>
  </si>
  <si>
    <t>Total mains, inlets and regulators</t>
  </si>
  <si>
    <t xml:space="preserve"> - Medium pressure</t>
  </si>
  <si>
    <t>b</t>
  </si>
  <si>
    <t xml:space="preserve"> - High pressure</t>
  </si>
  <si>
    <t xml:space="preserve"> - Transmission</t>
  </si>
  <si>
    <t>ICB ($m, June 1998)</t>
  </si>
  <si>
    <t>Item</t>
  </si>
  <si>
    <t>Inflation date basis</t>
  </si>
  <si>
    <t>Comment</t>
  </si>
  <si>
    <t>Cast iron - direct buried</t>
  </si>
  <si>
    <t>2011 Capital base value for ICB assets</t>
  </si>
  <si>
    <t>$Dec 2005</t>
  </si>
  <si>
    <t>2011 RFM reduced by 1.3%</t>
  </si>
  <si>
    <t>Depreciation from 2011 to 2021</t>
  </si>
  <si>
    <t>= [1] x 10 / 47</t>
  </si>
  <si>
    <t>= [1] x 10 / 27</t>
  </si>
  <si>
    <t>2021 Capital base value for ICB assets</t>
  </si>
  <si>
    <t>= [1] - [2]</t>
  </si>
  <si>
    <t>Cast iron - insertion</t>
  </si>
  <si>
    <t>$June 2021</t>
  </si>
  <si>
    <t>CHECK</t>
  </si>
  <si>
    <t>Total mains</t>
  </si>
  <si>
    <t>Approx checks for inflation</t>
  </si>
  <si>
    <t>2.5% inflation</t>
  </si>
  <si>
    <t>n/a</t>
  </si>
  <si>
    <t>Cast iron</t>
  </si>
  <si>
    <t>Total inlets</t>
  </si>
  <si>
    <t>Grand total - mains and inlets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</si>
</sst>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8">
    <numFmt numFmtId="164" formatCode="_-* #,##0.00_-;\-* #,##0.00_-;_-* &quot;-&quot;??_-;_-@_-"/>
    <numFmt numFmtId="165" formatCode="_-* #,##0_-;\-* #,##0_-;_-* &quot;-&quot;??_-;_-@_-"/>
    <numFmt numFmtId="166" formatCode="#,##0_ ;\-#,##0\ "/>
    <numFmt numFmtId="167" formatCode="0.000"/>
    <numFmt numFmtId="168" formatCode="0.0000"/>
    <numFmt numFmtId="169" formatCode="0.0"/>
    <numFmt numFmtId="170" formatCode="0.0%"/>
    <numFmt numFmtId="171" formatCode="#,##0.0"/>
    <numFmt numFmtId="172" formatCode="_-&quot;$&quot;* #,##0_-;\-&quot;$&quot;* #,##0_-;_-&quot;$&quot;* &quot;-&quot;_-;_-@_-"/>
    <numFmt numFmtId="173" formatCode="_-* #,##0_-;\-* #,##0_-;_-* &quot;-&quot;_-;_-@_-"/>
    <numFmt numFmtId="174" formatCode="_-&quot;$&quot;* #,##0.00_-;\-&quot;$&quot;* #,##0.00_-;_-&quot;$&quot;* &quot;-&quot;??_-;_-@_-"/>
    <numFmt numFmtId="175" formatCode="_-* #,##0.00_-;[Red]\(#,##0.00\)_-;_-* &quot;-&quot;??_-;_-@_-"/>
    <numFmt numFmtId="176" formatCode="_(#,##0_);\(#,##0\);_(&quot;-&quot;_)"/>
    <numFmt numFmtId="177" formatCode="&quot;Warning&quot;;&quot;Warning&quot;;&quot;OK&quot;"/>
    <numFmt numFmtId="178" formatCode="mm/dd/yy"/>
    <numFmt numFmtId="179" formatCode="_([$€-2]* #,##0.00_);_([$€-2]* \(#,##0.00\);_([$€-2]* &quot;-&quot;??_)"/>
    <numFmt numFmtId="180" formatCode="0_);[Red]\(0\)"/>
    <numFmt numFmtId="181" formatCode="dd/mmm"/>
    <numFmt numFmtId="182" formatCode="_(* #,##0_);_(* \(#,##0\);_(* &quot;-&quot;?_);_(@_)"/>
    <numFmt numFmtId="183" formatCode="#,##0.0_);\(#,##0.0\)"/>
    <numFmt numFmtId="184" formatCode="#,##0;[Red]\(#,##0.0\)"/>
    <numFmt numFmtId="185" formatCode="#,##0_ ;[Red]\(#,##0\)\ "/>
    <numFmt numFmtId="186" formatCode="#,##0.00;\(#,##0.00\)"/>
    <numFmt numFmtId="187" formatCode="_)d\-mmm\-yy_)"/>
    <numFmt numFmtId="188" formatCode="_(#,##0.0_);\(#,##0.0\);_(&quot;-&quot;_)"/>
    <numFmt numFmtId="189" formatCode="_(###0_);\(###0\);_(###0_)"/>
    <numFmt numFmtId="190" formatCode="#,##0.0000_);[Red]\(#,##0.0000\)"/>
    <numFmt numFmtId="191" formatCode="_(* #,##0.0_);_(* \(#,##0.0\);_(* &quot;-&quot;?_);_(@_)"/>
  </numFmts>
  <fonts count="10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u/>
      <sz val="9"/>
      <name val="Arial Narrow"/>
      <family val="2"/>
    </font>
    <font>
      <i/>
      <sz val="10"/>
      <name val="Arial Narrow"/>
      <family val="2"/>
    </font>
    <font>
      <b/>
      <u/>
      <sz val="9"/>
      <name val="Arial Narrow"/>
      <family val="2"/>
    </font>
    <font>
      <b/>
      <u/>
      <sz val="16"/>
      <name val="Arial Narrow"/>
      <family val="2"/>
    </font>
    <font>
      <b/>
      <i/>
      <sz val="9"/>
      <name val="Arial Narrow"/>
      <family val="2"/>
    </font>
    <font>
      <b/>
      <sz val="9"/>
      <name val="Arial Narrow"/>
      <family val="2"/>
    </font>
    <font>
      <b/>
      <sz val="16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9"/>
      <color indexed="48"/>
      <name val="Arial Narrow"/>
      <family val="2"/>
    </font>
    <font>
      <sz val="11"/>
      <name val="Arial Narrow"/>
      <family val="2"/>
    </font>
    <font>
      <b/>
      <sz val="11"/>
      <name val="Arial Narrow"/>
      <family val="2"/>
    </font>
    <font>
      <b/>
      <i/>
      <sz val="11"/>
      <name val="Arial Narrow"/>
      <family val="2"/>
    </font>
    <font>
      <u/>
      <sz val="11"/>
      <name val="Arial Narrow"/>
      <family val="2"/>
    </font>
    <font>
      <i/>
      <sz val="11"/>
      <name val="Arial Narrow"/>
      <family val="2"/>
    </font>
    <font>
      <i/>
      <u/>
      <sz val="11"/>
      <name val="Arial Narrow"/>
      <family val="2"/>
    </font>
    <font>
      <sz val="11"/>
      <color rgb="FFFF0000"/>
      <name val="Arial Narrow"/>
      <family val="2"/>
    </font>
    <font>
      <b/>
      <sz val="11"/>
      <color rgb="FFFF0000"/>
      <name val="Arial Narrow"/>
      <family val="2"/>
    </font>
    <font>
      <b/>
      <sz val="11"/>
      <color theme="0"/>
      <name val="Arial Narrow"/>
      <family val="2"/>
    </font>
    <font>
      <sz val="11"/>
      <color rgb="FF000000"/>
      <name val="Arial Narrow"/>
      <family val="2"/>
    </font>
    <font>
      <b/>
      <sz val="11"/>
      <color rgb="FF000000"/>
      <name val="Arial Narrow"/>
      <family val="2"/>
    </font>
    <font>
      <b/>
      <i/>
      <u/>
      <sz val="11"/>
      <name val="Arial Narrow"/>
      <family val="2"/>
    </font>
    <font>
      <sz val="11"/>
      <color theme="0"/>
      <name val="Arial Narrow"/>
      <family val="2"/>
    </font>
    <font>
      <b/>
      <i/>
      <sz val="11"/>
      <color theme="0"/>
      <name val="Arial Narrow"/>
      <family val="2"/>
    </font>
    <font>
      <sz val="8"/>
      <name val="Arial"/>
      <family val="2"/>
    </font>
    <font>
      <b/>
      <sz val="10"/>
      <color theme="0"/>
      <name val="Arial"/>
      <family val="2"/>
    </font>
    <font>
      <b/>
      <sz val="13"/>
      <name val="Arial Narrow"/>
      <family val="2"/>
    </font>
    <font>
      <i/>
      <sz val="10"/>
      <name val="Arial"/>
      <family val="2"/>
    </font>
    <font>
      <b/>
      <sz val="9"/>
      <color rgb="FFFF0000"/>
      <name val="Arial Narrow"/>
      <family val="2"/>
    </font>
    <font>
      <b/>
      <sz val="9"/>
      <color rgb="FFFF0000"/>
      <name val="Arial"/>
      <family val="2"/>
    </font>
    <font>
      <sz val="11"/>
      <color rgb="FF3F3F76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Tahoma"/>
      <family val="2"/>
    </font>
    <font>
      <u/>
      <sz val="11"/>
      <color theme="10"/>
      <name val="Calibri"/>
      <family val="2"/>
      <scheme val="minor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3"/>
      <color indexed="9"/>
      <name val="Arial"/>
      <family val="2"/>
    </font>
    <font>
      <b/>
      <sz val="11"/>
      <color indexed="52"/>
      <name val="Calibri"/>
      <family val="2"/>
    </font>
    <font>
      <sz val="10"/>
      <color indexed="55"/>
      <name val="Arial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sz val="10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3"/>
      <color theme="4" tint="-0.24994659260841701"/>
      <name val="Arial"/>
      <family val="2"/>
    </font>
    <font>
      <b/>
      <sz val="12"/>
      <color indexed="8"/>
      <name val="Arial"/>
      <family val="2"/>
    </font>
    <font>
      <u/>
      <sz val="11"/>
      <name val="Arial"/>
      <family val="2"/>
    </font>
    <font>
      <i/>
      <sz val="11"/>
      <name val="Arial"/>
      <family val="2"/>
    </font>
    <font>
      <i/>
      <sz val="10"/>
      <color theme="1" tint="0.24994659260841701"/>
      <name val="Arial"/>
      <family val="2"/>
    </font>
    <font>
      <b/>
      <sz val="15"/>
      <color indexed="62"/>
      <name val="Calibri"/>
      <family val="2"/>
    </font>
    <font>
      <b/>
      <sz val="9"/>
      <name val="Arial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b/>
      <sz val="12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sz val="10"/>
      <color indexed="16"/>
      <name val="Arial"/>
      <family val="2"/>
    </font>
    <font>
      <b/>
      <sz val="11"/>
      <color indexed="63"/>
      <name val="Calibri"/>
      <family val="2"/>
    </font>
    <font>
      <sz val="11"/>
      <color indexed="8"/>
      <name val="Arial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b/>
      <sz val="12"/>
      <color indexed="9"/>
      <name val="Arial"/>
      <family val="2"/>
    </font>
    <font>
      <sz val="11"/>
      <color indexed="9"/>
      <name val="Arial"/>
      <family val="2"/>
    </font>
    <font>
      <b/>
      <sz val="14"/>
      <name val="Arial"/>
      <family val="2"/>
    </font>
    <font>
      <sz val="9"/>
      <color indexed="21"/>
      <name val="Helvetica-Black"/>
    </font>
    <font>
      <b/>
      <sz val="9"/>
      <name val="Palatino"/>
      <family val="1"/>
    </font>
    <font>
      <sz val="7"/>
      <name val="Palatino"/>
      <family val="1"/>
    </font>
    <font>
      <b/>
      <sz val="11"/>
      <color indexed="9"/>
      <name val="Arial"/>
      <family val="2"/>
    </font>
    <font>
      <sz val="12"/>
      <name val="Palatino"/>
      <family val="1"/>
    </font>
    <font>
      <sz val="11"/>
      <name val="Helvetica-Black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0"/>
      <color theme="5" tint="-0.499984740745262"/>
      <name val="Arial"/>
      <family val="2"/>
    </font>
    <font>
      <sz val="11"/>
      <color indexed="10"/>
      <name val="Calibri"/>
      <family val="2"/>
    </font>
    <font>
      <u/>
      <sz val="8"/>
      <color theme="10"/>
      <name val="Arial"/>
      <family val="2"/>
    </font>
    <font>
      <b/>
      <sz val="9"/>
      <color indexed="9"/>
      <name val="Arial"/>
      <family val="2"/>
    </font>
    <font>
      <sz val="9"/>
      <name val="Arial"/>
      <family val="2"/>
    </font>
    <font>
      <sz val="10"/>
      <name val="Helvetica"/>
    </font>
  </fonts>
  <fills count="62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gray0625">
        <b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1C376B"/>
        <bgColor indexed="64"/>
      </patternFill>
    </fill>
    <fill>
      <patternFill patternType="solid">
        <fgColor rgb="FF94C867"/>
        <bgColor indexed="64"/>
      </patternFill>
    </fill>
    <fill>
      <patternFill patternType="solid">
        <fgColor rgb="FF577A7A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</patternFill>
    </fill>
    <fill>
      <patternFill patternType="solid">
        <fgColor theme="4" tint="0.79998168889431442"/>
        <bgColor indexed="6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</patternFill>
    </fill>
    <fill>
      <patternFill patternType="solid">
        <fgColor indexed="2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indexed="55"/>
      </patternFill>
    </fill>
    <fill>
      <patternFill patternType="solid">
        <fgColor theme="6" tint="0.399945066682943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lightUp">
        <fgColor indexed="23"/>
        <bgColor auto="1"/>
      </patternFill>
    </fill>
    <fill>
      <patternFill patternType="solid">
        <fgColor indexed="42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4" tint="-0.24994659260841701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gray0625">
        <fgColor indexed="22"/>
      </patternFill>
    </fill>
    <fill>
      <patternFill patternType="solid">
        <fgColor indexed="44"/>
        <bgColor indexed="64"/>
      </patternFill>
    </fill>
    <fill>
      <patternFill patternType="gray0625">
        <bgColor indexed="44"/>
      </patternFill>
    </fill>
    <fill>
      <patternFill patternType="solid">
        <fgColor indexed="62"/>
        <bgColor indexed="64"/>
      </patternFill>
    </fill>
  </fills>
  <borders count="87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1C376B"/>
      </left>
      <right/>
      <top/>
      <bottom/>
      <diagonal/>
    </border>
    <border>
      <left/>
      <right style="thin">
        <color rgb="FF1C376B"/>
      </right>
      <top/>
      <bottom/>
      <diagonal/>
    </border>
    <border>
      <left/>
      <right style="dotted">
        <color rgb="FF1C376B"/>
      </right>
      <top/>
      <bottom/>
      <diagonal/>
    </border>
    <border>
      <left/>
      <right/>
      <top style="thin">
        <color rgb="FF1C376B"/>
      </top>
      <bottom style="thin">
        <color rgb="FF1C376B"/>
      </bottom>
      <diagonal/>
    </border>
    <border>
      <left style="thin">
        <color rgb="FF1C376B"/>
      </left>
      <right/>
      <top style="thin">
        <color rgb="FF1C376B"/>
      </top>
      <bottom style="thin">
        <color rgb="FF1C376B"/>
      </bottom>
      <diagonal/>
    </border>
    <border>
      <left/>
      <right style="thin">
        <color rgb="FF1C376B"/>
      </right>
      <top style="thin">
        <color rgb="FF1C376B"/>
      </top>
      <bottom style="thin">
        <color rgb="FF1C376B"/>
      </bottom>
      <diagonal/>
    </border>
    <border>
      <left style="medium">
        <color rgb="FF1C376B"/>
      </left>
      <right/>
      <top style="medium">
        <color rgb="FF1C376B"/>
      </top>
      <bottom/>
      <diagonal/>
    </border>
    <border>
      <left/>
      <right/>
      <top style="medium">
        <color rgb="FF1C376B"/>
      </top>
      <bottom/>
      <diagonal/>
    </border>
    <border>
      <left/>
      <right style="medium">
        <color rgb="FF1C376B"/>
      </right>
      <top style="medium">
        <color rgb="FF1C376B"/>
      </top>
      <bottom/>
      <diagonal/>
    </border>
    <border>
      <left style="medium">
        <color rgb="FF1C376B"/>
      </left>
      <right/>
      <top/>
      <bottom/>
      <diagonal/>
    </border>
    <border>
      <left/>
      <right style="medium">
        <color rgb="FF1C376B"/>
      </right>
      <top/>
      <bottom/>
      <diagonal/>
    </border>
    <border>
      <left style="medium">
        <color rgb="FF1C376B"/>
      </left>
      <right/>
      <top style="thin">
        <color rgb="FF1C376B"/>
      </top>
      <bottom style="thin">
        <color rgb="FF1C376B"/>
      </bottom>
      <diagonal/>
    </border>
    <border>
      <left/>
      <right style="medium">
        <color rgb="FF1C376B"/>
      </right>
      <top style="thin">
        <color rgb="FF1C376B"/>
      </top>
      <bottom style="thin">
        <color rgb="FF1C376B"/>
      </bottom>
      <diagonal/>
    </border>
    <border>
      <left style="medium">
        <color rgb="FF1C376B"/>
      </left>
      <right/>
      <top style="thin">
        <color rgb="FF1C376B"/>
      </top>
      <bottom style="medium">
        <color rgb="FF1C376B"/>
      </bottom>
      <diagonal/>
    </border>
    <border>
      <left/>
      <right/>
      <top style="thin">
        <color rgb="FF1C376B"/>
      </top>
      <bottom style="medium">
        <color rgb="FF1C376B"/>
      </bottom>
      <diagonal/>
    </border>
    <border>
      <left style="thin">
        <color rgb="FF1C376B"/>
      </left>
      <right/>
      <top style="thin">
        <color rgb="FF1C376B"/>
      </top>
      <bottom style="medium">
        <color rgb="FF1C376B"/>
      </bottom>
      <diagonal/>
    </border>
    <border>
      <left/>
      <right style="thin">
        <color rgb="FF1C376B"/>
      </right>
      <top style="thin">
        <color rgb="FF1C376B"/>
      </top>
      <bottom style="medium">
        <color rgb="FF1C376B"/>
      </bottom>
      <diagonal/>
    </border>
    <border>
      <left/>
      <right style="medium">
        <color rgb="FF1C376B"/>
      </right>
      <top style="thin">
        <color rgb="FF1C376B"/>
      </top>
      <bottom style="medium">
        <color rgb="FF1C376B"/>
      </bottom>
      <diagonal/>
    </border>
    <border>
      <left style="medium">
        <color rgb="FF1C376B"/>
      </left>
      <right/>
      <top/>
      <bottom style="medium">
        <color rgb="FF1C376B"/>
      </bottom>
      <diagonal/>
    </border>
    <border>
      <left/>
      <right/>
      <top/>
      <bottom style="medium">
        <color rgb="FF1C376B"/>
      </bottom>
      <diagonal/>
    </border>
    <border>
      <left/>
      <right style="medium">
        <color rgb="FF1C376B"/>
      </right>
      <top/>
      <bottom style="medium">
        <color rgb="FF1C376B"/>
      </bottom>
      <diagonal/>
    </border>
    <border>
      <left/>
      <right style="thin">
        <color rgb="FF1C376B"/>
      </right>
      <top/>
      <bottom style="medium">
        <color rgb="FF1C376B"/>
      </bottom>
      <diagonal/>
    </border>
    <border>
      <left/>
      <right style="dotted">
        <color rgb="FF1C376B"/>
      </right>
      <top/>
      <bottom style="medium">
        <color rgb="FF1C376B"/>
      </bottom>
      <diagonal/>
    </border>
    <border>
      <left/>
      <right/>
      <top style="thin">
        <color rgb="FF1C376B"/>
      </top>
      <bottom/>
      <diagonal/>
    </border>
    <border>
      <left style="thin">
        <color rgb="FF1C376B"/>
      </left>
      <right/>
      <top style="medium">
        <color rgb="FF1C376B"/>
      </top>
      <bottom/>
      <diagonal/>
    </border>
    <border>
      <left/>
      <right style="thin">
        <color rgb="FF1C376B"/>
      </right>
      <top style="medium">
        <color rgb="FF1C376B"/>
      </top>
      <bottom/>
      <diagonal/>
    </border>
    <border>
      <left style="thin">
        <color rgb="FF1C376B"/>
      </left>
      <right/>
      <top/>
      <bottom style="medium">
        <color rgb="FF1C376B"/>
      </bottom>
      <diagonal/>
    </border>
    <border>
      <left style="medium">
        <color rgb="FF1C376B"/>
      </left>
      <right/>
      <top style="thin">
        <color rgb="FF1C376B"/>
      </top>
      <bottom/>
      <diagonal/>
    </border>
    <border>
      <left/>
      <right style="medium">
        <color rgb="FF1C376B"/>
      </right>
      <top style="thin">
        <color rgb="FF1C376B"/>
      </top>
      <bottom/>
      <diagonal/>
    </border>
    <border>
      <left style="thin">
        <color rgb="FF1C376B"/>
      </left>
      <right style="medium">
        <color rgb="FF1C376B"/>
      </right>
      <top/>
      <bottom/>
      <diagonal/>
    </border>
    <border>
      <left style="thin">
        <color rgb="FF1C376B"/>
      </left>
      <right style="medium">
        <color rgb="FF1C376B"/>
      </right>
      <top style="thin">
        <color rgb="FF1C376B"/>
      </top>
      <bottom/>
      <diagonal/>
    </border>
    <border>
      <left style="thin">
        <color rgb="FF1C376B"/>
      </left>
      <right style="medium">
        <color rgb="FF1C376B"/>
      </right>
      <top style="thin">
        <color rgb="FF1C376B"/>
      </top>
      <bottom style="medium">
        <color rgb="FF1C376B"/>
      </bottom>
      <diagonal/>
    </border>
    <border>
      <left/>
      <right/>
      <top style="medium">
        <color rgb="FF1C376B"/>
      </top>
      <bottom style="medium">
        <color rgb="FF1C376B"/>
      </bottom>
      <diagonal/>
    </border>
    <border>
      <left/>
      <right style="medium">
        <color rgb="FF1C376B"/>
      </right>
      <top style="medium">
        <color rgb="FF1C376B"/>
      </top>
      <bottom style="medium">
        <color rgb="FF1C376B"/>
      </bottom>
      <diagonal/>
    </border>
    <border>
      <left/>
      <right/>
      <top/>
      <bottom style="thin">
        <color rgb="FF1C376B"/>
      </bottom>
      <diagonal/>
    </border>
    <border>
      <left/>
      <right style="thin">
        <color rgb="FF1C376B"/>
      </right>
      <top style="thin">
        <color rgb="FF1C376B"/>
      </top>
      <bottom/>
      <diagonal/>
    </border>
    <border>
      <left style="thin">
        <color rgb="FF1C376B"/>
      </left>
      <right/>
      <top style="thin">
        <color rgb="FF1C376B"/>
      </top>
      <bottom/>
      <diagonal/>
    </border>
    <border>
      <left style="thin">
        <color rgb="FF1C376B"/>
      </left>
      <right style="thin">
        <color rgb="FF1C376B"/>
      </right>
      <top/>
      <bottom style="medium">
        <color rgb="FF1C376B"/>
      </bottom>
      <diagonal/>
    </border>
    <border>
      <left style="thin">
        <color rgb="FF1C376B"/>
      </left>
      <right style="thin">
        <color rgb="FF1C376B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medium">
        <color indexed="3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/>
      <bottom/>
      <diagonal/>
    </border>
  </borders>
  <cellStyleXfs count="366">
    <xf numFmtId="0" fontId="0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7" fillId="0" borderId="0"/>
    <xf numFmtId="9" fontId="37" fillId="0" borderId="0" applyFont="0" applyFill="0" applyBorder="0" applyAlignment="0" applyProtection="0"/>
    <xf numFmtId="0" fontId="1" fillId="0" borderId="0"/>
    <xf numFmtId="0" fontId="34" fillId="18" borderId="69" applyNumberFormat="0" applyAlignment="0" applyProtection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5" fontId="28" fillId="0" borderId="0"/>
    <xf numFmtId="175" fontId="28" fillId="0" borderId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4" borderId="0" applyNumberFormat="0" applyBorder="0" applyAlignment="0" applyProtection="0"/>
    <xf numFmtId="0" fontId="43" fillId="25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3" fillId="28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2" borderId="0" applyNumberFormat="0" applyBorder="0" applyAlignment="0" applyProtection="0"/>
    <xf numFmtId="0" fontId="44" fillId="33" borderId="0" applyNumberFormat="0" applyBorder="0" applyAlignment="0" applyProtection="0"/>
    <xf numFmtId="0" fontId="44" fillId="34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4" fillId="32" borderId="0" applyNumberFormat="0" applyBorder="0" applyAlignment="0" applyProtection="0"/>
    <xf numFmtId="0" fontId="44" fillId="36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0" fontId="44" fillId="32" borderId="0" applyNumberFormat="0" applyBorder="0" applyAlignment="0" applyProtection="0"/>
    <xf numFmtId="0" fontId="44" fillId="37" borderId="0" applyNumberFormat="0" applyBorder="0" applyAlignment="0" applyProtection="0"/>
    <xf numFmtId="0" fontId="43" fillId="38" borderId="0" applyNumberFormat="0" applyBorder="0" applyAlignment="0" applyProtection="0"/>
    <xf numFmtId="0" fontId="43" fillId="28" borderId="0" applyNumberFormat="0" applyBorder="0" applyAlignment="0" applyProtection="0"/>
    <xf numFmtId="0" fontId="44" fillId="29" borderId="0" applyNumberFormat="0" applyBorder="0" applyAlignment="0" applyProtection="0"/>
    <xf numFmtId="0" fontId="44" fillId="30" borderId="0" applyNumberFormat="0" applyBorder="0" applyAlignment="0" applyProtection="0"/>
    <xf numFmtId="0" fontId="43" fillId="31" borderId="0" applyNumberFormat="0" applyBorder="0" applyAlignment="0" applyProtection="0"/>
    <xf numFmtId="0" fontId="43" fillId="39" borderId="0" applyNumberFormat="0" applyBorder="0" applyAlignment="0" applyProtection="0"/>
    <xf numFmtId="0" fontId="44" fillId="39" borderId="0" applyNumberFormat="0" applyBorder="0" applyAlignment="0" applyProtection="0"/>
    <xf numFmtId="0" fontId="44" fillId="40" borderId="0" applyNumberFormat="0" applyBorder="0" applyAlignment="0" applyProtection="0"/>
    <xf numFmtId="0" fontId="45" fillId="0" borderId="0"/>
    <xf numFmtId="176" fontId="28" fillId="0" borderId="73">
      <alignment horizontal="right" vertical="center"/>
      <protection locked="0"/>
    </xf>
    <xf numFmtId="172" fontId="46" fillId="0" borderId="0" applyFont="0" applyFill="0" applyBorder="0" applyAlignment="0" applyProtection="0"/>
    <xf numFmtId="0" fontId="47" fillId="41" borderId="0" applyNumberFormat="0" applyBorder="0" applyAlignment="0" applyProtection="0"/>
    <xf numFmtId="0" fontId="48" fillId="0" borderId="0" applyNumberFormat="0" applyFill="0" applyBorder="0" applyAlignment="0"/>
    <xf numFmtId="173" fontId="2" fillId="42" borderId="0" applyNumberFormat="0" applyFont="0" applyBorder="0" applyAlignment="0">
      <alignment horizontal="right"/>
    </xf>
    <xf numFmtId="173" fontId="2" fillId="42" borderId="0" applyNumberFormat="0" applyFont="0" applyBorder="0" applyAlignment="0">
      <alignment horizontal="right"/>
    </xf>
    <xf numFmtId="0" fontId="49" fillId="0" borderId="0" applyNumberFormat="0" applyFill="0" applyBorder="0" applyAlignment="0">
      <protection locked="0"/>
    </xf>
    <xf numFmtId="0" fontId="50" fillId="43" borderId="0"/>
    <xf numFmtId="0" fontId="51" fillId="25" borderId="74" applyNumberFormat="0" applyAlignment="0" applyProtection="0"/>
    <xf numFmtId="177" fontId="52" fillId="0" borderId="75">
      <alignment horizontal="center"/>
    </xf>
    <xf numFmtId="0" fontId="53" fillId="44" borderId="76" applyNumberFormat="0" applyAlignment="0" applyProtection="0"/>
    <xf numFmtId="0" fontId="36" fillId="45" borderId="72">
      <alignment horizontal="center" vertical="center"/>
    </xf>
    <xf numFmtId="173" fontId="2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3" fontId="56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178" fontId="2" fillId="0" borderId="0" applyFont="0" applyFill="0" applyBorder="0" applyAlignment="0" applyProtection="0"/>
    <xf numFmtId="0" fontId="57" fillId="46" borderId="0" applyNumberFormat="0" applyBorder="0" applyAlignment="0" applyProtection="0"/>
    <xf numFmtId="0" fontId="57" fillId="47" borderId="0" applyNumberFormat="0" applyBorder="0" applyAlignment="0" applyProtection="0"/>
    <xf numFmtId="0" fontId="57" fillId="48" borderId="0" applyNumberFormat="0" applyBorder="0" applyAlignment="0" applyProtection="0"/>
    <xf numFmtId="0" fontId="2" fillId="49" borderId="74"/>
    <xf numFmtId="179" fontId="43" fillId="0" borderId="0" applyFont="0" applyFill="0" applyBorder="0" applyAlignment="0" applyProtection="0"/>
    <xf numFmtId="0" fontId="58" fillId="0" borderId="0" applyNumberFormat="0" applyFill="0" applyBorder="0" applyAlignment="0" applyProtection="0"/>
    <xf numFmtId="180" fontId="2" fillId="0" borderId="0" applyFont="0" applyFill="0" applyBorder="0" applyAlignment="0" applyProtection="0"/>
    <xf numFmtId="180" fontId="2" fillId="0" borderId="0" applyFont="0" applyFill="0" applyBorder="0" applyAlignment="0" applyProtection="0"/>
    <xf numFmtId="0" fontId="59" fillId="0" borderId="0"/>
    <xf numFmtId="0" fontId="60" fillId="0" borderId="0"/>
    <xf numFmtId="0" fontId="61" fillId="50" borderId="0" applyNumberFormat="0" applyBorder="0" applyAlignment="0" applyProtection="0"/>
    <xf numFmtId="0" fontId="62" fillId="0" borderId="0" applyFill="0" applyBorder="0"/>
    <xf numFmtId="0" fontId="63" fillId="0" borderId="0" applyNumberFormat="0" applyFill="0"/>
    <xf numFmtId="0" fontId="64" fillId="0" borderId="0" applyFill="0"/>
    <xf numFmtId="0" fontId="65" fillId="0" borderId="0" applyFill="0"/>
    <xf numFmtId="0" fontId="66" fillId="0" borderId="0" applyFill="0"/>
    <xf numFmtId="0" fontId="41" fillId="0" borderId="0" applyFill="0" applyBorder="0">
      <alignment vertical="center"/>
    </xf>
    <xf numFmtId="0" fontId="67" fillId="0" borderId="77" applyNumberFormat="0" applyFill="0" applyAlignment="0" applyProtection="0"/>
    <xf numFmtId="0" fontId="41" fillId="0" borderId="0" applyFill="0" applyBorder="0">
      <alignment vertical="center"/>
    </xf>
    <xf numFmtId="0" fontId="68" fillId="0" borderId="0" applyFill="0" applyBorder="0">
      <alignment vertical="center"/>
    </xf>
    <xf numFmtId="0" fontId="69" fillId="0" borderId="78" applyNumberFormat="0" applyFill="0" applyAlignment="0" applyProtection="0"/>
    <xf numFmtId="0" fontId="68" fillId="0" borderId="0" applyFill="0" applyBorder="0">
      <alignment vertical="center"/>
    </xf>
    <xf numFmtId="0" fontId="42" fillId="0" borderId="0" applyFill="0" applyBorder="0">
      <alignment vertical="center"/>
    </xf>
    <xf numFmtId="0" fontId="70" fillId="0" borderId="79" applyNumberFormat="0" applyFill="0" applyAlignment="0" applyProtection="0"/>
    <xf numFmtId="0" fontId="42" fillId="0" borderId="0" applyFill="0" applyBorder="0">
      <alignment vertical="center"/>
    </xf>
    <xf numFmtId="0" fontId="28" fillId="0" borderId="0" applyFill="0" applyBorder="0">
      <alignment vertical="center"/>
    </xf>
    <xf numFmtId="0" fontId="70" fillId="0" borderId="0" applyNumberFormat="0" applyFill="0" applyBorder="0" applyAlignment="0" applyProtection="0"/>
    <xf numFmtId="0" fontId="28" fillId="0" borderId="0" applyFill="0" applyBorder="0">
      <alignment vertical="center"/>
    </xf>
    <xf numFmtId="170" fontId="71" fillId="0" borderId="0"/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Fill="0" applyBorder="0">
      <alignment horizontal="center" vertical="center"/>
      <protection locked="0"/>
    </xf>
    <xf numFmtId="0" fontId="74" fillId="0" borderId="0" applyFill="0" applyBorder="0">
      <alignment horizontal="left" vertical="center"/>
      <protection locked="0"/>
    </xf>
    <xf numFmtId="0" fontId="75" fillId="23" borderId="74" applyNumberFormat="0" applyAlignment="0" applyProtection="0"/>
    <xf numFmtId="181" fontId="40" fillId="51" borderId="0" applyProtection="0"/>
    <xf numFmtId="173" fontId="2" fillId="52" borderId="0" applyFont="0" applyBorder="0" applyAlignment="0">
      <alignment horizontal="right"/>
      <protection locked="0"/>
    </xf>
    <xf numFmtId="173" fontId="2" fillId="52" borderId="0" applyFont="0" applyBorder="0" applyAlignment="0">
      <alignment horizontal="right"/>
      <protection locked="0"/>
    </xf>
    <xf numFmtId="182" fontId="2" fillId="20" borderId="0" applyFont="0" applyBorder="0">
      <alignment horizontal="right"/>
      <protection locked="0"/>
    </xf>
    <xf numFmtId="182" fontId="2" fillId="20" borderId="0" applyFont="0" applyBorder="0">
      <alignment horizontal="right"/>
      <protection locked="0"/>
    </xf>
    <xf numFmtId="173" fontId="2" fillId="2" borderId="0" applyFont="0" applyBorder="0">
      <alignment horizontal="right"/>
      <protection locked="0"/>
    </xf>
    <xf numFmtId="173" fontId="2" fillId="2" borderId="0" applyFont="0" applyBorder="0">
      <alignment horizontal="right"/>
      <protection locked="0"/>
    </xf>
    <xf numFmtId="0" fontId="50" fillId="53" borderId="0"/>
    <xf numFmtId="0" fontId="2" fillId="16" borderId="80" applyNumberFormat="0" applyFont="0" applyAlignment="0"/>
    <xf numFmtId="0" fontId="28" fillId="42" borderId="0"/>
    <xf numFmtId="0" fontId="76" fillId="0" borderId="81" applyNumberFormat="0" applyFill="0" applyAlignment="0" applyProtection="0"/>
    <xf numFmtId="183" fontId="77" fillId="0" borderId="0"/>
    <xf numFmtId="0" fontId="78" fillId="0" borderId="0" applyFill="0" applyBorder="0">
      <alignment horizontal="left" vertical="center"/>
    </xf>
    <xf numFmtId="0" fontId="79" fillId="26" borderId="0" applyNumberFormat="0" applyBorder="0" applyAlignment="0" applyProtection="0"/>
    <xf numFmtId="166" fontId="80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21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0" borderId="0"/>
    <xf numFmtId="0" fontId="2" fillId="0" borderId="0"/>
    <xf numFmtId="0" fontId="46" fillId="0" borderId="0"/>
    <xf numFmtId="0" fontId="2" fillId="21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24" borderId="82" applyNumberFormat="0" applyFont="0" applyAlignment="0" applyProtection="0"/>
    <xf numFmtId="0" fontId="81" fillId="51" borderId="83" applyNumberFormat="0"/>
    <xf numFmtId="0" fontId="82" fillId="25" borderId="84" applyNumberFormat="0" applyAlignment="0" applyProtection="0"/>
    <xf numFmtId="184" fontId="2" fillId="0" borderId="0" applyFill="0" applyBorder="0"/>
    <xf numFmtId="184" fontId="2" fillId="0" borderId="0" applyFill="0" applyBorder="0"/>
    <xf numFmtId="184" fontId="2" fillId="0" borderId="0" applyFill="0" applyBorder="0"/>
    <xf numFmtId="9" fontId="8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170" fontId="84" fillId="0" borderId="0"/>
    <xf numFmtId="0" fontId="42" fillId="0" borderId="0" applyFill="0" applyBorder="0">
      <alignment vertical="center"/>
    </xf>
    <xf numFmtId="0" fontId="54" fillId="0" borderId="0" applyNumberFormat="0" applyFont="0" applyFill="0" applyBorder="0" applyAlignment="0" applyProtection="0">
      <alignment horizontal="left"/>
    </xf>
    <xf numFmtId="15" fontId="54" fillId="0" borderId="0" applyFont="0" applyFill="0" applyBorder="0" applyAlignment="0" applyProtection="0"/>
    <xf numFmtId="4" fontId="54" fillId="0" borderId="0" applyFont="0" applyFill="0" applyBorder="0" applyAlignment="0" applyProtection="0"/>
    <xf numFmtId="185" fontId="85" fillId="0" borderId="70"/>
    <xf numFmtId="0" fontId="86" fillId="0" borderId="21">
      <alignment horizontal="center"/>
    </xf>
    <xf numFmtId="3" fontId="54" fillId="0" borderId="0" applyFont="0" applyFill="0" applyBorder="0" applyAlignment="0" applyProtection="0"/>
    <xf numFmtId="0" fontId="54" fillId="54" borderId="0" applyNumberFormat="0" applyFont="0" applyBorder="0" applyAlignment="0" applyProtection="0"/>
    <xf numFmtId="186" fontId="2" fillId="0" borderId="0"/>
    <xf numFmtId="186" fontId="2" fillId="0" borderId="0"/>
    <xf numFmtId="186" fontId="2" fillId="0" borderId="0"/>
    <xf numFmtId="187" fontId="28" fillId="0" borderId="0" applyFill="0" applyBorder="0">
      <alignment horizontal="right" vertical="center"/>
    </xf>
    <xf numFmtId="188" fontId="28" fillId="0" borderId="0" applyFill="0" applyBorder="0">
      <alignment horizontal="right" vertical="center"/>
    </xf>
    <xf numFmtId="189" fontId="28" fillId="0" borderId="0" applyFill="0" applyBorder="0">
      <alignment horizontal="right" vertical="center"/>
    </xf>
    <xf numFmtId="0" fontId="2" fillId="24" borderId="0" applyNumberFormat="0" applyFont="0" applyBorder="0" applyAlignment="0" applyProtection="0"/>
    <xf numFmtId="0" fontId="2" fillId="24" borderId="0" applyNumberFormat="0" applyFont="0" applyBorder="0" applyAlignment="0" applyProtection="0"/>
    <xf numFmtId="0" fontId="2" fillId="25" borderId="0" applyNumberFormat="0" applyFont="0" applyBorder="0" applyAlignment="0" applyProtection="0"/>
    <xf numFmtId="0" fontId="2" fillId="25" borderId="0" applyNumberFormat="0" applyFont="0" applyBorder="0" applyAlignment="0" applyProtection="0"/>
    <xf numFmtId="0" fontId="2" fillId="27" borderId="0" applyNumberFormat="0" applyFont="0" applyBorder="0" applyAlignment="0" applyProtection="0"/>
    <xf numFmtId="0" fontId="2" fillId="27" borderId="0" applyNumberFormat="0" applyFont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27" borderId="0" applyNumberFormat="0" applyFont="0" applyBorder="0" applyAlignment="0" applyProtection="0"/>
    <xf numFmtId="0" fontId="2" fillId="27" borderId="0" applyNumberFormat="0" applyFont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Fill="0" applyBorder="0" applyAlignment="0" applyProtection="0"/>
    <xf numFmtId="0" fontId="2" fillId="0" borderId="0" applyNumberFormat="0" applyFont="0" applyBorder="0" applyAlignment="0" applyProtection="0"/>
    <xf numFmtId="0" fontId="2" fillId="0" borderId="0" applyNumberFormat="0" applyFont="0" applyBorder="0" applyAlignment="0" applyProtection="0"/>
    <xf numFmtId="0" fontId="87" fillId="0" borderId="0" applyNumberFormat="0" applyFill="0" applyBorder="0" applyAlignment="0" applyProtection="0"/>
    <xf numFmtId="0" fontId="88" fillId="55" borderId="0"/>
    <xf numFmtId="0" fontId="89" fillId="55" borderId="0" applyNumberFormat="0"/>
    <xf numFmtId="0" fontId="90" fillId="55" borderId="0"/>
    <xf numFmtId="0" fontId="2" fillId="0" borderId="0"/>
    <xf numFmtId="0" fontId="2" fillId="0" borderId="0"/>
    <xf numFmtId="0" fontId="2" fillId="0" borderId="0"/>
    <xf numFmtId="0" fontId="78" fillId="0" borderId="0"/>
    <xf numFmtId="0" fontId="91" fillId="0" borderId="0"/>
    <xf numFmtId="15" fontId="2" fillId="0" borderId="0"/>
    <xf numFmtId="15" fontId="2" fillId="0" borderId="0"/>
    <xf numFmtId="15" fontId="2" fillId="0" borderId="0"/>
    <xf numFmtId="10" fontId="2" fillId="0" borderId="0"/>
    <xf numFmtId="10" fontId="2" fillId="0" borderId="0"/>
    <xf numFmtId="10" fontId="2" fillId="0" borderId="0"/>
    <xf numFmtId="0" fontId="92" fillId="56" borderId="16" applyBorder="0" applyProtection="0">
      <alignment horizontal="centerContinuous" vertical="center"/>
    </xf>
    <xf numFmtId="0" fontId="93" fillId="0" borderId="0" applyBorder="0" applyProtection="0">
      <alignment vertical="center"/>
    </xf>
    <xf numFmtId="0" fontId="94" fillId="0" borderId="0">
      <alignment horizontal="left"/>
    </xf>
    <xf numFmtId="0" fontId="94" fillId="0" borderId="71" applyFill="0" applyBorder="0" applyProtection="0">
      <alignment horizontal="left" vertical="top"/>
    </xf>
    <xf numFmtId="0" fontId="95" fillId="57" borderId="72" applyNumberFormat="0">
      <alignment horizontal="center" vertical="center"/>
    </xf>
    <xf numFmtId="0" fontId="35" fillId="58" borderId="74" applyNumberFormat="0" applyAlignment="0">
      <alignment horizontal="right"/>
    </xf>
    <xf numFmtId="49" fontId="2" fillId="0" borderId="0" applyFont="0" applyFill="0" applyBorder="0" applyAlignment="0" applyProtection="0"/>
    <xf numFmtId="0" fontId="96" fillId="0" borderId="0"/>
    <xf numFmtId="49" fontId="2" fillId="0" borderId="0" applyFont="0" applyFill="0" applyBorder="0" applyAlignment="0" applyProtection="0"/>
    <xf numFmtId="0" fontId="97" fillId="0" borderId="0"/>
    <xf numFmtId="0" fontId="97" fillId="0" borderId="0"/>
    <xf numFmtId="0" fontId="96" fillId="0" borderId="0"/>
    <xf numFmtId="183" fontId="98" fillId="0" borderId="0"/>
    <xf numFmtId="0" fontId="87" fillId="0" borderId="0" applyNumberFormat="0" applyFill="0" applyBorder="0" applyAlignment="0" applyProtection="0"/>
    <xf numFmtId="0" fontId="99" fillId="0" borderId="0" applyFill="0" applyBorder="0">
      <alignment horizontal="left" vertical="center"/>
      <protection locked="0"/>
    </xf>
    <xf numFmtId="0" fontId="96" fillId="0" borderId="0"/>
    <xf numFmtId="0" fontId="100" fillId="0" borderId="0" applyFill="0" applyBorder="0">
      <alignment horizontal="left" vertical="center"/>
      <protection locked="0"/>
    </xf>
    <xf numFmtId="0" fontId="57" fillId="0" borderId="85" applyNumberFormat="0" applyFill="0" applyAlignment="0" applyProtection="0"/>
    <xf numFmtId="0" fontId="41" fillId="16" borderId="80" applyNumberFormat="0" applyAlignment="0"/>
    <xf numFmtId="0" fontId="52" fillId="0" borderId="0" applyNumberFormat="0" applyFill="0" applyBorder="0"/>
    <xf numFmtId="0" fontId="101" fillId="11" borderId="80" applyNumberFormat="0">
      <protection locked="0"/>
    </xf>
    <xf numFmtId="0" fontId="102" fillId="0" borderId="0" applyNumberFormat="0" applyFill="0" applyBorder="0" applyAlignment="0" applyProtection="0"/>
    <xf numFmtId="190" fontId="2" fillId="0" borderId="16" applyBorder="0" applyProtection="0">
      <alignment horizontal="right"/>
    </xf>
    <xf numFmtId="190" fontId="2" fillId="0" borderId="16" applyBorder="0" applyProtection="0">
      <alignment horizontal="right"/>
    </xf>
    <xf numFmtId="190" fontId="2" fillId="0" borderId="16" applyBorder="0" applyProtection="0">
      <alignment horizontal="right"/>
    </xf>
    <xf numFmtId="0" fontId="103" fillId="0" borderId="0" applyNumberFormat="0" applyFill="0" applyBorder="0" applyAlignment="0" applyProtection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39" fillId="0" borderId="0"/>
    <xf numFmtId="9" fontId="39" fillId="0" borderId="0" applyFont="0" applyFill="0" applyBorder="0" applyAlignment="0" applyProtection="0"/>
    <xf numFmtId="176" fontId="28" fillId="0" borderId="73">
      <alignment horizontal="right" vertical="center"/>
      <protection locked="0"/>
    </xf>
    <xf numFmtId="164" fontId="39" fillId="0" borderId="0" applyFont="0" applyFill="0" applyBorder="0" applyAlignment="0" applyProtection="0"/>
    <xf numFmtId="0" fontId="51" fillId="25" borderId="74" applyNumberFormat="0" applyAlignment="0" applyProtection="0"/>
    <xf numFmtId="0" fontId="75" fillId="23" borderId="74" applyNumberFormat="0" applyAlignment="0" applyProtection="0"/>
    <xf numFmtId="0" fontId="2" fillId="24" borderId="82" applyNumberFormat="0" applyFont="0" applyAlignment="0" applyProtection="0"/>
    <xf numFmtId="0" fontId="82" fillId="25" borderId="84" applyNumberFormat="0" applyAlignment="0" applyProtection="0"/>
    <xf numFmtId="0" fontId="57" fillId="0" borderId="85" applyNumberFormat="0" applyFill="0" applyAlignment="0" applyProtection="0"/>
    <xf numFmtId="177" fontId="52" fillId="0" borderId="75">
      <alignment horizontal="center"/>
    </xf>
    <xf numFmtId="0" fontId="1" fillId="0" borderId="0"/>
    <xf numFmtId="0" fontId="38" fillId="0" borderId="0" applyNumberFormat="0" applyFill="0" applyBorder="0" applyAlignment="0" applyProtection="0"/>
    <xf numFmtId="0" fontId="39" fillId="0" borderId="0"/>
    <xf numFmtId="17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5" fillId="0" borderId="0"/>
    <xf numFmtId="9" fontId="35" fillId="0" borderId="0" applyFont="0" applyFill="0" applyBorder="0" applyAlignment="0" applyProtection="0"/>
    <xf numFmtId="0" fontId="1" fillId="19" borderId="0" applyNumberFormat="0" applyBorder="0" applyAlignment="0" applyProtection="0"/>
    <xf numFmtId="191" fontId="2" fillId="2" borderId="0" applyFont="0" applyBorder="0">
      <alignment horizontal="right"/>
    </xf>
    <xf numFmtId="170" fontId="2" fillId="2" borderId="0" applyFont="0" applyBorder="0" applyAlignment="0"/>
    <xf numFmtId="191" fontId="2" fillId="2" borderId="0" applyFont="0" applyBorder="0">
      <alignment horizontal="right"/>
    </xf>
    <xf numFmtId="173" fontId="2" fillId="59" borderId="0" applyFont="0" applyBorder="0" applyAlignment="0">
      <alignment horizontal="right"/>
      <protection locked="0"/>
    </xf>
    <xf numFmtId="10" fontId="2" fillId="59" borderId="0" applyFont="0" applyBorder="0">
      <alignment horizontal="right"/>
      <protection locked="0"/>
    </xf>
    <xf numFmtId="173" fontId="2" fillId="59" borderId="0" applyFont="0" applyBorder="0" applyAlignment="0">
      <alignment horizontal="right"/>
      <protection locked="0"/>
    </xf>
    <xf numFmtId="3" fontId="2" fillId="60" borderId="0" applyFont="0" applyBorder="0">
      <protection locked="0"/>
    </xf>
    <xf numFmtId="170" fontId="68" fillId="60" borderId="0" applyBorder="0" applyAlignment="0">
      <protection locked="0"/>
    </xf>
    <xf numFmtId="170" fontId="104" fillId="61" borderId="0" applyBorder="0" applyAlignment="0"/>
    <xf numFmtId="191" fontId="105" fillId="42" borderId="86" applyFont="0" applyBorder="0" applyAlignment="0"/>
    <xf numFmtId="170" fontId="68" fillId="42" borderId="0" applyFont="0" applyBorder="0" applyAlignment="0"/>
    <xf numFmtId="164" fontId="1" fillId="0" borderId="0" applyFont="0" applyFill="0" applyBorder="0" applyAlignment="0" applyProtection="0"/>
    <xf numFmtId="173" fontId="2" fillId="42" borderId="0" applyNumberFormat="0" applyFont="0" applyBorder="0" applyAlignment="0">
      <alignment horizontal="right"/>
    </xf>
    <xf numFmtId="173" fontId="2" fillId="42" borderId="0" applyNumberFormat="0" applyFont="0" applyBorder="0" applyAlignment="0">
      <alignment horizontal="right"/>
    </xf>
    <xf numFmtId="164" fontId="2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1" fillId="0" borderId="0" applyFont="0" applyFill="0" applyBorder="0" applyAlignment="0" applyProtection="0"/>
    <xf numFmtId="173" fontId="2" fillId="52" borderId="0" applyFont="0" applyBorder="0" applyAlignment="0">
      <alignment horizontal="right"/>
      <protection locked="0"/>
    </xf>
    <xf numFmtId="173" fontId="2" fillId="52" borderId="0" applyFont="0" applyBorder="0" applyAlignment="0">
      <alignment horizontal="right"/>
      <protection locked="0"/>
    </xf>
    <xf numFmtId="173" fontId="2" fillId="2" borderId="0" applyFont="0" applyBorder="0">
      <alignment horizontal="right"/>
      <protection locked="0"/>
    </xf>
    <xf numFmtId="173" fontId="2" fillId="2" borderId="0" applyFont="0" applyBorder="0">
      <alignment horizontal="right"/>
      <protection locked="0"/>
    </xf>
    <xf numFmtId="164" fontId="39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9" fillId="0" borderId="0" applyFont="0" applyFill="0" applyBorder="0" applyAlignment="0" applyProtection="0"/>
    <xf numFmtId="174" fontId="1" fillId="0" borderId="0" applyFont="0" applyFill="0" applyBorder="0" applyAlignment="0" applyProtection="0"/>
    <xf numFmtId="173" fontId="2" fillId="59" borderId="0" applyFont="0" applyBorder="0" applyAlignment="0">
      <alignment horizontal="right"/>
      <protection locked="0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6" fillId="0" borderId="0"/>
    <xf numFmtId="9" fontId="106" fillId="0" borderId="0" applyFont="0" applyFill="0" applyBorder="0" applyAlignment="0" applyProtection="0"/>
    <xf numFmtId="0" fontId="106" fillId="0" borderId="0"/>
    <xf numFmtId="164" fontId="37" fillId="0" borderId="0" applyFont="0" applyFill="0" applyBorder="0" applyAlignment="0" applyProtection="0"/>
  </cellStyleXfs>
  <cellXfs count="455">
    <xf numFmtId="0" fontId="0" fillId="0" borderId="0" xfId="0"/>
    <xf numFmtId="0" fontId="3" fillId="0" borderId="0" xfId="0" applyFont="1" applyAlignment="1">
      <alignment wrapText="1"/>
    </xf>
    <xf numFmtId="0" fontId="3" fillId="0" borderId="0" xfId="0" applyFont="1"/>
    <xf numFmtId="164" fontId="3" fillId="0" borderId="0" xfId="1" applyFont="1"/>
    <xf numFmtId="10" fontId="3" fillId="0" borderId="0" xfId="1" applyNumberFormat="1" applyFont="1"/>
    <xf numFmtId="165" fontId="3" fillId="0" borderId="0" xfId="1" applyNumberFormat="1" applyFont="1"/>
    <xf numFmtId="165" fontId="3" fillId="0" borderId="0" xfId="0" applyNumberFormat="1" applyFont="1"/>
    <xf numFmtId="0" fontId="3" fillId="2" borderId="0" xfId="0" applyFont="1" applyFill="1" applyBorder="1"/>
    <xf numFmtId="0" fontId="8" fillId="2" borderId="1" xfId="0" applyFont="1" applyFill="1" applyBorder="1"/>
    <xf numFmtId="0" fontId="5" fillId="2" borderId="2" xfId="0" applyFont="1" applyFill="1" applyBorder="1" applyAlignment="1">
      <alignment horizontal="center"/>
    </xf>
    <xf numFmtId="0" fontId="3" fillId="2" borderId="2" xfId="0" applyFont="1" applyFill="1" applyBorder="1"/>
    <xf numFmtId="0" fontId="3" fillId="2" borderId="3" xfId="0" applyFont="1" applyFill="1" applyBorder="1"/>
    <xf numFmtId="0" fontId="4" fillId="2" borderId="4" xfId="0" applyFont="1" applyFill="1" applyBorder="1"/>
    <xf numFmtId="0" fontId="3" fillId="2" borderId="5" xfId="0" applyFont="1" applyFill="1" applyBorder="1"/>
    <xf numFmtId="0" fontId="3" fillId="2" borderId="4" xfId="0" applyFont="1" applyFill="1" applyBorder="1" applyAlignment="1">
      <alignment horizontal="left" indent="1"/>
    </xf>
    <xf numFmtId="164" fontId="3" fillId="2" borderId="0" xfId="1" applyFont="1" applyFill="1" applyBorder="1"/>
    <xf numFmtId="165" fontId="3" fillId="2" borderId="0" xfId="1" applyNumberFormat="1" applyFont="1" applyFill="1" applyBorder="1"/>
    <xf numFmtId="10" fontId="3" fillId="2" borderId="0" xfId="1" applyNumberFormat="1" applyFont="1" applyFill="1" applyBorder="1"/>
    <xf numFmtId="165" fontId="3" fillId="2" borderId="5" xfId="1" applyNumberFormat="1" applyFont="1" applyFill="1" applyBorder="1"/>
    <xf numFmtId="0" fontId="3" fillId="2" borderId="6" xfId="0" applyFont="1" applyFill="1" applyBorder="1" applyAlignment="1">
      <alignment horizontal="left"/>
    </xf>
    <xf numFmtId="164" fontId="3" fillId="2" borderId="7" xfId="1" applyFont="1" applyFill="1" applyBorder="1"/>
    <xf numFmtId="165" fontId="3" fillId="2" borderId="7" xfId="1" applyNumberFormat="1" applyFont="1" applyFill="1" applyBorder="1"/>
    <xf numFmtId="165" fontId="3" fillId="2" borderId="8" xfId="1" applyNumberFormat="1" applyFont="1" applyFill="1" applyBorder="1"/>
    <xf numFmtId="0" fontId="4" fillId="2" borderId="4" xfId="0" applyFont="1" applyFill="1" applyBorder="1" applyAlignment="1">
      <alignment horizontal="left"/>
    </xf>
    <xf numFmtId="0" fontId="8" fillId="2" borderId="9" xfId="0" applyFont="1" applyFill="1" applyBorder="1"/>
    <xf numFmtId="164" fontId="3" fillId="2" borderId="10" xfId="1" applyFont="1" applyFill="1" applyBorder="1"/>
    <xf numFmtId="165" fontId="3" fillId="2" borderId="10" xfId="1" applyNumberFormat="1" applyFont="1" applyFill="1" applyBorder="1"/>
    <xf numFmtId="10" fontId="3" fillId="2" borderId="10" xfId="1" applyNumberFormat="1" applyFont="1" applyFill="1" applyBorder="1"/>
    <xf numFmtId="165" fontId="3" fillId="2" borderId="11" xfId="1" applyNumberFormat="1" applyFont="1" applyFill="1" applyBorder="1"/>
    <xf numFmtId="164" fontId="3" fillId="2" borderId="2" xfId="1" applyFont="1" applyFill="1" applyBorder="1"/>
    <xf numFmtId="165" fontId="3" fillId="2" borderId="2" xfId="1" applyNumberFormat="1" applyFont="1" applyFill="1" applyBorder="1"/>
    <xf numFmtId="10" fontId="3" fillId="2" borderId="2" xfId="1" applyNumberFormat="1" applyFont="1" applyFill="1" applyBorder="1"/>
    <xf numFmtId="165" fontId="3" fillId="2" borderId="3" xfId="1" applyNumberFormat="1" applyFont="1" applyFill="1" applyBorder="1"/>
    <xf numFmtId="165" fontId="3" fillId="2" borderId="0" xfId="0" applyNumberFormat="1" applyFont="1" applyFill="1" applyBorder="1"/>
    <xf numFmtId="165" fontId="3" fillId="2" borderId="5" xfId="0" applyNumberFormat="1" applyFont="1" applyFill="1" applyBorder="1"/>
    <xf numFmtId="0" fontId="8" fillId="2" borderId="1" xfId="0" applyFont="1" applyFill="1" applyBorder="1" applyAlignment="1">
      <alignment horizontal="left"/>
    </xf>
    <xf numFmtId="0" fontId="3" fillId="2" borderId="12" xfId="0" applyFont="1" applyFill="1" applyBorder="1" applyAlignment="1">
      <alignment horizontal="left"/>
    </xf>
    <xf numFmtId="164" fontId="3" fillId="2" borderId="13" xfId="1" applyFont="1" applyFill="1" applyBorder="1"/>
    <xf numFmtId="165" fontId="3" fillId="2" borderId="13" xfId="1" applyNumberFormat="1" applyFont="1" applyFill="1" applyBorder="1"/>
    <xf numFmtId="10" fontId="3" fillId="2" borderId="13" xfId="1" applyNumberFormat="1" applyFont="1" applyFill="1" applyBorder="1"/>
    <xf numFmtId="165" fontId="3" fillId="2" borderId="14" xfId="1" applyNumberFormat="1" applyFont="1" applyFill="1" applyBorder="1"/>
    <xf numFmtId="0" fontId="10" fillId="2" borderId="15" xfId="0" applyFont="1" applyFill="1" applyBorder="1"/>
    <xf numFmtId="0" fontId="3" fillId="2" borderId="16" xfId="0" applyFont="1" applyFill="1" applyBorder="1" applyAlignment="1">
      <alignment horizontal="center" wrapText="1"/>
    </xf>
    <xf numFmtId="164" fontId="3" fillId="2" borderId="16" xfId="1" applyFont="1" applyFill="1" applyBorder="1"/>
    <xf numFmtId="10" fontId="3" fillId="2" borderId="16" xfId="1" applyNumberFormat="1" applyFont="1" applyFill="1" applyBorder="1"/>
    <xf numFmtId="0" fontId="3" fillId="2" borderId="17" xfId="0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left"/>
    </xf>
    <xf numFmtId="165" fontId="3" fillId="2" borderId="19" xfId="1" applyNumberFormat="1" applyFont="1" applyFill="1" applyBorder="1"/>
    <xf numFmtId="0" fontId="3" fillId="2" borderId="18" xfId="0" applyFont="1" applyFill="1" applyBorder="1" applyAlignment="1">
      <alignment horizontal="left" indent="1"/>
    </xf>
    <xf numFmtId="0" fontId="3" fillId="2" borderId="15" xfId="0" applyFont="1" applyFill="1" applyBorder="1" applyAlignment="1">
      <alignment horizontal="left" indent="1"/>
    </xf>
    <xf numFmtId="165" fontId="3" fillId="2" borderId="17" xfId="1" applyNumberFormat="1" applyFont="1" applyFill="1" applyBorder="1"/>
    <xf numFmtId="0" fontId="9" fillId="2" borderId="20" xfId="0" applyFont="1" applyFill="1" applyBorder="1"/>
    <xf numFmtId="164" fontId="3" fillId="2" borderId="21" xfId="1" applyFont="1" applyFill="1" applyBorder="1"/>
    <xf numFmtId="165" fontId="3" fillId="2" borderId="21" xfId="1" applyNumberFormat="1" applyFont="1" applyFill="1" applyBorder="1"/>
    <xf numFmtId="10" fontId="3" fillId="2" borderId="21" xfId="1" applyNumberFormat="1" applyFont="1" applyFill="1" applyBorder="1"/>
    <xf numFmtId="165" fontId="3" fillId="2" borderId="22" xfId="1" applyNumberFormat="1" applyFont="1" applyFill="1" applyBorder="1"/>
    <xf numFmtId="0" fontId="7" fillId="3" borderId="13" xfId="0" applyFont="1" applyFill="1" applyBorder="1"/>
    <xf numFmtId="0" fontId="3" fillId="3" borderId="12" xfId="0" applyFont="1" applyFill="1" applyBorder="1" applyAlignment="1">
      <alignment wrapText="1"/>
    </xf>
    <xf numFmtId="0" fontId="3" fillId="3" borderId="13" xfId="0" applyFont="1" applyFill="1" applyBorder="1" applyAlignment="1">
      <alignment horizontal="center" wrapText="1"/>
    </xf>
    <xf numFmtId="0" fontId="3" fillId="3" borderId="14" xfId="0" applyFont="1" applyFill="1" applyBorder="1" applyAlignment="1">
      <alignment wrapText="1"/>
    </xf>
    <xf numFmtId="0" fontId="3" fillId="3" borderId="18" xfId="0" applyFont="1" applyFill="1" applyBorder="1"/>
    <xf numFmtId="0" fontId="6" fillId="3" borderId="0" xfId="0" applyFont="1" applyFill="1" applyBorder="1"/>
    <xf numFmtId="0" fontId="5" fillId="3" borderId="0" xfId="0" applyFont="1" applyFill="1" applyBorder="1" applyAlignment="1">
      <alignment horizontal="center"/>
    </xf>
    <xf numFmtId="0" fontId="3" fillId="3" borderId="0" xfId="0" applyFont="1" applyFill="1" applyBorder="1"/>
    <xf numFmtId="0" fontId="3" fillId="3" borderId="19" xfId="0" applyFont="1" applyFill="1" applyBorder="1"/>
    <xf numFmtId="0" fontId="3" fillId="3" borderId="20" xfId="0" applyFont="1" applyFill="1" applyBorder="1"/>
    <xf numFmtId="0" fontId="3" fillId="3" borderId="22" xfId="0" applyFont="1" applyFill="1" applyBorder="1"/>
    <xf numFmtId="164" fontId="3" fillId="3" borderId="0" xfId="1" applyFont="1" applyFill="1" applyBorder="1"/>
    <xf numFmtId="165" fontId="3" fillId="3" borderId="0" xfId="1" applyNumberFormat="1" applyFont="1" applyFill="1" applyBorder="1"/>
    <xf numFmtId="10" fontId="3" fillId="3" borderId="0" xfId="1" applyNumberFormat="1" applyFont="1" applyFill="1" applyBorder="1"/>
    <xf numFmtId="0" fontId="3" fillId="3" borderId="0" xfId="0" applyFont="1" applyFill="1" applyBorder="1" applyAlignment="1">
      <alignment horizontal="left" indent="1"/>
    </xf>
    <xf numFmtId="0" fontId="3" fillId="3" borderId="21" xfId="0" applyFont="1" applyFill="1" applyBorder="1"/>
    <xf numFmtId="164" fontId="3" fillId="3" borderId="21" xfId="1" applyFont="1" applyFill="1" applyBorder="1"/>
    <xf numFmtId="165" fontId="3" fillId="3" borderId="21" xfId="1" applyNumberFormat="1" applyFont="1" applyFill="1" applyBorder="1"/>
    <xf numFmtId="10" fontId="3" fillId="3" borderId="21" xfId="1" applyNumberFormat="1" applyFont="1" applyFill="1" applyBorder="1"/>
    <xf numFmtId="0" fontId="3" fillId="2" borderId="4" xfId="0" applyFont="1" applyFill="1" applyBorder="1" applyAlignment="1">
      <alignment horizontal="left" indent="3"/>
    </xf>
    <xf numFmtId="165" fontId="3" fillId="2" borderId="16" xfId="1" applyNumberFormat="1" applyFont="1" applyFill="1" applyBorder="1"/>
    <xf numFmtId="0" fontId="7" fillId="3" borderId="13" xfId="0" applyFont="1" applyFill="1" applyBorder="1" applyAlignment="1">
      <alignment wrapText="1"/>
    </xf>
    <xf numFmtId="0" fontId="8" fillId="2" borderId="4" xfId="0" applyFont="1" applyFill="1" applyBorder="1" applyAlignment="1">
      <alignment horizontal="left"/>
    </xf>
    <xf numFmtId="0" fontId="3" fillId="2" borderId="9" xfId="0" applyFont="1" applyFill="1" applyBorder="1" applyAlignment="1">
      <alignment horizontal="left"/>
    </xf>
    <xf numFmtId="164" fontId="3" fillId="2" borderId="16" xfId="1" applyFont="1" applyFill="1" applyBorder="1" applyAlignment="1">
      <alignment horizontal="center" wrapText="1"/>
    </xf>
    <xf numFmtId="0" fontId="3" fillId="2" borderId="18" xfId="0" applyFont="1" applyFill="1" applyBorder="1" applyAlignment="1">
      <alignment horizontal="left" indent="2"/>
    </xf>
    <xf numFmtId="0" fontId="3" fillId="2" borderId="23" xfId="0" applyFont="1" applyFill="1" applyBorder="1" applyAlignment="1">
      <alignment horizontal="left" indent="1"/>
    </xf>
    <xf numFmtId="10" fontId="3" fillId="2" borderId="7" xfId="1" applyNumberFormat="1" applyFont="1" applyFill="1" applyBorder="1"/>
    <xf numFmtId="165" fontId="3" fillId="2" borderId="24" xfId="1" applyNumberFormat="1" applyFont="1" applyFill="1" applyBorder="1"/>
    <xf numFmtId="0" fontId="11" fillId="2" borderId="18" xfId="0" applyFont="1" applyFill="1" applyBorder="1" applyAlignment="1">
      <alignment horizontal="left" indent="1"/>
    </xf>
    <xf numFmtId="164" fontId="11" fillId="2" borderId="0" xfId="1" applyFont="1" applyFill="1" applyBorder="1"/>
    <xf numFmtId="165" fontId="11" fillId="2" borderId="0" xfId="1" applyNumberFormat="1" applyFont="1" applyFill="1" applyBorder="1"/>
    <xf numFmtId="10" fontId="11" fillId="2" borderId="0" xfId="1" applyNumberFormat="1" applyFont="1" applyFill="1" applyBorder="1"/>
    <xf numFmtId="165" fontId="11" fillId="2" borderId="19" xfId="1" applyNumberFormat="1" applyFont="1" applyFill="1" applyBorder="1"/>
    <xf numFmtId="0" fontId="11" fillId="2" borderId="15" xfId="0" applyFont="1" applyFill="1" applyBorder="1" applyAlignment="1">
      <alignment horizontal="left" indent="1"/>
    </xf>
    <xf numFmtId="165" fontId="11" fillId="2" borderId="16" xfId="1" applyNumberFormat="1" applyFont="1" applyFill="1" applyBorder="1"/>
    <xf numFmtId="164" fontId="11" fillId="2" borderId="16" xfId="1" applyFont="1" applyFill="1" applyBorder="1"/>
    <xf numFmtId="10" fontId="11" fillId="2" borderId="16" xfId="1" applyNumberFormat="1" applyFont="1" applyFill="1" applyBorder="1"/>
    <xf numFmtId="165" fontId="11" fillId="2" borderId="17" xfId="1" applyNumberFormat="1" applyFont="1" applyFill="1" applyBorder="1"/>
    <xf numFmtId="0" fontId="12" fillId="2" borderId="20" xfId="0" applyFont="1" applyFill="1" applyBorder="1"/>
    <xf numFmtId="165" fontId="11" fillId="2" borderId="21" xfId="1" applyNumberFormat="1" applyFont="1" applyFill="1" applyBorder="1"/>
    <xf numFmtId="164" fontId="11" fillId="2" borderId="21" xfId="1" applyFont="1" applyFill="1" applyBorder="1"/>
    <xf numFmtId="10" fontId="11" fillId="2" borderId="21" xfId="1" applyNumberFormat="1" applyFont="1" applyFill="1" applyBorder="1"/>
    <xf numFmtId="165" fontId="11" fillId="2" borderId="22" xfId="1" applyNumberFormat="1" applyFont="1" applyFill="1" applyBorder="1"/>
    <xf numFmtId="0" fontId="11" fillId="3" borderId="18" xfId="0" applyFont="1" applyFill="1" applyBorder="1"/>
    <xf numFmtId="0" fontId="12" fillId="2" borderId="15" xfId="0" applyFont="1" applyFill="1" applyBorder="1"/>
    <xf numFmtId="0" fontId="11" fillId="2" borderId="16" xfId="0" applyFont="1" applyFill="1" applyBorder="1" applyAlignment="1">
      <alignment horizontal="center" wrapText="1"/>
    </xf>
    <xf numFmtId="164" fontId="11" fillId="2" borderId="16" xfId="1" applyFont="1" applyFill="1" applyBorder="1" applyAlignment="1">
      <alignment horizontal="center" wrapText="1"/>
    </xf>
    <xf numFmtId="0" fontId="11" fillId="3" borderId="19" xfId="0" applyFont="1" applyFill="1" applyBorder="1"/>
    <xf numFmtId="0" fontId="11" fillId="0" borderId="0" xfId="0" applyFont="1"/>
    <xf numFmtId="0" fontId="11" fillId="2" borderId="17" xfId="0" applyFont="1" applyFill="1" applyBorder="1" applyAlignment="1">
      <alignment horizontal="right" wrapText="1"/>
    </xf>
    <xf numFmtId="0" fontId="6" fillId="3" borderId="25" xfId="0" applyFont="1" applyFill="1" applyBorder="1"/>
    <xf numFmtId="0" fontId="5" fillId="3" borderId="25" xfId="0" applyFont="1" applyFill="1" applyBorder="1" applyAlignment="1">
      <alignment horizontal="center"/>
    </xf>
    <xf numFmtId="0" fontId="3" fillId="3" borderId="25" xfId="0" applyFont="1" applyFill="1" applyBorder="1"/>
    <xf numFmtId="0" fontId="3" fillId="3" borderId="26" xfId="0" applyFont="1" applyFill="1" applyBorder="1"/>
    <xf numFmtId="164" fontId="3" fillId="3" borderId="26" xfId="1" applyFont="1" applyFill="1" applyBorder="1"/>
    <xf numFmtId="165" fontId="3" fillId="3" borderId="26" xfId="1" applyNumberFormat="1" applyFont="1" applyFill="1" applyBorder="1"/>
    <xf numFmtId="10" fontId="3" fillId="3" borderId="26" xfId="1" applyNumberFormat="1" applyFont="1" applyFill="1" applyBorder="1"/>
    <xf numFmtId="0" fontId="3" fillId="3" borderId="26" xfId="0" applyFont="1" applyFill="1" applyBorder="1" applyAlignment="1">
      <alignment horizontal="left" indent="1"/>
    </xf>
    <xf numFmtId="164" fontId="13" fillId="2" borderId="0" xfId="1" applyFont="1" applyFill="1" applyBorder="1"/>
    <xf numFmtId="10" fontId="3" fillId="2" borderId="7" xfId="2" applyNumberFormat="1" applyFont="1" applyFill="1" applyBorder="1"/>
    <xf numFmtId="10" fontId="3" fillId="2" borderId="10" xfId="2" applyNumberFormat="1" applyFont="1" applyFill="1" applyBorder="1"/>
    <xf numFmtId="10" fontId="3" fillId="2" borderId="0" xfId="2" applyNumberFormat="1" applyFont="1" applyFill="1" applyBorder="1"/>
    <xf numFmtId="10" fontId="13" fillId="2" borderId="0" xfId="1" applyNumberFormat="1" applyFont="1" applyFill="1" applyBorder="1"/>
    <xf numFmtId="165" fontId="13" fillId="2" borderId="0" xfId="1" applyNumberFormat="1" applyFont="1" applyFill="1" applyBorder="1"/>
    <xf numFmtId="164" fontId="3" fillId="2" borderId="7" xfId="1" applyNumberFormat="1" applyFont="1" applyFill="1" applyBorder="1"/>
    <xf numFmtId="164" fontId="3" fillId="2" borderId="10" xfId="1" applyNumberFormat="1" applyFont="1" applyFill="1" applyBorder="1"/>
    <xf numFmtId="165" fontId="13" fillId="2" borderId="16" xfId="1" applyNumberFormat="1" applyFont="1" applyFill="1" applyBorder="1"/>
    <xf numFmtId="165" fontId="13" fillId="2" borderId="0" xfId="1" applyNumberFormat="1" applyFont="1" applyFill="1" applyBorder="1" applyAlignment="1">
      <alignment horizontal="right"/>
    </xf>
    <xf numFmtId="164" fontId="13" fillId="2" borderId="0" xfId="1" applyFont="1" applyFill="1" applyBorder="1" applyAlignment="1">
      <alignment horizontal="right"/>
    </xf>
    <xf numFmtId="0" fontId="14" fillId="0" borderId="0" xfId="0" applyFont="1"/>
    <xf numFmtId="0" fontId="15" fillId="0" borderId="0" xfId="0" applyFont="1"/>
    <xf numFmtId="2" fontId="14" fillId="0" borderId="0" xfId="0" applyNumberFormat="1" applyFont="1"/>
    <xf numFmtId="3" fontId="14" fillId="0" borderId="0" xfId="0" applyNumberFormat="1" applyFont="1"/>
    <xf numFmtId="9" fontId="14" fillId="0" borderId="0" xfId="2" applyFont="1"/>
    <xf numFmtId="0" fontId="21" fillId="0" borderId="0" xfId="0" applyFont="1"/>
    <xf numFmtId="0" fontId="14" fillId="0" borderId="0" xfId="0" applyFont="1" applyAlignment="1">
      <alignment vertical="center" wrapText="1"/>
    </xf>
    <xf numFmtId="10" fontId="14" fillId="0" borderId="0" xfId="2" applyNumberFormat="1" applyFont="1"/>
    <xf numFmtId="0" fontId="16" fillId="0" borderId="0" xfId="0" applyFont="1"/>
    <xf numFmtId="3" fontId="14" fillId="0" borderId="0" xfId="0" applyNumberFormat="1" applyFont="1" applyAlignment="1">
      <alignment horizontal="center"/>
    </xf>
    <xf numFmtId="3" fontId="14" fillId="0" borderId="10" xfId="0" applyNumberFormat="1" applyFont="1" applyBorder="1" applyAlignment="1">
      <alignment horizontal="center"/>
    </xf>
    <xf numFmtId="3" fontId="15" fillId="0" borderId="10" xfId="0" applyNumberFormat="1" applyFont="1" applyBorder="1"/>
    <xf numFmtId="0" fontId="14" fillId="0" borderId="0" xfId="0" applyFont="1" applyFill="1"/>
    <xf numFmtId="14" fontId="21" fillId="0" borderId="0" xfId="0" applyNumberFormat="1" applyFont="1" applyFill="1"/>
    <xf numFmtId="9" fontId="21" fillId="0" borderId="0" xfId="2" applyFont="1" applyFill="1"/>
    <xf numFmtId="0" fontId="14" fillId="0" borderId="0" xfId="0" applyFont="1" applyAlignment="1">
      <alignment horizontal="right" vertical="center" wrapText="1"/>
    </xf>
    <xf numFmtId="0" fontId="14" fillId="0" borderId="0" xfId="0" applyFont="1" applyAlignment="1">
      <alignment horizontal="right"/>
    </xf>
    <xf numFmtId="3" fontId="14" fillId="0" borderId="0" xfId="0" applyNumberFormat="1" applyFont="1" applyAlignment="1">
      <alignment horizontal="right" vertical="center" wrapText="1"/>
    </xf>
    <xf numFmtId="0" fontId="14" fillId="4" borderId="0" xfId="0" applyFont="1" applyFill="1"/>
    <xf numFmtId="14" fontId="14" fillId="4" borderId="0" xfId="0" applyNumberFormat="1" applyFont="1" applyFill="1"/>
    <xf numFmtId="0" fontId="16" fillId="0" borderId="0" xfId="0" applyFont="1" applyFill="1"/>
    <xf numFmtId="14" fontId="14" fillId="0" borderId="0" xfId="0" applyNumberFormat="1" applyFont="1" applyFill="1"/>
    <xf numFmtId="14" fontId="22" fillId="5" borderId="0" xfId="0" applyNumberFormat="1" applyFont="1" applyFill="1"/>
    <xf numFmtId="9" fontId="22" fillId="5" borderId="0" xfId="2" applyFont="1" applyFill="1"/>
    <xf numFmtId="0" fontId="22" fillId="5" borderId="0" xfId="0" applyFont="1" applyFill="1"/>
    <xf numFmtId="0" fontId="15" fillId="6" borderId="14" xfId="0" applyFont="1" applyFill="1" applyBorder="1" applyAlignment="1">
      <alignment horizontal="center" vertical="center" wrapText="1"/>
    </xf>
    <xf numFmtId="0" fontId="15" fillId="6" borderId="19" xfId="0" applyFont="1" applyFill="1" applyBorder="1" applyAlignment="1">
      <alignment horizontal="center" vertical="center" wrapText="1"/>
    </xf>
    <xf numFmtId="3" fontId="23" fillId="0" borderId="27" xfId="0" applyNumberFormat="1" applyFont="1" applyBorder="1" applyAlignment="1">
      <alignment horizontal="center" vertical="center" wrapText="1"/>
    </xf>
    <xf numFmtId="3" fontId="23" fillId="0" borderId="22" xfId="0" applyNumberFormat="1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" vertical="center" wrapText="1"/>
    </xf>
    <xf numFmtId="3" fontId="23" fillId="0" borderId="28" xfId="0" applyNumberFormat="1" applyFont="1" applyBorder="1" applyAlignment="1">
      <alignment horizontal="center" vertical="center" wrapText="1"/>
    </xf>
    <xf numFmtId="164" fontId="14" fillId="0" borderId="0" xfId="1" applyFont="1"/>
    <xf numFmtId="165" fontId="14" fillId="0" borderId="0" xfId="1" applyNumberFormat="1" applyFont="1"/>
    <xf numFmtId="10" fontId="14" fillId="0" borderId="0" xfId="1" applyNumberFormat="1" applyFont="1"/>
    <xf numFmtId="166" fontId="14" fillId="0" borderId="0" xfId="1" applyNumberFormat="1" applyFont="1"/>
    <xf numFmtId="164" fontId="15" fillId="0" borderId="0" xfId="1" applyFont="1"/>
    <xf numFmtId="0" fontId="15" fillId="0" borderId="10" xfId="0" applyFont="1" applyBorder="1"/>
    <xf numFmtId="3" fontId="16" fillId="0" borderId="0" xfId="0" applyNumberFormat="1" applyFont="1" applyAlignment="1">
      <alignment horizontal="center"/>
    </xf>
    <xf numFmtId="2" fontId="14" fillId="0" borderId="0" xfId="0" applyNumberFormat="1" applyFont="1" applyFill="1"/>
    <xf numFmtId="164" fontId="3" fillId="0" borderId="0" xfId="0" applyNumberFormat="1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9" fontId="14" fillId="0" borderId="0" xfId="0" applyNumberFormat="1" applyFont="1" applyFill="1"/>
    <xf numFmtId="3" fontId="14" fillId="4" borderId="0" xfId="0" applyNumberFormat="1" applyFont="1" applyFill="1" applyAlignment="1">
      <alignment horizontal="center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2" fontId="14" fillId="0" borderId="0" xfId="0" applyNumberFormat="1" applyFont="1" applyAlignment="1">
      <alignment horizontal="center" vertical="center" wrapText="1"/>
    </xf>
    <xf numFmtId="9" fontId="14" fillId="0" borderId="0" xfId="0" applyNumberFormat="1" applyFont="1" applyAlignment="1">
      <alignment horizontal="center" vertical="center" wrapText="1"/>
    </xf>
    <xf numFmtId="9" fontId="14" fillId="0" borderId="0" xfId="0" applyNumberFormat="1" applyFont="1"/>
    <xf numFmtId="2" fontId="14" fillId="4" borderId="0" xfId="0" applyNumberFormat="1" applyFont="1" applyFill="1"/>
    <xf numFmtId="0" fontId="16" fillId="0" borderId="0" xfId="0" applyFont="1" applyAlignment="1">
      <alignment horizontal="left"/>
    </xf>
    <xf numFmtId="4" fontId="14" fillId="0" borderId="0" xfId="0" applyNumberFormat="1" applyFont="1"/>
    <xf numFmtId="10" fontId="14" fillId="8" borderId="0" xfId="0" applyNumberFormat="1" applyFont="1" applyFill="1"/>
    <xf numFmtId="0" fontId="15" fillId="0" borderId="0" xfId="0" applyFont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4" fontId="15" fillId="0" borderId="10" xfId="0" applyNumberFormat="1" applyFont="1" applyBorder="1"/>
    <xf numFmtId="4" fontId="15" fillId="0" borderId="0" xfId="0" applyNumberFormat="1" applyFont="1" applyAlignment="1">
      <alignment horizontal="center" vertical="center" wrapText="1"/>
    </xf>
    <xf numFmtId="0" fontId="14" fillId="0" borderId="10" xfId="0" applyFont="1" applyBorder="1"/>
    <xf numFmtId="0" fontId="15" fillId="0" borderId="7" xfId="0" applyFont="1" applyBorder="1"/>
    <xf numFmtId="4" fontId="15" fillId="0" borderId="7" xfId="0" applyNumberFormat="1" applyFont="1" applyBorder="1"/>
    <xf numFmtId="4" fontId="14" fillId="8" borderId="0" xfId="0" applyNumberFormat="1" applyFont="1" applyFill="1"/>
    <xf numFmtId="0" fontId="14" fillId="8" borderId="0" xfId="0" applyFont="1" applyFill="1"/>
    <xf numFmtId="10" fontId="14" fillId="0" borderId="0" xfId="0" applyNumberFormat="1" applyFont="1" applyFill="1"/>
    <xf numFmtId="167" fontId="14" fillId="0" borderId="0" xfId="0" applyNumberFormat="1" applyFont="1" applyFill="1"/>
    <xf numFmtId="0" fontId="15" fillId="0" borderId="0" xfId="0" applyFont="1" applyFill="1"/>
    <xf numFmtId="10" fontId="16" fillId="0" borderId="0" xfId="0" applyNumberFormat="1" applyFont="1" applyFill="1"/>
    <xf numFmtId="169" fontId="14" fillId="0" borderId="0" xfId="0" applyNumberFormat="1" applyFont="1"/>
    <xf numFmtId="170" fontId="14" fillId="0" borderId="0" xfId="2" applyNumberFormat="1" applyFont="1"/>
    <xf numFmtId="171" fontId="14" fillId="0" borderId="10" xfId="0" applyNumberFormat="1" applyFont="1" applyBorder="1"/>
    <xf numFmtId="171" fontId="14" fillId="0" borderId="0" xfId="0" applyNumberFormat="1" applyFont="1" applyBorder="1"/>
    <xf numFmtId="0" fontId="25" fillId="0" borderId="0" xfId="0" applyFont="1"/>
    <xf numFmtId="171" fontId="15" fillId="0" borderId="10" xfId="0" applyNumberFormat="1" applyFont="1" applyBorder="1"/>
    <xf numFmtId="170" fontId="16" fillId="0" borderId="10" xfId="2" applyNumberFormat="1" applyFont="1" applyBorder="1"/>
    <xf numFmtId="0" fontId="15" fillId="0" borderId="0" xfId="0" applyFont="1" applyBorder="1"/>
    <xf numFmtId="171" fontId="15" fillId="0" borderId="0" xfId="0" applyNumberFormat="1" applyFont="1" applyBorder="1"/>
    <xf numFmtId="170" fontId="16" fillId="0" borderId="0" xfId="2" applyNumberFormat="1" applyFont="1" applyBorder="1"/>
    <xf numFmtId="9" fontId="15" fillId="0" borderId="0" xfId="2" applyFont="1" applyBorder="1"/>
    <xf numFmtId="9" fontId="14" fillId="8" borderId="0" xfId="0" applyNumberFormat="1" applyFont="1" applyFill="1"/>
    <xf numFmtId="0" fontId="25" fillId="0" borderId="0" xfId="0" applyFont="1" applyBorder="1"/>
    <xf numFmtId="0" fontId="14" fillId="10" borderId="0" xfId="0" applyFont="1" applyFill="1"/>
    <xf numFmtId="0" fontId="14" fillId="11" borderId="0" xfId="0" applyFont="1" applyFill="1" applyAlignment="1">
      <alignment horizontal="center"/>
    </xf>
    <xf numFmtId="3" fontId="14" fillId="11" borderId="0" xfId="0" applyNumberFormat="1" applyFont="1" applyFill="1" applyAlignment="1">
      <alignment horizontal="center"/>
    </xf>
    <xf numFmtId="3" fontId="15" fillId="11" borderId="7" xfId="0" applyNumberFormat="1" applyFont="1" applyFill="1" applyBorder="1" applyAlignment="1">
      <alignment horizontal="center"/>
    </xf>
    <xf numFmtId="3" fontId="15" fillId="11" borderId="10" xfId="0" applyNumberFormat="1" applyFont="1" applyFill="1" applyBorder="1" applyAlignment="1">
      <alignment horizontal="center"/>
    </xf>
    <xf numFmtId="3" fontId="14" fillId="12" borderId="0" xfId="0" applyNumberFormat="1" applyFont="1" applyFill="1" applyAlignment="1">
      <alignment horizontal="center"/>
    </xf>
    <xf numFmtId="3" fontId="15" fillId="12" borderId="7" xfId="0" applyNumberFormat="1" applyFont="1" applyFill="1" applyBorder="1" applyAlignment="1">
      <alignment horizontal="center"/>
    </xf>
    <xf numFmtId="3" fontId="15" fillId="12" borderId="10" xfId="0" applyNumberFormat="1" applyFont="1" applyFill="1" applyBorder="1" applyAlignment="1">
      <alignment horizontal="center"/>
    </xf>
    <xf numFmtId="3" fontId="15" fillId="4" borderId="7" xfId="0" applyNumberFormat="1" applyFont="1" applyFill="1" applyBorder="1" applyAlignment="1">
      <alignment horizontal="center"/>
    </xf>
    <xf numFmtId="3" fontId="15" fillId="4" borderId="10" xfId="0" applyNumberFormat="1" applyFont="1" applyFill="1" applyBorder="1" applyAlignment="1">
      <alignment horizontal="center"/>
    </xf>
    <xf numFmtId="170" fontId="15" fillId="0" borderId="0" xfId="2" applyNumberFormat="1" applyFont="1" applyBorder="1"/>
    <xf numFmtId="170" fontId="15" fillId="0" borderId="0" xfId="0" applyNumberFormat="1" applyFont="1" applyBorder="1"/>
    <xf numFmtId="9" fontId="22" fillId="5" borderId="0" xfId="2" applyFont="1" applyFill="1" applyBorder="1"/>
    <xf numFmtId="170" fontId="27" fillId="5" borderId="0" xfId="2" applyNumberFormat="1" applyFont="1" applyFill="1" applyBorder="1"/>
    <xf numFmtId="171" fontId="22" fillId="5" borderId="0" xfId="0" applyNumberFormat="1" applyFont="1" applyFill="1" applyBorder="1"/>
    <xf numFmtId="2" fontId="14" fillId="8" borderId="0" xfId="0" applyNumberFormat="1" applyFont="1" applyFill="1" applyAlignment="1">
      <alignment horizontal="center"/>
    </xf>
    <xf numFmtId="4" fontId="14" fillId="8" borderId="0" xfId="0" applyNumberFormat="1" applyFont="1" applyFill="1" applyAlignment="1">
      <alignment horizontal="center"/>
    </xf>
    <xf numFmtId="0" fontId="14" fillId="8" borderId="0" xfId="0" applyFont="1" applyFill="1" applyAlignment="1">
      <alignment horizontal="center"/>
    </xf>
    <xf numFmtId="3" fontId="14" fillId="16" borderId="30" xfId="0" applyNumberFormat="1" applyFont="1" applyFill="1" applyBorder="1" applyAlignment="1">
      <alignment horizontal="center"/>
    </xf>
    <xf numFmtId="3" fontId="14" fillId="16" borderId="0" xfId="0" applyNumberFormat="1" applyFont="1" applyFill="1" applyBorder="1" applyAlignment="1">
      <alignment horizontal="center"/>
    </xf>
    <xf numFmtId="3" fontId="14" fillId="16" borderId="31" xfId="0" applyNumberFormat="1" applyFont="1" applyFill="1" applyBorder="1" applyAlignment="1">
      <alignment horizontal="center"/>
    </xf>
    <xf numFmtId="0" fontId="14" fillId="16" borderId="0" xfId="0" applyFont="1" applyFill="1" applyBorder="1" applyAlignment="1">
      <alignment horizontal="center"/>
    </xf>
    <xf numFmtId="0" fontId="14" fillId="15" borderId="30" xfId="0" applyFont="1" applyFill="1" applyBorder="1" applyAlignment="1">
      <alignment horizontal="center"/>
    </xf>
    <xf numFmtId="0" fontId="14" fillId="15" borderId="0" xfId="0" applyFont="1" applyFill="1" applyBorder="1" applyAlignment="1">
      <alignment horizontal="center"/>
    </xf>
    <xf numFmtId="0" fontId="14" fillId="15" borderId="31" xfId="0" applyFont="1" applyFill="1" applyBorder="1" applyAlignment="1">
      <alignment horizontal="center"/>
    </xf>
    <xf numFmtId="3" fontId="15" fillId="16" borderId="34" xfId="0" applyNumberFormat="1" applyFont="1" applyFill="1" applyBorder="1" applyAlignment="1">
      <alignment horizontal="center"/>
    </xf>
    <xf numFmtId="3" fontId="15" fillId="16" borderId="33" xfId="0" applyNumberFormat="1" applyFont="1" applyFill="1" applyBorder="1" applyAlignment="1">
      <alignment horizontal="center"/>
    </xf>
    <xf numFmtId="0" fontId="22" fillId="13" borderId="36" xfId="0" applyFont="1" applyFill="1" applyBorder="1"/>
    <xf numFmtId="0" fontId="22" fillId="13" borderId="39" xfId="0" applyFont="1" applyFill="1" applyBorder="1"/>
    <xf numFmtId="14" fontId="27" fillId="13" borderId="0" xfId="0" applyNumberFormat="1" applyFont="1" applyFill="1" applyBorder="1"/>
    <xf numFmtId="0" fontId="27" fillId="15" borderId="39" xfId="0" applyFont="1" applyFill="1" applyBorder="1"/>
    <xf numFmtId="0" fontId="26" fillId="15" borderId="0" xfId="0" applyFont="1" applyFill="1" applyBorder="1"/>
    <xf numFmtId="0" fontId="26" fillId="15" borderId="40" xfId="0" applyFont="1" applyFill="1" applyBorder="1"/>
    <xf numFmtId="0" fontId="22" fillId="14" borderId="41" xfId="0" applyFont="1" applyFill="1" applyBorder="1"/>
    <xf numFmtId="0" fontId="14" fillId="16" borderId="40" xfId="0" applyFont="1" applyFill="1" applyBorder="1" applyAlignment="1">
      <alignment horizontal="center"/>
    </xf>
    <xf numFmtId="0" fontId="14" fillId="15" borderId="40" xfId="0" applyFont="1" applyFill="1" applyBorder="1" applyAlignment="1">
      <alignment horizontal="center"/>
    </xf>
    <xf numFmtId="1" fontId="14" fillId="16" borderId="0" xfId="0" applyNumberFormat="1" applyFont="1" applyFill="1" applyBorder="1" applyAlignment="1">
      <alignment horizontal="center"/>
    </xf>
    <xf numFmtId="0" fontId="22" fillId="14" borderId="43" xfId="0" applyFont="1" applyFill="1" applyBorder="1"/>
    <xf numFmtId="3" fontId="15" fillId="16" borderId="45" xfId="0" applyNumberFormat="1" applyFont="1" applyFill="1" applyBorder="1" applyAlignment="1">
      <alignment horizontal="center"/>
    </xf>
    <xf numFmtId="3" fontId="15" fillId="16" borderId="44" xfId="0" applyNumberFormat="1" applyFont="1" applyFill="1" applyBorder="1" applyAlignment="1">
      <alignment horizontal="center"/>
    </xf>
    <xf numFmtId="3" fontId="15" fillId="16" borderId="35" xfId="0" applyNumberFormat="1" applyFont="1" applyFill="1" applyBorder="1" applyAlignment="1">
      <alignment horizontal="center"/>
    </xf>
    <xf numFmtId="1" fontId="15" fillId="16" borderId="33" xfId="0" applyNumberFormat="1" applyFont="1" applyFill="1" applyBorder="1" applyAlignment="1">
      <alignment horizontal="center"/>
    </xf>
    <xf numFmtId="3" fontId="15" fillId="16" borderId="46" xfId="0" applyNumberFormat="1" applyFont="1" applyFill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3" fillId="10" borderId="0" xfId="0" applyFont="1" applyFill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3" fontId="15" fillId="0" borderId="10" xfId="0" applyNumberFormat="1" applyFont="1" applyBorder="1" applyAlignment="1">
      <alignment horizontal="center"/>
    </xf>
    <xf numFmtId="0" fontId="14" fillId="9" borderId="0" xfId="0" applyFont="1" applyFill="1"/>
    <xf numFmtId="0" fontId="16" fillId="16" borderId="0" xfId="0" applyFont="1" applyFill="1" applyAlignment="1">
      <alignment horizontal="right"/>
    </xf>
    <xf numFmtId="0" fontId="14" fillId="16" borderId="0" xfId="0" applyFont="1" applyFill="1"/>
    <xf numFmtId="0" fontId="18" fillId="16" borderId="0" xfId="0" applyFont="1" applyFill="1"/>
    <xf numFmtId="14" fontId="21" fillId="16" borderId="0" xfId="0" applyNumberFormat="1" applyFont="1" applyFill="1"/>
    <xf numFmtId="14" fontId="14" fillId="16" borderId="0" xfId="0" applyNumberFormat="1" applyFont="1" applyFill="1"/>
    <xf numFmtId="0" fontId="29" fillId="13" borderId="36" xfId="0" applyFont="1" applyFill="1" applyBorder="1"/>
    <xf numFmtId="14" fontId="22" fillId="13" borderId="38" xfId="0" applyNumberFormat="1" applyFont="1" applyFill="1" applyBorder="1" applyAlignment="1">
      <alignment horizontal="center" vertical="center" wrapText="1"/>
    </xf>
    <xf numFmtId="0" fontId="22" fillId="14" borderId="39" xfId="0" applyFont="1" applyFill="1" applyBorder="1"/>
    <xf numFmtId="0" fontId="22" fillId="15" borderId="0" xfId="0" applyFont="1" applyFill="1" applyBorder="1" applyAlignment="1">
      <alignment horizontal="center"/>
    </xf>
    <xf numFmtId="9" fontId="14" fillId="16" borderId="40" xfId="2" applyFont="1" applyFill="1" applyBorder="1" applyAlignment="1">
      <alignment horizontal="center"/>
    </xf>
    <xf numFmtId="0" fontId="22" fillId="14" borderId="48" xfId="0" applyFont="1" applyFill="1" applyBorder="1"/>
    <xf numFmtId="0" fontId="22" fillId="15" borderId="49" xfId="0" applyFont="1" applyFill="1" applyBorder="1" applyAlignment="1">
      <alignment horizontal="center"/>
    </xf>
    <xf numFmtId="9" fontId="14" fillId="16" borderId="50" xfId="2" applyFont="1" applyFill="1" applyBorder="1" applyAlignment="1">
      <alignment horizontal="center"/>
    </xf>
    <xf numFmtId="14" fontId="14" fillId="16" borderId="31" xfId="0" applyNumberFormat="1" applyFont="1" applyFill="1" applyBorder="1" applyAlignment="1">
      <alignment horizontal="center"/>
    </xf>
    <xf numFmtId="14" fontId="14" fillId="16" borderId="51" xfId="0" applyNumberFormat="1" applyFont="1" applyFill="1" applyBorder="1" applyAlignment="1">
      <alignment horizontal="center"/>
    </xf>
    <xf numFmtId="14" fontId="14" fillId="16" borderId="32" xfId="0" applyNumberFormat="1" applyFont="1" applyFill="1" applyBorder="1" applyAlignment="1">
      <alignment horizontal="center"/>
    </xf>
    <xf numFmtId="14" fontId="14" fillId="16" borderId="52" xfId="0" applyNumberFormat="1" applyFont="1" applyFill="1" applyBorder="1" applyAlignment="1">
      <alignment horizontal="center"/>
    </xf>
    <xf numFmtId="0" fontId="22" fillId="13" borderId="36" xfId="0" applyFont="1" applyFill="1" applyBorder="1" applyAlignment="1">
      <alignment vertical="center"/>
    </xf>
    <xf numFmtId="171" fontId="26" fillId="15" borderId="0" xfId="0" applyNumberFormat="1" applyFont="1" applyFill="1" applyBorder="1" applyAlignment="1">
      <alignment horizontal="center"/>
    </xf>
    <xf numFmtId="2" fontId="14" fillId="16" borderId="40" xfId="0" applyNumberFormat="1" applyFont="1" applyFill="1" applyBorder="1" applyAlignment="1">
      <alignment horizontal="center"/>
    </xf>
    <xf numFmtId="171" fontId="22" fillId="15" borderId="44" xfId="0" applyNumberFormat="1" applyFont="1" applyFill="1" applyBorder="1" applyAlignment="1">
      <alignment horizontal="center"/>
    </xf>
    <xf numFmtId="171" fontId="15" fillId="16" borderId="47" xfId="0" applyNumberFormat="1" applyFont="1" applyFill="1" applyBorder="1" applyAlignment="1">
      <alignment horizontal="center"/>
    </xf>
    <xf numFmtId="171" fontId="15" fillId="16" borderId="44" xfId="0" applyNumberFormat="1" applyFont="1" applyFill="1" applyBorder="1" applyAlignment="1">
      <alignment horizontal="center"/>
    </xf>
    <xf numFmtId="0" fontId="14" fillId="16" borderId="0" xfId="0" applyFont="1" applyFill="1" applyAlignment="1">
      <alignment horizontal="center"/>
    </xf>
    <xf numFmtId="0" fontId="30" fillId="0" borderId="0" xfId="0" applyFont="1"/>
    <xf numFmtId="0" fontId="14" fillId="0" borderId="0" xfId="0" applyFont="1" applyAlignment="1">
      <alignment horizontal="center" vertical="center"/>
    </xf>
    <xf numFmtId="3" fontId="14" fillId="16" borderId="30" xfId="0" applyNumberFormat="1" applyFont="1" applyFill="1" applyBorder="1" applyAlignment="1">
      <alignment horizontal="center" vertical="center"/>
    </xf>
    <xf numFmtId="3" fontId="14" fillId="5" borderId="0" xfId="0" applyNumberFormat="1" applyFont="1" applyFill="1" applyBorder="1" applyAlignment="1">
      <alignment horizontal="center" vertical="center"/>
    </xf>
    <xf numFmtId="3" fontId="14" fillId="5" borderId="31" xfId="0" applyNumberFormat="1" applyFont="1" applyFill="1" applyBorder="1" applyAlignment="1">
      <alignment horizontal="center" vertical="center"/>
    </xf>
    <xf numFmtId="3" fontId="18" fillId="17" borderId="30" xfId="0" applyNumberFormat="1" applyFont="1" applyFill="1" applyBorder="1" applyAlignment="1">
      <alignment horizontal="center" vertical="center"/>
    </xf>
    <xf numFmtId="3" fontId="18" fillId="17" borderId="0" xfId="0" applyNumberFormat="1" applyFont="1" applyFill="1" applyBorder="1" applyAlignment="1">
      <alignment horizontal="center" vertical="center"/>
    </xf>
    <xf numFmtId="3" fontId="18" fillId="17" borderId="31" xfId="0" applyNumberFormat="1" applyFont="1" applyFill="1" applyBorder="1" applyAlignment="1">
      <alignment horizontal="center" vertical="center"/>
    </xf>
    <xf numFmtId="0" fontId="22" fillId="13" borderId="37" xfId="0" applyFont="1" applyFill="1" applyBorder="1"/>
    <xf numFmtId="0" fontId="22" fillId="14" borderId="0" xfId="0" applyFont="1" applyFill="1" applyBorder="1"/>
    <xf numFmtId="3" fontId="14" fillId="16" borderId="0" xfId="0" applyNumberFormat="1" applyFont="1" applyFill="1" applyBorder="1" applyAlignment="1">
      <alignment horizontal="center" vertical="center"/>
    </xf>
    <xf numFmtId="3" fontId="14" fillId="5" borderId="40" xfId="0" applyNumberFormat="1" applyFont="1" applyFill="1" applyBorder="1" applyAlignment="1">
      <alignment horizontal="center" vertical="center"/>
    </xf>
    <xf numFmtId="0" fontId="27" fillId="14" borderId="0" xfId="0" applyFont="1" applyFill="1" applyBorder="1"/>
    <xf numFmtId="0" fontId="14" fillId="5" borderId="0" xfId="0" applyFont="1" applyFill="1" applyBorder="1"/>
    <xf numFmtId="3" fontId="18" fillId="17" borderId="40" xfId="0" applyNumberFormat="1" applyFont="1" applyFill="1" applyBorder="1" applyAlignment="1">
      <alignment horizontal="center" vertical="center"/>
    </xf>
    <xf numFmtId="0" fontId="22" fillId="14" borderId="49" xfId="0" applyFont="1" applyFill="1" applyBorder="1"/>
    <xf numFmtId="3" fontId="14" fillId="16" borderId="49" xfId="0" applyNumberFormat="1" applyFont="1" applyFill="1" applyBorder="1" applyAlignment="1">
      <alignment horizontal="center" vertical="center"/>
    </xf>
    <xf numFmtId="3" fontId="14" fillId="16" borderId="56" xfId="0" applyNumberFormat="1" applyFont="1" applyFill="1" applyBorder="1" applyAlignment="1">
      <alignment horizontal="center" vertical="center"/>
    </xf>
    <xf numFmtId="3" fontId="14" fillId="16" borderId="51" xfId="0" applyNumberFormat="1" applyFont="1" applyFill="1" applyBorder="1" applyAlignment="1">
      <alignment horizontal="center" vertical="center"/>
    </xf>
    <xf numFmtId="3" fontId="14" fillId="16" borderId="50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left"/>
    </xf>
    <xf numFmtId="0" fontId="27" fillId="13" borderId="39" xfId="0" applyFont="1" applyFill="1" applyBorder="1"/>
    <xf numFmtId="0" fontId="27" fillId="13" borderId="0" xfId="0" applyFont="1" applyFill="1" applyBorder="1"/>
    <xf numFmtId="0" fontId="27" fillId="13" borderId="0" xfId="0" applyFont="1" applyFill="1" applyBorder="1" applyAlignment="1">
      <alignment horizontal="center" vertical="center"/>
    </xf>
    <xf numFmtId="0" fontId="27" fillId="13" borderId="30" xfId="0" applyFont="1" applyFill="1" applyBorder="1" applyAlignment="1">
      <alignment horizontal="center" vertical="center"/>
    </xf>
    <xf numFmtId="0" fontId="27" fillId="13" borderId="31" xfId="0" applyFont="1" applyFill="1" applyBorder="1" applyAlignment="1">
      <alignment horizontal="center" vertical="center"/>
    </xf>
    <xf numFmtId="0" fontId="27" fillId="13" borderId="40" xfId="0" applyFont="1" applyFill="1" applyBorder="1" applyAlignment="1">
      <alignment horizontal="center" vertical="center"/>
    </xf>
    <xf numFmtId="0" fontId="22" fillId="13" borderId="0" xfId="0" applyFont="1" applyFill="1" applyBorder="1" applyAlignment="1">
      <alignment vertical="center"/>
    </xf>
    <xf numFmtId="3" fontId="23" fillId="16" borderId="0" xfId="0" applyNumberFormat="1" applyFont="1" applyFill="1" applyBorder="1" applyAlignment="1">
      <alignment horizontal="center" vertical="center"/>
    </xf>
    <xf numFmtId="0" fontId="22" fillId="15" borderId="0" xfId="0" applyFont="1" applyFill="1" applyBorder="1" applyAlignment="1">
      <alignment horizontal="center" vertical="center" wrapText="1"/>
    </xf>
    <xf numFmtId="0" fontId="22" fillId="13" borderId="37" xfId="0" applyFont="1" applyFill="1" applyBorder="1" applyAlignment="1">
      <alignment vertical="center"/>
    </xf>
    <xf numFmtId="0" fontId="22" fillId="13" borderId="38" xfId="0" applyFont="1" applyFill="1" applyBorder="1" applyAlignment="1">
      <alignment vertical="center"/>
    </xf>
    <xf numFmtId="3" fontId="22" fillId="14" borderId="39" xfId="0" applyNumberFormat="1" applyFont="1" applyFill="1" applyBorder="1" applyAlignment="1">
      <alignment vertical="center"/>
    </xf>
    <xf numFmtId="0" fontId="22" fillId="13" borderId="39" xfId="0" applyFont="1" applyFill="1" applyBorder="1" applyAlignment="1">
      <alignment vertical="center"/>
    </xf>
    <xf numFmtId="0" fontId="22" fillId="13" borderId="40" xfId="0" applyFont="1" applyFill="1" applyBorder="1" applyAlignment="1">
      <alignment vertical="center"/>
    </xf>
    <xf numFmtId="3" fontId="22" fillId="14" borderId="57" xfId="0" applyNumberFormat="1" applyFont="1" applyFill="1" applyBorder="1" applyAlignment="1">
      <alignment vertical="center"/>
    </xf>
    <xf numFmtId="3" fontId="24" fillId="16" borderId="53" xfId="0" applyNumberFormat="1" applyFont="1" applyFill="1" applyBorder="1" applyAlignment="1">
      <alignment horizontal="center" vertical="center"/>
    </xf>
    <xf numFmtId="3" fontId="24" fillId="16" borderId="59" xfId="0" applyNumberFormat="1" applyFont="1" applyFill="1" applyBorder="1" applyAlignment="1">
      <alignment horizontal="center" vertical="center"/>
    </xf>
    <xf numFmtId="3" fontId="24" fillId="16" borderId="60" xfId="0" applyNumberFormat="1" applyFont="1" applyFill="1" applyBorder="1" applyAlignment="1">
      <alignment horizontal="center" vertical="center"/>
    </xf>
    <xf numFmtId="3" fontId="22" fillId="14" borderId="43" xfId="0" applyNumberFormat="1" applyFont="1" applyFill="1" applyBorder="1" applyAlignment="1">
      <alignment vertical="center"/>
    </xf>
    <xf numFmtId="3" fontId="24" fillId="16" borderId="44" xfId="0" applyNumberFormat="1" applyFont="1" applyFill="1" applyBorder="1" applyAlignment="1">
      <alignment horizontal="center" vertical="center"/>
    </xf>
    <xf numFmtId="3" fontId="24" fillId="16" borderId="61" xfId="0" applyNumberFormat="1" applyFont="1" applyFill="1" applyBorder="1" applyAlignment="1">
      <alignment horizontal="center" vertical="center"/>
    </xf>
    <xf numFmtId="4" fontId="14" fillId="0" borderId="0" xfId="0" applyNumberFormat="1" applyFont="1" applyFill="1"/>
    <xf numFmtId="0" fontId="14" fillId="0" borderId="0" xfId="0" quotePrefix="1" applyFont="1"/>
    <xf numFmtId="0" fontId="20" fillId="9" borderId="0" xfId="0" applyFont="1" applyFill="1" applyAlignment="1">
      <alignment horizontal="center" vertical="center"/>
    </xf>
    <xf numFmtId="0" fontId="20" fillId="9" borderId="0" xfId="0" applyFont="1" applyFill="1"/>
    <xf numFmtId="10" fontId="20" fillId="9" borderId="0" xfId="2" applyNumberFormat="1" applyFont="1" applyFill="1" applyAlignment="1">
      <alignment horizontal="center" vertical="center"/>
    </xf>
    <xf numFmtId="0" fontId="26" fillId="14" borderId="39" xfId="0" applyFont="1" applyFill="1" applyBorder="1" applyAlignment="1">
      <alignment horizontal="right"/>
    </xf>
    <xf numFmtId="0" fontId="14" fillId="16" borderId="0" xfId="0" applyFont="1" applyFill="1" applyBorder="1" applyAlignment="1">
      <alignment horizontal="center" vertical="center"/>
    </xf>
    <xf numFmtId="2" fontId="14" fillId="16" borderId="0" xfId="0" applyNumberFormat="1" applyFont="1" applyFill="1" applyBorder="1" applyAlignment="1">
      <alignment horizontal="center" vertical="center"/>
    </xf>
    <xf numFmtId="0" fontId="14" fillId="16" borderId="40" xfId="0" applyFont="1" applyFill="1" applyBorder="1" applyAlignment="1">
      <alignment horizontal="center" vertical="center"/>
    </xf>
    <xf numFmtId="0" fontId="14" fillId="16" borderId="0" xfId="0" quotePrefix="1" applyFont="1" applyFill="1" applyBorder="1" applyAlignment="1">
      <alignment horizontal="center" vertical="center"/>
    </xf>
    <xf numFmtId="0" fontId="14" fillId="16" borderId="40" xfId="0" quotePrefix="1" applyFont="1" applyFill="1" applyBorder="1" applyAlignment="1">
      <alignment horizontal="center" vertical="center"/>
    </xf>
    <xf numFmtId="0" fontId="26" fillId="14" borderId="48" xfId="0" applyFont="1" applyFill="1" applyBorder="1" applyAlignment="1">
      <alignment horizontal="right"/>
    </xf>
    <xf numFmtId="0" fontId="22" fillId="15" borderId="49" xfId="0" applyFont="1" applyFill="1" applyBorder="1" applyAlignment="1">
      <alignment horizontal="center" vertical="center"/>
    </xf>
    <xf numFmtId="3" fontId="20" fillId="9" borderId="0" xfId="0" applyNumberFormat="1" applyFont="1" applyFill="1" applyAlignment="1">
      <alignment horizontal="center" vertical="center"/>
    </xf>
    <xf numFmtId="3" fontId="20" fillId="9" borderId="0" xfId="0" applyNumberFormat="1" applyFont="1" applyFill="1" applyAlignment="1">
      <alignment horizontal="center"/>
    </xf>
    <xf numFmtId="2" fontId="20" fillId="9" borderId="0" xfId="0" applyNumberFormat="1" applyFont="1" applyFill="1"/>
    <xf numFmtId="3" fontId="20" fillId="9" borderId="0" xfId="0" applyNumberFormat="1" applyFont="1" applyFill="1"/>
    <xf numFmtId="2" fontId="15" fillId="17" borderId="0" xfId="0" applyNumberFormat="1" applyFont="1" applyFill="1" applyAlignment="1">
      <alignment horizontal="right"/>
    </xf>
    <xf numFmtId="2" fontId="15" fillId="17" borderId="0" xfId="0" applyNumberFormat="1" applyFont="1" applyFill="1"/>
    <xf numFmtId="0" fontId="22" fillId="13" borderId="36" xfId="0" applyFont="1" applyFill="1" applyBorder="1" applyAlignment="1">
      <alignment horizontal="center" vertical="center" wrapText="1"/>
    </xf>
    <xf numFmtId="0" fontId="22" fillId="15" borderId="39" xfId="0" applyFont="1" applyFill="1" applyBorder="1" applyAlignment="1">
      <alignment vertical="center" wrapText="1"/>
    </xf>
    <xf numFmtId="0" fontId="14" fillId="15" borderId="0" xfId="0" applyFont="1" applyFill="1" applyBorder="1"/>
    <xf numFmtId="0" fontId="14" fillId="15" borderId="40" xfId="0" applyFont="1" applyFill="1" applyBorder="1"/>
    <xf numFmtId="2" fontId="14" fillId="16" borderId="0" xfId="0" applyNumberFormat="1" applyFont="1" applyFill="1" applyBorder="1" applyAlignment="1">
      <alignment horizontal="center"/>
    </xf>
    <xf numFmtId="0" fontId="22" fillId="15" borderId="39" xfId="0" applyFont="1" applyFill="1" applyBorder="1"/>
    <xf numFmtId="3" fontId="22" fillId="15" borderId="0" xfId="0" applyNumberFormat="1" applyFont="1" applyFill="1" applyBorder="1" applyAlignment="1">
      <alignment horizontal="center"/>
    </xf>
    <xf numFmtId="2" fontId="22" fillId="15" borderId="0" xfId="0" applyNumberFormat="1" applyFont="1" applyFill="1" applyBorder="1" applyAlignment="1">
      <alignment horizontal="center"/>
    </xf>
    <xf numFmtId="0" fontId="22" fillId="15" borderId="40" xfId="0" applyFont="1" applyFill="1" applyBorder="1" applyAlignment="1">
      <alignment horizontal="center"/>
    </xf>
    <xf numFmtId="0" fontId="22" fillId="14" borderId="57" xfId="0" applyFont="1" applyFill="1" applyBorder="1"/>
    <xf numFmtId="2" fontId="15" fillId="16" borderId="53" xfId="0" applyNumberFormat="1" applyFont="1" applyFill="1" applyBorder="1" applyAlignment="1">
      <alignment horizontal="center"/>
    </xf>
    <xf numFmtId="3" fontId="15" fillId="16" borderId="53" xfId="0" applyNumberFormat="1" applyFont="1" applyFill="1" applyBorder="1" applyAlignment="1">
      <alignment horizontal="center"/>
    </xf>
    <xf numFmtId="0" fontId="15" fillId="16" borderId="53" xfId="0" applyFont="1" applyFill="1" applyBorder="1" applyAlignment="1">
      <alignment horizontal="center"/>
    </xf>
    <xf numFmtId="2" fontId="15" fillId="16" borderId="58" xfId="0" applyNumberFormat="1" applyFont="1" applyFill="1" applyBorder="1" applyAlignment="1">
      <alignment horizontal="center"/>
    </xf>
    <xf numFmtId="2" fontId="15" fillId="16" borderId="44" xfId="0" applyNumberFormat="1" applyFont="1" applyFill="1" applyBorder="1" applyAlignment="1">
      <alignment horizontal="center"/>
    </xf>
    <xf numFmtId="0" fontId="15" fillId="16" borderId="44" xfId="0" applyFont="1" applyFill="1" applyBorder="1" applyAlignment="1">
      <alignment horizontal="center"/>
    </xf>
    <xf numFmtId="2" fontId="14" fillId="17" borderId="0" xfId="0" applyNumberFormat="1" applyFont="1" applyFill="1" applyBorder="1" applyAlignment="1">
      <alignment horizontal="center"/>
    </xf>
    <xf numFmtId="2" fontId="15" fillId="17" borderId="53" xfId="0" applyNumberFormat="1" applyFont="1" applyFill="1" applyBorder="1" applyAlignment="1">
      <alignment horizontal="center"/>
    </xf>
    <xf numFmtId="2" fontId="15" fillId="17" borderId="44" xfId="0" applyNumberFormat="1" applyFont="1" applyFill="1" applyBorder="1" applyAlignment="1">
      <alignment horizontal="center"/>
    </xf>
    <xf numFmtId="170" fontId="14" fillId="16" borderId="0" xfId="2" applyNumberFormat="1" applyFont="1" applyFill="1" applyBorder="1" applyAlignment="1">
      <alignment horizontal="center"/>
    </xf>
    <xf numFmtId="2" fontId="15" fillId="16" borderId="47" xfId="0" applyNumberFormat="1" applyFont="1" applyFill="1" applyBorder="1" applyAlignment="1">
      <alignment horizontal="center"/>
    </xf>
    <xf numFmtId="2" fontId="15" fillId="17" borderId="49" xfId="0" applyNumberFormat="1" applyFont="1" applyFill="1" applyBorder="1" applyAlignment="1">
      <alignment horizontal="center" vertical="center"/>
    </xf>
    <xf numFmtId="0" fontId="15" fillId="17" borderId="49" xfId="0" applyFont="1" applyFill="1" applyBorder="1" applyAlignment="1">
      <alignment horizontal="center" vertical="center"/>
    </xf>
    <xf numFmtId="0" fontId="15" fillId="17" borderId="50" xfId="0" applyFont="1" applyFill="1" applyBorder="1" applyAlignment="1">
      <alignment horizontal="center" vertical="center"/>
    </xf>
    <xf numFmtId="170" fontId="14" fillId="16" borderId="40" xfId="2" applyNumberFormat="1" applyFont="1" applyFill="1" applyBorder="1" applyAlignment="1">
      <alignment horizontal="center"/>
    </xf>
    <xf numFmtId="170" fontId="14" fillId="16" borderId="50" xfId="2" applyNumberFormat="1" applyFont="1" applyFill="1" applyBorder="1" applyAlignment="1">
      <alignment horizontal="center"/>
    </xf>
    <xf numFmtId="0" fontId="21" fillId="9" borderId="0" xfId="0" applyFont="1" applyFill="1"/>
    <xf numFmtId="3" fontId="21" fillId="9" borderId="0" xfId="0" applyNumberFormat="1" applyFont="1" applyFill="1" applyAlignment="1">
      <alignment horizontal="center"/>
    </xf>
    <xf numFmtId="170" fontId="20" fillId="9" borderId="0" xfId="2" applyNumberFormat="1" applyFont="1" applyFill="1"/>
    <xf numFmtId="0" fontId="22" fillId="13" borderId="38" xfId="0" applyFont="1" applyFill="1" applyBorder="1"/>
    <xf numFmtId="0" fontId="15" fillId="16" borderId="47" xfId="0" applyFont="1" applyFill="1" applyBorder="1" applyAlignment="1">
      <alignment horizontal="center"/>
    </xf>
    <xf numFmtId="169" fontId="14" fillId="16" borderId="0" xfId="0" applyNumberFormat="1" applyFont="1" applyFill="1" applyBorder="1" applyAlignment="1">
      <alignment horizontal="center"/>
    </xf>
    <xf numFmtId="169" fontId="15" fillId="16" borderId="44" xfId="0" applyNumberFormat="1" applyFont="1" applyFill="1" applyBorder="1" applyAlignment="1">
      <alignment horizontal="center"/>
    </xf>
    <xf numFmtId="2" fontId="14" fillId="7" borderId="59" xfId="0" applyNumberFormat="1" applyFont="1" applyFill="1" applyBorder="1" applyAlignment="1">
      <alignment horizontal="center"/>
    </xf>
    <xf numFmtId="2" fontId="15" fillId="7" borderId="60" xfId="0" applyNumberFormat="1" applyFont="1" applyFill="1" applyBorder="1" applyAlignment="1">
      <alignment horizontal="center"/>
    </xf>
    <xf numFmtId="0" fontId="22" fillId="15" borderId="59" xfId="0" applyFont="1" applyFill="1" applyBorder="1" applyAlignment="1">
      <alignment horizontal="center"/>
    </xf>
    <xf numFmtId="2" fontId="15" fillId="7" borderId="61" xfId="0" applyNumberFormat="1" applyFont="1" applyFill="1" applyBorder="1" applyAlignment="1">
      <alignment horizontal="center"/>
    </xf>
    <xf numFmtId="167" fontId="14" fillId="0" borderId="0" xfId="0" applyNumberFormat="1" applyFont="1"/>
    <xf numFmtId="0" fontId="19" fillId="0" borderId="0" xfId="0" applyFont="1" applyFill="1"/>
    <xf numFmtId="4" fontId="14" fillId="4" borderId="0" xfId="0" applyNumberFormat="1" applyFont="1" applyFill="1"/>
    <xf numFmtId="4" fontId="14" fillId="0" borderId="0" xfId="0" applyNumberFormat="1" applyFont="1" applyFill="1" applyAlignment="1">
      <alignment horizontal="center" wrapText="1"/>
    </xf>
    <xf numFmtId="4" fontId="14" fillId="0" borderId="0" xfId="0" applyNumberFormat="1" applyFont="1" applyFill="1" applyAlignment="1">
      <alignment horizontal="center"/>
    </xf>
    <xf numFmtId="0" fontId="18" fillId="0" borderId="0" xfId="0" applyFont="1" applyAlignment="1">
      <alignment horizontal="center"/>
    </xf>
    <xf numFmtId="0" fontId="14" fillId="0" borderId="0" xfId="0" applyFont="1" applyFill="1" applyAlignment="1">
      <alignment horizontal="center"/>
    </xf>
    <xf numFmtId="4" fontId="15" fillId="0" borderId="10" xfId="0" applyNumberFormat="1" applyFont="1" applyFill="1" applyBorder="1" applyAlignment="1">
      <alignment horizontal="center"/>
    </xf>
    <xf numFmtId="4" fontId="18" fillId="0" borderId="0" xfId="0" applyNumberFormat="1" applyFont="1" applyFill="1" applyAlignment="1">
      <alignment horizontal="center" wrapText="1"/>
    </xf>
    <xf numFmtId="169" fontId="14" fillId="16" borderId="40" xfId="0" applyNumberFormat="1" applyFont="1" applyFill="1" applyBorder="1" applyAlignment="1">
      <alignment horizontal="center"/>
    </xf>
    <xf numFmtId="14" fontId="27" fillId="13" borderId="40" xfId="0" applyNumberFormat="1" applyFont="1" applyFill="1" applyBorder="1"/>
    <xf numFmtId="0" fontId="31" fillId="0" borderId="0" xfId="0" applyFont="1"/>
    <xf numFmtId="0" fontId="31" fillId="0" borderId="0" xfId="0" applyFont="1" applyAlignment="1">
      <alignment horizontal="right"/>
    </xf>
    <xf numFmtId="0" fontId="14" fillId="5" borderId="0" xfId="0" applyFont="1" applyFill="1" applyAlignment="1">
      <alignment horizontal="right"/>
    </xf>
    <xf numFmtId="0" fontId="14" fillId="5" borderId="31" xfId="0" applyFont="1" applyFill="1" applyBorder="1"/>
    <xf numFmtId="0" fontId="27" fillId="13" borderId="38" xfId="0" quotePrefix="1" applyFont="1" applyFill="1" applyBorder="1" applyAlignment="1">
      <alignment horizontal="center" vertical="center" wrapText="1"/>
    </xf>
    <xf numFmtId="0" fontId="14" fillId="13" borderId="36" xfId="0" applyFont="1" applyFill="1" applyBorder="1"/>
    <xf numFmtId="2" fontId="14" fillId="16" borderId="64" xfId="0" applyNumberFormat="1" applyFont="1" applyFill="1" applyBorder="1" applyAlignment="1">
      <alignment horizontal="center"/>
    </xf>
    <xf numFmtId="0" fontId="14" fillId="15" borderId="31" xfId="0" applyFont="1" applyFill="1" applyBorder="1"/>
    <xf numFmtId="170" fontId="14" fillId="16" borderId="31" xfId="2" applyNumberFormat="1" applyFont="1" applyFill="1" applyBorder="1" applyAlignment="1">
      <alignment horizontal="center"/>
    </xf>
    <xf numFmtId="2" fontId="15" fillId="16" borderId="65" xfId="0" applyNumberFormat="1" applyFont="1" applyFill="1" applyBorder="1" applyAlignment="1">
      <alignment horizontal="center"/>
    </xf>
    <xf numFmtId="0" fontId="22" fillId="15" borderId="31" xfId="0" applyFont="1" applyFill="1" applyBorder="1" applyAlignment="1">
      <alignment horizontal="center"/>
    </xf>
    <xf numFmtId="2" fontId="15" fillId="16" borderId="46" xfId="0" applyNumberFormat="1" applyFont="1" applyFill="1" applyBorder="1" applyAlignment="1">
      <alignment horizontal="center"/>
    </xf>
    <xf numFmtId="0" fontId="14" fillId="15" borderId="30" xfId="0" applyFont="1" applyFill="1" applyBorder="1"/>
    <xf numFmtId="170" fontId="14" fillId="16" borderId="30" xfId="2" applyNumberFormat="1" applyFont="1" applyFill="1" applyBorder="1" applyAlignment="1">
      <alignment horizontal="center"/>
    </xf>
    <xf numFmtId="2" fontId="15" fillId="16" borderId="66" xfId="0" applyNumberFormat="1" applyFont="1" applyFill="1" applyBorder="1" applyAlignment="1">
      <alignment horizontal="center"/>
    </xf>
    <xf numFmtId="0" fontId="22" fillId="15" borderId="30" xfId="0" applyFont="1" applyFill="1" applyBorder="1" applyAlignment="1">
      <alignment horizontal="center"/>
    </xf>
    <xf numFmtId="2" fontId="15" fillId="16" borderId="45" xfId="0" applyNumberFormat="1" applyFont="1" applyFill="1" applyBorder="1" applyAlignment="1">
      <alignment horizontal="center"/>
    </xf>
    <xf numFmtId="0" fontId="32" fillId="9" borderId="0" xfId="0" applyFont="1" applyFill="1"/>
    <xf numFmtId="0" fontId="33" fillId="9" borderId="0" xfId="0" applyFont="1" applyFill="1"/>
    <xf numFmtId="170" fontId="14" fillId="16" borderId="49" xfId="2" applyNumberFormat="1" applyFont="1" applyFill="1" applyBorder="1" applyAlignment="1">
      <alignment horizontal="center"/>
    </xf>
    <xf numFmtId="170" fontId="14" fillId="16" borderId="68" xfId="2" applyNumberFormat="1" applyFont="1" applyFill="1" applyBorder="1" applyAlignment="1">
      <alignment horizontal="center"/>
    </xf>
    <xf numFmtId="170" fontId="14" fillId="16" borderId="67" xfId="2" applyNumberFormat="1" applyFont="1" applyFill="1" applyBorder="1" applyAlignment="1">
      <alignment horizontal="center"/>
    </xf>
    <xf numFmtId="4" fontId="14" fillId="16" borderId="30" xfId="0" applyNumberFormat="1" applyFont="1" applyFill="1" applyBorder="1" applyAlignment="1">
      <alignment horizontal="center"/>
    </xf>
    <xf numFmtId="4" fontId="14" fillId="16" borderId="0" xfId="0" applyNumberFormat="1" applyFont="1" applyFill="1" applyBorder="1" applyAlignment="1">
      <alignment horizontal="center"/>
    </xf>
    <xf numFmtId="4" fontId="14" fillId="16" borderId="40" xfId="0" applyNumberFormat="1" applyFont="1" applyFill="1" applyBorder="1" applyAlignment="1">
      <alignment horizontal="center"/>
    </xf>
    <xf numFmtId="4" fontId="15" fillId="16" borderId="34" xfId="0" applyNumberFormat="1" applyFont="1" applyFill="1" applyBorder="1" applyAlignment="1">
      <alignment horizontal="center"/>
    </xf>
    <xf numFmtId="4" fontId="15" fillId="16" borderId="33" xfId="0" applyNumberFormat="1" applyFont="1" applyFill="1" applyBorder="1" applyAlignment="1">
      <alignment horizontal="center"/>
    </xf>
    <xf numFmtId="4" fontId="15" fillId="16" borderId="42" xfId="0" applyNumberFormat="1" applyFont="1" applyFill="1" applyBorder="1" applyAlignment="1">
      <alignment horizontal="center"/>
    </xf>
    <xf numFmtId="2" fontId="14" fillId="16" borderId="30" xfId="0" applyNumberFormat="1" applyFont="1" applyFill="1" applyBorder="1" applyAlignment="1">
      <alignment horizontal="center"/>
    </xf>
    <xf numFmtId="2" fontId="15" fillId="16" borderId="34" xfId="0" applyNumberFormat="1" applyFont="1" applyFill="1" applyBorder="1" applyAlignment="1">
      <alignment horizontal="center"/>
    </xf>
    <xf numFmtId="2" fontId="15" fillId="16" borderId="33" xfId="0" applyNumberFormat="1" applyFont="1" applyFill="1" applyBorder="1" applyAlignment="1">
      <alignment horizontal="center"/>
    </xf>
    <xf numFmtId="2" fontId="15" fillId="16" borderId="42" xfId="0" applyNumberFormat="1" applyFont="1" applyFill="1" applyBorder="1" applyAlignment="1">
      <alignment horizontal="center"/>
    </xf>
    <xf numFmtId="2" fontId="14" fillId="15" borderId="30" xfId="0" applyNumberFormat="1" applyFont="1" applyFill="1" applyBorder="1" applyAlignment="1">
      <alignment horizontal="center"/>
    </xf>
    <xf numFmtId="2" fontId="14" fillId="15" borderId="0" xfId="0" applyNumberFormat="1" applyFont="1" applyFill="1" applyBorder="1" applyAlignment="1">
      <alignment horizontal="center"/>
    </xf>
    <xf numFmtId="2" fontId="14" fillId="15" borderId="40" xfId="0" applyNumberFormat="1" applyFont="1" applyFill="1" applyBorder="1" applyAlignment="1">
      <alignment horizontal="center"/>
    </xf>
    <xf numFmtId="168" fontId="32" fillId="9" borderId="0" xfId="0" applyNumberFormat="1" applyFont="1" applyFill="1"/>
    <xf numFmtId="0" fontId="16" fillId="11" borderId="0" xfId="0" applyFont="1" applyFill="1" applyAlignment="1">
      <alignment horizontal="center" wrapText="1"/>
    </xf>
    <xf numFmtId="0" fontId="16" fillId="12" borderId="0" xfId="0" applyFont="1" applyFill="1" applyAlignment="1">
      <alignment horizontal="center" wrapText="1"/>
    </xf>
    <xf numFmtId="0" fontId="16" fillId="4" borderId="0" xfId="0" applyFont="1" applyFill="1" applyAlignment="1">
      <alignment horizontal="center" wrapText="1"/>
    </xf>
    <xf numFmtId="0" fontId="22" fillId="15" borderId="0" xfId="0" applyFont="1" applyFill="1" applyBorder="1" applyAlignment="1">
      <alignment horizontal="center" vertical="center"/>
    </xf>
    <xf numFmtId="0" fontId="22" fillId="13" borderId="37" xfId="0" applyFont="1" applyFill="1" applyBorder="1" applyAlignment="1">
      <alignment horizontal="center" vertical="center"/>
    </xf>
    <xf numFmtId="0" fontId="22" fillId="13" borderId="37" xfId="0" applyFont="1" applyFill="1" applyBorder="1" applyAlignment="1">
      <alignment horizontal="center" vertical="center" wrapText="1"/>
    </xf>
    <xf numFmtId="0" fontId="22" fillId="13" borderId="38" xfId="0" applyFont="1" applyFill="1" applyBorder="1" applyAlignment="1">
      <alignment horizontal="center" vertical="center" wrapText="1"/>
    </xf>
    <xf numFmtId="0" fontId="22" fillId="13" borderId="37" xfId="0" applyFont="1" applyFill="1" applyBorder="1" applyAlignment="1">
      <alignment horizontal="center"/>
    </xf>
    <xf numFmtId="0" fontId="22" fillId="13" borderId="38" xfId="0" applyFont="1" applyFill="1" applyBorder="1" applyAlignment="1">
      <alignment horizontal="center"/>
    </xf>
    <xf numFmtId="0" fontId="24" fillId="6" borderId="29" xfId="0" applyFont="1" applyFill="1" applyBorder="1" applyAlignment="1">
      <alignment horizontal="center" vertical="center" wrapText="1"/>
    </xf>
    <xf numFmtId="0" fontId="24" fillId="6" borderId="27" xfId="0" applyFont="1" applyFill="1" applyBorder="1" applyAlignment="1">
      <alignment horizontal="center" vertical="center" wrapText="1"/>
    </xf>
    <xf numFmtId="0" fontId="22" fillId="15" borderId="0" xfId="0" applyFont="1" applyFill="1" applyBorder="1" applyAlignment="1">
      <alignment horizontal="center" vertical="center"/>
    </xf>
    <xf numFmtId="0" fontId="22" fillId="15" borderId="40" xfId="0" applyFont="1" applyFill="1" applyBorder="1" applyAlignment="1">
      <alignment horizontal="center" vertical="center"/>
    </xf>
    <xf numFmtId="0" fontId="22" fillId="15" borderId="39" xfId="0" applyFont="1" applyFill="1" applyBorder="1" applyAlignment="1">
      <alignment vertical="center"/>
    </xf>
    <xf numFmtId="0" fontId="22" fillId="13" borderId="37" xfId="0" applyFont="1" applyFill="1" applyBorder="1" applyAlignment="1">
      <alignment horizontal="center" vertical="center"/>
    </xf>
    <xf numFmtId="0" fontId="22" fillId="13" borderId="37" xfId="0" applyFont="1" applyFill="1" applyBorder="1" applyAlignment="1">
      <alignment horizontal="center" vertical="center" wrapText="1"/>
    </xf>
    <xf numFmtId="0" fontId="22" fillId="13" borderId="0" xfId="0" applyFont="1" applyFill="1" applyBorder="1" applyAlignment="1">
      <alignment horizontal="center" vertical="center" wrapText="1"/>
    </xf>
    <xf numFmtId="0" fontId="22" fillId="13" borderId="38" xfId="0" applyFont="1" applyFill="1" applyBorder="1" applyAlignment="1">
      <alignment horizontal="center" vertical="center" wrapText="1"/>
    </xf>
    <xf numFmtId="0" fontId="22" fillId="14" borderId="39" xfId="0" applyFont="1" applyFill="1" applyBorder="1" applyAlignment="1">
      <alignment horizontal="left" vertical="center"/>
    </xf>
    <xf numFmtId="0" fontId="22" fillId="14" borderId="48" xfId="0" applyFont="1" applyFill="1" applyBorder="1" applyAlignment="1">
      <alignment horizontal="left" vertical="center"/>
    </xf>
    <xf numFmtId="0" fontId="22" fillId="13" borderId="62" xfId="0" applyFont="1" applyFill="1" applyBorder="1" applyAlignment="1">
      <alignment horizontal="center" vertical="center" wrapText="1"/>
    </xf>
    <xf numFmtId="0" fontId="22" fillId="13" borderId="63" xfId="0" applyFont="1" applyFill="1" applyBorder="1" applyAlignment="1">
      <alignment horizontal="center" vertical="center" wrapText="1"/>
    </xf>
    <xf numFmtId="0" fontId="22" fillId="13" borderId="36" xfId="0" applyFont="1" applyFill="1" applyBorder="1" applyAlignment="1">
      <alignment horizontal="left" vertical="center"/>
    </xf>
    <xf numFmtId="0" fontId="22" fillId="13" borderId="39" xfId="0" applyFont="1" applyFill="1" applyBorder="1" applyAlignment="1">
      <alignment horizontal="left" vertical="center"/>
    </xf>
    <xf numFmtId="0" fontId="22" fillId="13" borderId="54" xfId="0" quotePrefix="1" applyFont="1" applyFill="1" applyBorder="1" applyAlignment="1">
      <alignment horizontal="center"/>
    </xf>
    <xf numFmtId="0" fontId="22" fillId="13" borderId="37" xfId="0" applyFont="1" applyFill="1" applyBorder="1" applyAlignment="1">
      <alignment horizontal="center"/>
    </xf>
    <xf numFmtId="0" fontId="22" fillId="13" borderId="38" xfId="0" applyFont="1" applyFill="1" applyBorder="1" applyAlignment="1">
      <alignment horizontal="center"/>
    </xf>
    <xf numFmtId="15" fontId="22" fillId="13" borderId="54" xfId="0" quotePrefix="1" applyNumberFormat="1" applyFont="1" applyFill="1" applyBorder="1" applyAlignment="1">
      <alignment horizontal="center"/>
    </xf>
    <xf numFmtId="0" fontId="22" fillId="13" borderId="55" xfId="0" applyFont="1" applyFill="1" applyBorder="1" applyAlignment="1">
      <alignment horizontal="center"/>
    </xf>
    <xf numFmtId="0" fontId="22" fillId="13" borderId="37" xfId="0" quotePrefix="1" applyFont="1" applyFill="1" applyBorder="1" applyAlignment="1">
      <alignment horizontal="center"/>
    </xf>
    <xf numFmtId="0" fontId="22" fillId="13" borderId="40" xfId="0" applyFont="1" applyFill="1" applyBorder="1" applyAlignment="1">
      <alignment horizontal="center" vertical="center" wrapText="1"/>
    </xf>
  </cellXfs>
  <cellStyles count="366">
    <cellStyle name=" 1" xfId="8" xr:uid="{00000000-0005-0000-0000-000000000000}"/>
    <cellStyle name=" 1 2" xfId="9" xr:uid="{00000000-0005-0000-0000-000001000000}"/>
    <cellStyle name=" 1_29(d) - Gas extensions -tariffs" xfId="10" xr:uid="{00000000-0005-0000-0000-000002000000}"/>
    <cellStyle name="_Capex" xfId="11" xr:uid="{00000000-0005-0000-0000-000003000000}"/>
    <cellStyle name="_Capex 2" xfId="12" xr:uid="{00000000-0005-0000-0000-000004000000}"/>
    <cellStyle name="_Capex_29(d) - Gas extensions -tariffs" xfId="13" xr:uid="{00000000-0005-0000-0000-000005000000}"/>
    <cellStyle name="_UED AMP 2009-14 Final 250309 Less PU" xfId="14" xr:uid="{00000000-0005-0000-0000-000006000000}"/>
    <cellStyle name="_UED AMP 2009-14 Final 250309 Less PU_1011 monthly" xfId="15" xr:uid="{00000000-0005-0000-0000-000007000000}"/>
    <cellStyle name="20% - Accent1 2" xfId="16" xr:uid="{00000000-0005-0000-0000-000008000000}"/>
    <cellStyle name="20% - Accent1 2 2" xfId="296" xr:uid="{00000000-0005-0000-0000-000009000000}"/>
    <cellStyle name="20% - Accent2 2" xfId="17" xr:uid="{00000000-0005-0000-0000-00000A000000}"/>
    <cellStyle name="20% - Accent3 2" xfId="18" xr:uid="{00000000-0005-0000-0000-00000B000000}"/>
    <cellStyle name="20% - Accent4 2" xfId="19" xr:uid="{00000000-0005-0000-0000-00000C000000}"/>
    <cellStyle name="20% - Accent5 2" xfId="20" xr:uid="{00000000-0005-0000-0000-00000D000000}"/>
    <cellStyle name="20% - Accent6 2" xfId="21" xr:uid="{00000000-0005-0000-0000-00000E000000}"/>
    <cellStyle name="40% - Accent1 2" xfId="22" xr:uid="{00000000-0005-0000-0000-00000F000000}"/>
    <cellStyle name="40% - Accent2 2" xfId="23" xr:uid="{00000000-0005-0000-0000-000010000000}"/>
    <cellStyle name="40% - Accent3 2" xfId="24" xr:uid="{00000000-0005-0000-0000-000011000000}"/>
    <cellStyle name="40% - Accent4 2" xfId="25" xr:uid="{00000000-0005-0000-0000-000012000000}"/>
    <cellStyle name="40% - Accent5 2" xfId="26" xr:uid="{00000000-0005-0000-0000-000013000000}"/>
    <cellStyle name="40% - Accent6 2" xfId="27" xr:uid="{00000000-0005-0000-0000-000014000000}"/>
    <cellStyle name="60% - Accent1 2" xfId="28" xr:uid="{00000000-0005-0000-0000-000015000000}"/>
    <cellStyle name="60% - Accent2 2" xfId="29" xr:uid="{00000000-0005-0000-0000-000016000000}"/>
    <cellStyle name="60% - Accent3 2" xfId="30" xr:uid="{00000000-0005-0000-0000-000017000000}"/>
    <cellStyle name="60% - Accent4 2" xfId="31" xr:uid="{00000000-0005-0000-0000-000018000000}"/>
    <cellStyle name="60% - Accent5 2" xfId="32" xr:uid="{00000000-0005-0000-0000-000019000000}"/>
    <cellStyle name="60% - Accent6 2" xfId="33" xr:uid="{00000000-0005-0000-0000-00001A000000}"/>
    <cellStyle name="Accent1 - 20%" xfId="34" xr:uid="{00000000-0005-0000-0000-00001B000000}"/>
    <cellStyle name="Accent1 - 40%" xfId="35" xr:uid="{00000000-0005-0000-0000-00001C000000}"/>
    <cellStyle name="Accent1 - 60%" xfId="36" xr:uid="{00000000-0005-0000-0000-00001D000000}"/>
    <cellStyle name="Accent1 2" xfId="37" xr:uid="{00000000-0005-0000-0000-00001E000000}"/>
    <cellStyle name="Accent2 - 20%" xfId="38" xr:uid="{00000000-0005-0000-0000-00001F000000}"/>
    <cellStyle name="Accent2 - 40%" xfId="39" xr:uid="{00000000-0005-0000-0000-000020000000}"/>
    <cellStyle name="Accent2 - 60%" xfId="40" xr:uid="{00000000-0005-0000-0000-000021000000}"/>
    <cellStyle name="Accent2 2" xfId="41" xr:uid="{00000000-0005-0000-0000-000022000000}"/>
    <cellStyle name="Accent3 - 20%" xfId="42" xr:uid="{00000000-0005-0000-0000-000023000000}"/>
    <cellStyle name="Accent3 - 40%" xfId="43" xr:uid="{00000000-0005-0000-0000-000024000000}"/>
    <cellStyle name="Accent3 - 60%" xfId="44" xr:uid="{00000000-0005-0000-0000-000025000000}"/>
    <cellStyle name="Accent3 2" xfId="45" xr:uid="{00000000-0005-0000-0000-000026000000}"/>
    <cellStyle name="Accent4 - 20%" xfId="46" xr:uid="{00000000-0005-0000-0000-000027000000}"/>
    <cellStyle name="Accent4 - 40%" xfId="47" xr:uid="{00000000-0005-0000-0000-000028000000}"/>
    <cellStyle name="Accent4 - 60%" xfId="48" xr:uid="{00000000-0005-0000-0000-000029000000}"/>
    <cellStyle name="Accent4 2" xfId="49" xr:uid="{00000000-0005-0000-0000-00002A000000}"/>
    <cellStyle name="Accent5 - 20%" xfId="50" xr:uid="{00000000-0005-0000-0000-00002B000000}"/>
    <cellStyle name="Accent5 - 40%" xfId="51" xr:uid="{00000000-0005-0000-0000-00002C000000}"/>
    <cellStyle name="Accent5 - 60%" xfId="52" xr:uid="{00000000-0005-0000-0000-00002D000000}"/>
    <cellStyle name="Accent5 2" xfId="53" xr:uid="{00000000-0005-0000-0000-00002E000000}"/>
    <cellStyle name="Accent6 - 20%" xfId="54" xr:uid="{00000000-0005-0000-0000-00002F000000}"/>
    <cellStyle name="Accent6 - 40%" xfId="55" xr:uid="{00000000-0005-0000-0000-000030000000}"/>
    <cellStyle name="Accent6 - 60%" xfId="56" xr:uid="{00000000-0005-0000-0000-000031000000}"/>
    <cellStyle name="Accent6 2" xfId="57" xr:uid="{00000000-0005-0000-0000-000032000000}"/>
    <cellStyle name="Agara" xfId="58" xr:uid="{00000000-0005-0000-0000-000033000000}"/>
    <cellStyle name="Assumptions Right Number" xfId="59" xr:uid="{00000000-0005-0000-0000-000034000000}"/>
    <cellStyle name="Assumptions Right Number 2" xfId="277" xr:uid="{00000000-0005-0000-0000-000035000000}"/>
    <cellStyle name="B79812_.wvu.PrintTitlest" xfId="60" xr:uid="{00000000-0005-0000-0000-000036000000}"/>
    <cellStyle name="Bad 2" xfId="61" xr:uid="{00000000-0005-0000-0000-000037000000}"/>
    <cellStyle name="Black" xfId="62" xr:uid="{00000000-0005-0000-0000-000038000000}"/>
    <cellStyle name="Blockout" xfId="63" xr:uid="{00000000-0005-0000-0000-000039000000}"/>
    <cellStyle name="Blockout 2" xfId="64" xr:uid="{00000000-0005-0000-0000-00003A000000}"/>
    <cellStyle name="Blockout 2 2" xfId="310" xr:uid="{00000000-0005-0000-0000-00003B000000}"/>
    <cellStyle name="Blockout 3" xfId="309" xr:uid="{00000000-0005-0000-0000-00003C000000}"/>
    <cellStyle name="Blue" xfId="65" xr:uid="{00000000-0005-0000-0000-00003D000000}"/>
    <cellStyle name="Calcs_Divider" xfId="66" xr:uid="{00000000-0005-0000-0000-00003E000000}"/>
    <cellStyle name="Calculation 2" xfId="67" xr:uid="{00000000-0005-0000-0000-00003F000000}"/>
    <cellStyle name="Calculation 2 2" xfId="279" xr:uid="{00000000-0005-0000-0000-000040000000}"/>
    <cellStyle name="Check" xfId="68" xr:uid="{00000000-0005-0000-0000-000041000000}"/>
    <cellStyle name="Check 2" xfId="284" xr:uid="{00000000-0005-0000-0000-000042000000}"/>
    <cellStyle name="Check Cell 2" xfId="69" xr:uid="{00000000-0005-0000-0000-000043000000}"/>
    <cellStyle name="Column_Heading_1" xfId="70" xr:uid="{00000000-0005-0000-0000-000044000000}"/>
    <cellStyle name="Comma" xfId="1" builtinId="3"/>
    <cellStyle name="Comma [0]7Z_87C" xfId="71" xr:uid="{00000000-0005-0000-0000-000046000000}"/>
    <cellStyle name="Comma 0" xfId="72" xr:uid="{00000000-0005-0000-0000-000047000000}"/>
    <cellStyle name="Comma 1" xfId="73" xr:uid="{00000000-0005-0000-0000-000048000000}"/>
    <cellStyle name="Comma 1 2" xfId="74" xr:uid="{00000000-0005-0000-0000-000049000000}"/>
    <cellStyle name="Comma 10" xfId="278" xr:uid="{00000000-0005-0000-0000-00004A000000}"/>
    <cellStyle name="Comma 10 2" xfId="338" xr:uid="{00000000-0005-0000-0000-00004B000000}"/>
    <cellStyle name="Comma 11" xfId="273" xr:uid="{00000000-0005-0000-0000-00004C000000}"/>
    <cellStyle name="Comma 11 2" xfId="337" xr:uid="{00000000-0005-0000-0000-00004D000000}"/>
    <cellStyle name="Comma 12" xfId="341" xr:uid="{00000000-0005-0000-0000-00004E000000}"/>
    <cellStyle name="Comma 13" xfId="342" xr:uid="{00000000-0005-0000-0000-00004F000000}"/>
    <cellStyle name="Comma 14" xfId="308" xr:uid="{00000000-0005-0000-0000-000050000000}"/>
    <cellStyle name="Comma 15" xfId="360" xr:uid="{00000000-0005-0000-0000-000051000000}"/>
    <cellStyle name="Comma 16" xfId="345" xr:uid="{00000000-0005-0000-0000-000052000000}"/>
    <cellStyle name="Comma 17" xfId="353" xr:uid="{00000000-0005-0000-0000-000053000000}"/>
    <cellStyle name="Comma 18" xfId="361" xr:uid="{00000000-0005-0000-0000-000054000000}"/>
    <cellStyle name="Comma 19" xfId="344" xr:uid="{00000000-0005-0000-0000-000055000000}"/>
    <cellStyle name="Comma 2" xfId="75" xr:uid="{00000000-0005-0000-0000-000056000000}"/>
    <cellStyle name="Comma 2 2" xfId="76" xr:uid="{00000000-0005-0000-0000-000057000000}"/>
    <cellStyle name="Comma 2 2 2" xfId="312" xr:uid="{00000000-0005-0000-0000-000058000000}"/>
    <cellStyle name="Comma 2 3" xfId="77" xr:uid="{00000000-0005-0000-0000-000059000000}"/>
    <cellStyle name="Comma 2 3 2" xfId="78" xr:uid="{00000000-0005-0000-0000-00005A000000}"/>
    <cellStyle name="Comma 2 3 2 2" xfId="314" xr:uid="{00000000-0005-0000-0000-00005B000000}"/>
    <cellStyle name="Comma 2 3 3" xfId="313" xr:uid="{00000000-0005-0000-0000-00005C000000}"/>
    <cellStyle name="Comma 2 4" xfId="79" xr:uid="{00000000-0005-0000-0000-00005D000000}"/>
    <cellStyle name="Comma 2 4 2" xfId="315" xr:uid="{00000000-0005-0000-0000-00005E000000}"/>
    <cellStyle name="Comma 2 5" xfId="80" xr:uid="{00000000-0005-0000-0000-00005F000000}"/>
    <cellStyle name="Comma 2 5 2" xfId="316" xr:uid="{00000000-0005-0000-0000-000060000000}"/>
    <cellStyle name="Comma 2 6" xfId="311" xr:uid="{00000000-0005-0000-0000-000061000000}"/>
    <cellStyle name="Comma 20" xfId="355" xr:uid="{00000000-0005-0000-0000-000062000000}"/>
    <cellStyle name="Comma 21" xfId="358" xr:uid="{00000000-0005-0000-0000-000063000000}"/>
    <cellStyle name="Comma 22" xfId="365" xr:uid="{00000000-0005-0000-0000-000064000000}"/>
    <cellStyle name="Comma 3" xfId="81" xr:uid="{00000000-0005-0000-0000-000065000000}"/>
    <cellStyle name="Comma 3 2" xfId="82" xr:uid="{00000000-0005-0000-0000-000066000000}"/>
    <cellStyle name="Comma 3 3" xfId="83" xr:uid="{00000000-0005-0000-0000-000067000000}"/>
    <cellStyle name="Comma 3 3 2" xfId="317" xr:uid="{00000000-0005-0000-0000-000068000000}"/>
    <cellStyle name="Comma 4" xfId="84" xr:uid="{00000000-0005-0000-0000-000069000000}"/>
    <cellStyle name="Comma 4 2" xfId="318" xr:uid="{00000000-0005-0000-0000-00006A000000}"/>
    <cellStyle name="Comma 5" xfId="85" xr:uid="{00000000-0005-0000-0000-00006B000000}"/>
    <cellStyle name="Comma 5 2" xfId="319" xr:uid="{00000000-0005-0000-0000-00006C000000}"/>
    <cellStyle name="Comma 6" xfId="86" xr:uid="{00000000-0005-0000-0000-00006D000000}"/>
    <cellStyle name="Comma 6 2" xfId="320" xr:uid="{00000000-0005-0000-0000-00006E000000}"/>
    <cellStyle name="Comma 7" xfId="87" xr:uid="{00000000-0005-0000-0000-00006F000000}"/>
    <cellStyle name="Comma 7 2" xfId="321" xr:uid="{00000000-0005-0000-0000-000070000000}"/>
    <cellStyle name="Comma 8" xfId="88" xr:uid="{00000000-0005-0000-0000-000071000000}"/>
    <cellStyle name="Comma 8 2" xfId="322" xr:uid="{00000000-0005-0000-0000-000072000000}"/>
    <cellStyle name="Comma 9" xfId="271" xr:uid="{00000000-0005-0000-0000-000073000000}"/>
    <cellStyle name="Comma 9 2" xfId="336" xr:uid="{00000000-0005-0000-0000-000074000000}"/>
    <cellStyle name="Comma0" xfId="89" xr:uid="{00000000-0005-0000-0000-000075000000}"/>
    <cellStyle name="Currency 11" xfId="90" xr:uid="{00000000-0005-0000-0000-000076000000}"/>
    <cellStyle name="Currency 11 2" xfId="91" xr:uid="{00000000-0005-0000-0000-000077000000}"/>
    <cellStyle name="Currency 11 2 2" xfId="324" xr:uid="{00000000-0005-0000-0000-000078000000}"/>
    <cellStyle name="Currency 11 3" xfId="323" xr:uid="{00000000-0005-0000-0000-000079000000}"/>
    <cellStyle name="Currency 2" xfId="92" xr:uid="{00000000-0005-0000-0000-00007A000000}"/>
    <cellStyle name="Currency 2 2" xfId="93" xr:uid="{00000000-0005-0000-0000-00007B000000}"/>
    <cellStyle name="Currency 2 2 2" xfId="326" xr:uid="{00000000-0005-0000-0000-00007C000000}"/>
    <cellStyle name="Currency 2 3" xfId="325" xr:uid="{00000000-0005-0000-0000-00007D000000}"/>
    <cellStyle name="Currency 3" xfId="94" xr:uid="{00000000-0005-0000-0000-00007E000000}"/>
    <cellStyle name="Currency 3 2" xfId="95" xr:uid="{00000000-0005-0000-0000-00007F000000}"/>
    <cellStyle name="Currency 3 2 2" xfId="328" xr:uid="{00000000-0005-0000-0000-000080000000}"/>
    <cellStyle name="Currency 3 3" xfId="327" xr:uid="{00000000-0005-0000-0000-000081000000}"/>
    <cellStyle name="Currency 4" xfId="96" xr:uid="{00000000-0005-0000-0000-000082000000}"/>
    <cellStyle name="Currency 4 2" xfId="97" xr:uid="{00000000-0005-0000-0000-000083000000}"/>
    <cellStyle name="Currency 4 2 2" xfId="330" xr:uid="{00000000-0005-0000-0000-000084000000}"/>
    <cellStyle name="Currency 4 3" xfId="329" xr:uid="{00000000-0005-0000-0000-000085000000}"/>
    <cellStyle name="Currency 5" xfId="98" xr:uid="{00000000-0005-0000-0000-000086000000}"/>
    <cellStyle name="Currency 5 2" xfId="288" xr:uid="{00000000-0005-0000-0000-000087000000}"/>
    <cellStyle name="Currency 5 2 2" xfId="339" xr:uid="{00000000-0005-0000-0000-000088000000}"/>
    <cellStyle name="Currency 5 3" xfId="331" xr:uid="{00000000-0005-0000-0000-000089000000}"/>
    <cellStyle name="D4_B8B1_005004B79812_.wvu.PrintTitlest" xfId="99" xr:uid="{00000000-0005-0000-0000-00008A000000}"/>
    <cellStyle name="Date" xfId="100" xr:uid="{00000000-0005-0000-0000-00008B000000}"/>
    <cellStyle name="Date 2" xfId="101" xr:uid="{00000000-0005-0000-0000-00008C000000}"/>
    <cellStyle name="Emphasis 1" xfId="102" xr:uid="{00000000-0005-0000-0000-00008D000000}"/>
    <cellStyle name="Emphasis 2" xfId="103" xr:uid="{00000000-0005-0000-0000-00008E000000}"/>
    <cellStyle name="Emphasis 3" xfId="104" xr:uid="{00000000-0005-0000-0000-00008F000000}"/>
    <cellStyle name="Empty_Cell" xfId="105" xr:uid="{00000000-0005-0000-0000-000090000000}"/>
    <cellStyle name="Euro" xfId="106" xr:uid="{00000000-0005-0000-0000-000091000000}"/>
    <cellStyle name="Explanatory Text 2" xfId="107" xr:uid="{00000000-0005-0000-0000-000092000000}"/>
    <cellStyle name="Fixed" xfId="108" xr:uid="{00000000-0005-0000-0000-000093000000}"/>
    <cellStyle name="Fixed 2" xfId="109" xr:uid="{00000000-0005-0000-0000-000094000000}"/>
    <cellStyle name="Gilsans" xfId="110" xr:uid="{00000000-0005-0000-0000-000095000000}"/>
    <cellStyle name="Gilsansl" xfId="111" xr:uid="{00000000-0005-0000-0000-000096000000}"/>
    <cellStyle name="Good 2" xfId="112" xr:uid="{00000000-0005-0000-0000-000097000000}"/>
    <cellStyle name="Header1" xfId="113" xr:uid="{00000000-0005-0000-0000-000098000000}"/>
    <cellStyle name="Header2" xfId="114" xr:uid="{00000000-0005-0000-0000-000099000000}"/>
    <cellStyle name="Header3" xfId="115" xr:uid="{00000000-0005-0000-0000-00009A000000}"/>
    <cellStyle name="Header4" xfId="116" xr:uid="{00000000-0005-0000-0000-00009B000000}"/>
    <cellStyle name="Header5" xfId="117" xr:uid="{00000000-0005-0000-0000-00009C000000}"/>
    <cellStyle name="Heading 1 2" xfId="118" xr:uid="{00000000-0005-0000-0000-00009D000000}"/>
    <cellStyle name="Heading 1 2 2" xfId="119" xr:uid="{00000000-0005-0000-0000-00009E000000}"/>
    <cellStyle name="Heading 1 3" xfId="120" xr:uid="{00000000-0005-0000-0000-00009F000000}"/>
    <cellStyle name="Heading 2 2" xfId="121" xr:uid="{00000000-0005-0000-0000-0000A0000000}"/>
    <cellStyle name="Heading 2 2 2" xfId="122" xr:uid="{00000000-0005-0000-0000-0000A1000000}"/>
    <cellStyle name="Heading 2 3" xfId="123" xr:uid="{00000000-0005-0000-0000-0000A2000000}"/>
    <cellStyle name="Heading 3 2" xfId="124" xr:uid="{00000000-0005-0000-0000-0000A3000000}"/>
    <cellStyle name="Heading 3 2 2" xfId="125" xr:uid="{00000000-0005-0000-0000-0000A4000000}"/>
    <cellStyle name="Heading 3 3" xfId="126" xr:uid="{00000000-0005-0000-0000-0000A5000000}"/>
    <cellStyle name="Heading 4 2" xfId="127" xr:uid="{00000000-0005-0000-0000-0000A6000000}"/>
    <cellStyle name="Heading 4 2 2" xfId="128" xr:uid="{00000000-0005-0000-0000-0000A7000000}"/>
    <cellStyle name="Heading 4 3" xfId="129" xr:uid="{00000000-0005-0000-0000-0000A8000000}"/>
    <cellStyle name="Heading(4)" xfId="130" xr:uid="{00000000-0005-0000-0000-0000A9000000}"/>
    <cellStyle name="Hyperlink 2" xfId="131" xr:uid="{00000000-0005-0000-0000-0000AA000000}"/>
    <cellStyle name="Hyperlink 3" xfId="267" xr:uid="{00000000-0005-0000-0000-0000AB000000}"/>
    <cellStyle name="Hyperlink 4" xfId="286" xr:uid="{00000000-0005-0000-0000-0000AC000000}"/>
    <cellStyle name="Hyperlink Arrow" xfId="132" xr:uid="{00000000-0005-0000-0000-0000AD000000}"/>
    <cellStyle name="Hyperlink Text" xfId="133" xr:uid="{00000000-0005-0000-0000-0000AE000000}"/>
    <cellStyle name="import" xfId="297" xr:uid="{00000000-0005-0000-0000-0000AF000000}"/>
    <cellStyle name="import%" xfId="298" xr:uid="{00000000-0005-0000-0000-0000B0000000}"/>
    <cellStyle name="import_ICRC Electricity model 1-1  (1 Feb 2003) " xfId="299" xr:uid="{00000000-0005-0000-0000-0000B1000000}"/>
    <cellStyle name="Input 2" xfId="134" xr:uid="{00000000-0005-0000-0000-0000B2000000}"/>
    <cellStyle name="Input 2 2" xfId="280" xr:uid="{00000000-0005-0000-0000-0000B3000000}"/>
    <cellStyle name="Input 3" xfId="6" xr:uid="{00000000-0005-0000-0000-0000B4000000}"/>
    <cellStyle name="Input|Date" xfId="135" xr:uid="{00000000-0005-0000-0000-0000B5000000}"/>
    <cellStyle name="Input1" xfId="136" xr:uid="{00000000-0005-0000-0000-0000B6000000}"/>
    <cellStyle name="Input1 2" xfId="137" xr:uid="{00000000-0005-0000-0000-0000B7000000}"/>
    <cellStyle name="Input1 2 2" xfId="333" xr:uid="{00000000-0005-0000-0000-0000B8000000}"/>
    <cellStyle name="Input1 3" xfId="300" xr:uid="{00000000-0005-0000-0000-0000B9000000}"/>
    <cellStyle name="Input1 3 2" xfId="340" xr:uid="{00000000-0005-0000-0000-0000BA000000}"/>
    <cellStyle name="Input1 4" xfId="332" xr:uid="{00000000-0005-0000-0000-0000BB000000}"/>
    <cellStyle name="Input1%" xfId="301" xr:uid="{00000000-0005-0000-0000-0000BC000000}"/>
    <cellStyle name="Input1_ICRC Electricity model 1-1  (1 Feb 2003) " xfId="302" xr:uid="{00000000-0005-0000-0000-0000BD000000}"/>
    <cellStyle name="Input1default" xfId="303" xr:uid="{00000000-0005-0000-0000-0000BE000000}"/>
    <cellStyle name="Input1default%" xfId="304" xr:uid="{00000000-0005-0000-0000-0000BF000000}"/>
    <cellStyle name="Input2" xfId="138" xr:uid="{00000000-0005-0000-0000-0000C0000000}"/>
    <cellStyle name="Input2 2" xfId="139" xr:uid="{00000000-0005-0000-0000-0000C1000000}"/>
    <cellStyle name="Input3" xfId="140" xr:uid="{00000000-0005-0000-0000-0000C2000000}"/>
    <cellStyle name="Input3 2" xfId="141" xr:uid="{00000000-0005-0000-0000-0000C3000000}"/>
    <cellStyle name="Input3 2 2" xfId="335" xr:uid="{00000000-0005-0000-0000-0000C4000000}"/>
    <cellStyle name="Input3 3" xfId="334" xr:uid="{00000000-0005-0000-0000-0000C5000000}"/>
    <cellStyle name="Inputs_Divider" xfId="142" xr:uid="{00000000-0005-0000-0000-0000C6000000}"/>
    <cellStyle name="InSheet" xfId="143" xr:uid="{00000000-0005-0000-0000-0000C7000000}"/>
    <cellStyle name="key result" xfId="305" xr:uid="{00000000-0005-0000-0000-0000C8000000}"/>
    <cellStyle name="Lines" xfId="144" xr:uid="{00000000-0005-0000-0000-0000C9000000}"/>
    <cellStyle name="Linked Cell 2" xfId="145" xr:uid="{00000000-0005-0000-0000-0000CA000000}"/>
    <cellStyle name="Local import" xfId="306" xr:uid="{00000000-0005-0000-0000-0000CB000000}"/>
    <cellStyle name="Local import %" xfId="307" xr:uid="{00000000-0005-0000-0000-0000CC000000}"/>
    <cellStyle name="Mine" xfId="146" xr:uid="{00000000-0005-0000-0000-0000CD000000}"/>
    <cellStyle name="Model Name" xfId="147" xr:uid="{00000000-0005-0000-0000-0000CE000000}"/>
    <cellStyle name="Neutral 2" xfId="148" xr:uid="{00000000-0005-0000-0000-0000CF000000}"/>
    <cellStyle name="Normal" xfId="0" builtinId="0"/>
    <cellStyle name="Normal - Style1" xfId="149" xr:uid="{00000000-0005-0000-0000-0000D1000000}"/>
    <cellStyle name="Normal 10" xfId="150" xr:uid="{00000000-0005-0000-0000-0000D2000000}"/>
    <cellStyle name="Normal 10 2" xfId="289" xr:uid="{00000000-0005-0000-0000-0000D3000000}"/>
    <cellStyle name="Normal 11" xfId="269" xr:uid="{00000000-0005-0000-0000-0000D4000000}"/>
    <cellStyle name="Normal 12" xfId="285" xr:uid="{00000000-0005-0000-0000-0000D5000000}"/>
    <cellStyle name="Normal 13" xfId="151" xr:uid="{00000000-0005-0000-0000-0000D6000000}"/>
    <cellStyle name="Normal 13 2" xfId="152" xr:uid="{00000000-0005-0000-0000-0000D7000000}"/>
    <cellStyle name="Normal 13_29(d) - Gas extensions -tariffs" xfId="153" xr:uid="{00000000-0005-0000-0000-0000D8000000}"/>
    <cellStyle name="Normal 14" xfId="275" xr:uid="{00000000-0005-0000-0000-0000D9000000}"/>
    <cellStyle name="Normal 15" xfId="154" xr:uid="{00000000-0005-0000-0000-0000DA000000}"/>
    <cellStyle name="Normal 16" xfId="155" xr:uid="{00000000-0005-0000-0000-0000DB000000}"/>
    <cellStyle name="Normal 17" xfId="5" xr:uid="{00000000-0005-0000-0000-0000DC000000}"/>
    <cellStyle name="Normal 18" xfId="343" xr:uid="{00000000-0005-0000-0000-0000DD000000}"/>
    <cellStyle name="Normal 19" xfId="356" xr:uid="{00000000-0005-0000-0000-0000DE000000}"/>
    <cellStyle name="Normal 2" xfId="7" xr:uid="{00000000-0005-0000-0000-0000DF000000}"/>
    <cellStyle name="Normal 2 2" xfId="156" xr:uid="{00000000-0005-0000-0000-0000E0000000}"/>
    <cellStyle name="Normal 2 2 2" xfId="157" xr:uid="{00000000-0005-0000-0000-0000E1000000}"/>
    <cellStyle name="Normal 2 3" xfId="158" xr:uid="{00000000-0005-0000-0000-0000E2000000}"/>
    <cellStyle name="Normal 2 3 2" xfId="159" xr:uid="{00000000-0005-0000-0000-0000E3000000}"/>
    <cellStyle name="Normal 2 3_29(d) - Gas extensions -tariffs" xfId="160" xr:uid="{00000000-0005-0000-0000-0000E4000000}"/>
    <cellStyle name="Normal 2 4" xfId="161" xr:uid="{00000000-0005-0000-0000-0000E5000000}"/>
    <cellStyle name="Normal 2 5" xfId="162" xr:uid="{00000000-0005-0000-0000-0000E6000000}"/>
    <cellStyle name="Normal 2 6" xfId="287" xr:uid="{00000000-0005-0000-0000-0000E7000000}"/>
    <cellStyle name="Normal 2 7" xfId="364" xr:uid="{00000000-0005-0000-0000-0000E8000000}"/>
    <cellStyle name="Normal 2_29(d) - Gas extensions -tariffs" xfId="163" xr:uid="{00000000-0005-0000-0000-0000E9000000}"/>
    <cellStyle name="Normal 20" xfId="359" xr:uid="{00000000-0005-0000-0000-0000EA000000}"/>
    <cellStyle name="Normal 21" xfId="346" xr:uid="{00000000-0005-0000-0000-0000EB000000}"/>
    <cellStyle name="Normal 22" xfId="354" xr:uid="{00000000-0005-0000-0000-0000EC000000}"/>
    <cellStyle name="Normal 23" xfId="350" xr:uid="{00000000-0005-0000-0000-0000ED000000}"/>
    <cellStyle name="Normal 24" xfId="362" xr:uid="{00000000-0005-0000-0000-0000EE000000}"/>
    <cellStyle name="Normal 25" xfId="3" xr:uid="{00000000-0005-0000-0000-0000EF000000}"/>
    <cellStyle name="Normal 3" xfId="164" xr:uid="{00000000-0005-0000-0000-0000F0000000}"/>
    <cellStyle name="Normal 3 2" xfId="165" xr:uid="{00000000-0005-0000-0000-0000F1000000}"/>
    <cellStyle name="Normal 3 3" xfId="294" xr:uid="{00000000-0005-0000-0000-0000F2000000}"/>
    <cellStyle name="Normal 3_29(d) - Gas extensions -tariffs" xfId="166" xr:uid="{00000000-0005-0000-0000-0000F3000000}"/>
    <cellStyle name="Normal 34" xfId="274" xr:uid="{00000000-0005-0000-0000-0000F4000000}"/>
    <cellStyle name="Normal 38" xfId="167" xr:uid="{00000000-0005-0000-0000-0000F5000000}"/>
    <cellStyle name="Normal 38 2" xfId="168" xr:uid="{00000000-0005-0000-0000-0000F6000000}"/>
    <cellStyle name="Normal 38_29(d) - Gas extensions -tariffs" xfId="169" xr:uid="{00000000-0005-0000-0000-0000F7000000}"/>
    <cellStyle name="Normal 4" xfId="170" xr:uid="{00000000-0005-0000-0000-0000F8000000}"/>
    <cellStyle name="Normal 4 2" xfId="171" xr:uid="{00000000-0005-0000-0000-0000F9000000}"/>
    <cellStyle name="Normal 4 3" xfId="172" xr:uid="{00000000-0005-0000-0000-0000FA000000}"/>
    <cellStyle name="Normal 4 3 2" xfId="290" xr:uid="{00000000-0005-0000-0000-0000FB000000}"/>
    <cellStyle name="Normal 4_29(d) - Gas extensions -tariffs" xfId="173" xr:uid="{00000000-0005-0000-0000-0000FC000000}"/>
    <cellStyle name="Normal 40" xfId="174" xr:uid="{00000000-0005-0000-0000-0000FD000000}"/>
    <cellStyle name="Normal 40 2" xfId="175" xr:uid="{00000000-0005-0000-0000-0000FE000000}"/>
    <cellStyle name="Normal 40_29(d) - Gas extensions -tariffs" xfId="176" xr:uid="{00000000-0005-0000-0000-0000FF000000}"/>
    <cellStyle name="Normal 5" xfId="177" xr:uid="{00000000-0005-0000-0000-000000010000}"/>
    <cellStyle name="Normal 5 2" xfId="178" xr:uid="{00000000-0005-0000-0000-000001010000}"/>
    <cellStyle name="Normal 6" xfId="179" xr:uid="{00000000-0005-0000-0000-000002010000}"/>
    <cellStyle name="Normal 6 2" xfId="180" xr:uid="{00000000-0005-0000-0000-000003010000}"/>
    <cellStyle name="Normal 7" xfId="181" xr:uid="{00000000-0005-0000-0000-000004010000}"/>
    <cellStyle name="Normal 7 2" xfId="182" xr:uid="{00000000-0005-0000-0000-000005010000}"/>
    <cellStyle name="Normal 7 2 2" xfId="291" xr:uid="{00000000-0005-0000-0000-000006010000}"/>
    <cellStyle name="Normal 8" xfId="183" xr:uid="{00000000-0005-0000-0000-000007010000}"/>
    <cellStyle name="Normal 9" xfId="184" xr:uid="{00000000-0005-0000-0000-000008010000}"/>
    <cellStyle name="Note 2" xfId="185" xr:uid="{00000000-0005-0000-0000-000009010000}"/>
    <cellStyle name="Note 2 2" xfId="281" xr:uid="{00000000-0005-0000-0000-00000A010000}"/>
    <cellStyle name="OffSheet" xfId="186" xr:uid="{00000000-0005-0000-0000-00000B010000}"/>
    <cellStyle name="Output 2" xfId="187" xr:uid="{00000000-0005-0000-0000-00000C010000}"/>
    <cellStyle name="Output 2 2" xfId="282" xr:uid="{00000000-0005-0000-0000-00000D010000}"/>
    <cellStyle name="Per cent" xfId="2" builtinId="5"/>
    <cellStyle name="Percent [2]" xfId="188" xr:uid="{00000000-0005-0000-0000-00000F010000}"/>
    <cellStyle name="Percent [2] 2" xfId="189" xr:uid="{00000000-0005-0000-0000-000010010000}"/>
    <cellStyle name="Percent [2]_29(d) - Gas extensions -tariffs" xfId="190" xr:uid="{00000000-0005-0000-0000-000011010000}"/>
    <cellStyle name="Percent 10" xfId="276" xr:uid="{00000000-0005-0000-0000-000012010000}"/>
    <cellStyle name="Percent 11" xfId="272" xr:uid="{00000000-0005-0000-0000-000013010000}"/>
    <cellStyle name="Percent 12" xfId="357" xr:uid="{00000000-0005-0000-0000-000014010000}"/>
    <cellStyle name="Percent 13" xfId="347" xr:uid="{00000000-0005-0000-0000-000015010000}"/>
    <cellStyle name="Percent 14" xfId="352" xr:uid="{00000000-0005-0000-0000-000016010000}"/>
    <cellStyle name="Percent 15" xfId="348" xr:uid="{00000000-0005-0000-0000-000017010000}"/>
    <cellStyle name="Percent 16" xfId="351" xr:uid="{00000000-0005-0000-0000-000018010000}"/>
    <cellStyle name="Percent 17" xfId="349" xr:uid="{00000000-0005-0000-0000-000019010000}"/>
    <cellStyle name="Percent 18" xfId="363" xr:uid="{00000000-0005-0000-0000-00001A010000}"/>
    <cellStyle name="Percent 19" xfId="4" xr:uid="{00000000-0005-0000-0000-00001B010000}"/>
    <cellStyle name="Percent 2" xfId="191" xr:uid="{00000000-0005-0000-0000-00001C010000}"/>
    <cellStyle name="Percent 2 2" xfId="192" xr:uid="{00000000-0005-0000-0000-00001D010000}"/>
    <cellStyle name="Percent 2 3" xfId="295" xr:uid="{00000000-0005-0000-0000-00001E010000}"/>
    <cellStyle name="Percent 3" xfId="193" xr:uid="{00000000-0005-0000-0000-00001F010000}"/>
    <cellStyle name="Percent 3 2" xfId="194" xr:uid="{00000000-0005-0000-0000-000020010000}"/>
    <cellStyle name="Percent 4" xfId="195" xr:uid="{00000000-0005-0000-0000-000021010000}"/>
    <cellStyle name="Percent 5" xfId="196" xr:uid="{00000000-0005-0000-0000-000022010000}"/>
    <cellStyle name="Percent 5 2" xfId="292" xr:uid="{00000000-0005-0000-0000-000023010000}"/>
    <cellStyle name="Percent 6" xfId="268" xr:uid="{00000000-0005-0000-0000-000024010000}"/>
    <cellStyle name="Percent 7" xfId="197" xr:uid="{00000000-0005-0000-0000-000025010000}"/>
    <cellStyle name="Percent 8" xfId="270" xr:uid="{00000000-0005-0000-0000-000026010000}"/>
    <cellStyle name="Percent 9" xfId="293" xr:uid="{00000000-0005-0000-0000-000027010000}"/>
    <cellStyle name="Percentage" xfId="198" xr:uid="{00000000-0005-0000-0000-000028010000}"/>
    <cellStyle name="Period Title" xfId="199" xr:uid="{00000000-0005-0000-0000-000029010000}"/>
    <cellStyle name="PSChar" xfId="200" xr:uid="{00000000-0005-0000-0000-00002A010000}"/>
    <cellStyle name="PSDate" xfId="201" xr:uid="{00000000-0005-0000-0000-00002B010000}"/>
    <cellStyle name="PSDec" xfId="202" xr:uid="{00000000-0005-0000-0000-00002C010000}"/>
    <cellStyle name="PSDetail" xfId="203" xr:uid="{00000000-0005-0000-0000-00002D010000}"/>
    <cellStyle name="PSHeading" xfId="204" xr:uid="{00000000-0005-0000-0000-00002E010000}"/>
    <cellStyle name="PSInt" xfId="205" xr:uid="{00000000-0005-0000-0000-00002F010000}"/>
    <cellStyle name="PSSpacer" xfId="206" xr:uid="{00000000-0005-0000-0000-000030010000}"/>
    <cellStyle name="Ratio" xfId="207" xr:uid="{00000000-0005-0000-0000-000031010000}"/>
    <cellStyle name="Ratio 2" xfId="208" xr:uid="{00000000-0005-0000-0000-000032010000}"/>
    <cellStyle name="Ratio_29(d) - Gas extensions -tariffs" xfId="209" xr:uid="{00000000-0005-0000-0000-000033010000}"/>
    <cellStyle name="Right Date" xfId="210" xr:uid="{00000000-0005-0000-0000-000034010000}"/>
    <cellStyle name="Right Number" xfId="211" xr:uid="{00000000-0005-0000-0000-000035010000}"/>
    <cellStyle name="Right Year" xfId="212" xr:uid="{00000000-0005-0000-0000-000036010000}"/>
    <cellStyle name="SAPError" xfId="213" xr:uid="{00000000-0005-0000-0000-000037010000}"/>
    <cellStyle name="SAPError 2" xfId="214" xr:uid="{00000000-0005-0000-0000-000038010000}"/>
    <cellStyle name="SAPKey" xfId="215" xr:uid="{00000000-0005-0000-0000-000039010000}"/>
    <cellStyle name="SAPKey 2" xfId="216" xr:uid="{00000000-0005-0000-0000-00003A010000}"/>
    <cellStyle name="SAPLocked" xfId="217" xr:uid="{00000000-0005-0000-0000-00003B010000}"/>
    <cellStyle name="SAPLocked 2" xfId="218" xr:uid="{00000000-0005-0000-0000-00003C010000}"/>
    <cellStyle name="SAPOutput" xfId="219" xr:uid="{00000000-0005-0000-0000-00003D010000}"/>
    <cellStyle name="SAPOutput 2" xfId="220" xr:uid="{00000000-0005-0000-0000-00003E010000}"/>
    <cellStyle name="SAPSpace" xfId="221" xr:uid="{00000000-0005-0000-0000-00003F010000}"/>
    <cellStyle name="SAPSpace 2" xfId="222" xr:uid="{00000000-0005-0000-0000-000040010000}"/>
    <cellStyle name="SAPText" xfId="223" xr:uid="{00000000-0005-0000-0000-000041010000}"/>
    <cellStyle name="SAPText 2" xfId="224" xr:uid="{00000000-0005-0000-0000-000042010000}"/>
    <cellStyle name="SAPUnLocked" xfId="225" xr:uid="{00000000-0005-0000-0000-000043010000}"/>
    <cellStyle name="SAPUnLocked 2" xfId="226" xr:uid="{00000000-0005-0000-0000-000044010000}"/>
    <cellStyle name="Sheet Title" xfId="227" xr:uid="{00000000-0005-0000-0000-000045010000}"/>
    <cellStyle name="SheetHeader1" xfId="228" xr:uid="{00000000-0005-0000-0000-000046010000}"/>
    <cellStyle name="SheetHeader2" xfId="229" xr:uid="{00000000-0005-0000-0000-000047010000}"/>
    <cellStyle name="SheetHeader3" xfId="230" xr:uid="{00000000-0005-0000-0000-000048010000}"/>
    <cellStyle name="Style 1" xfId="231" xr:uid="{00000000-0005-0000-0000-000049010000}"/>
    <cellStyle name="Style 1 2" xfId="232" xr:uid="{00000000-0005-0000-0000-00004A010000}"/>
    <cellStyle name="Style 1_29(d) - Gas extensions -tariffs" xfId="233" xr:uid="{00000000-0005-0000-0000-00004B010000}"/>
    <cellStyle name="Style2" xfId="234" xr:uid="{00000000-0005-0000-0000-00004C010000}"/>
    <cellStyle name="Style3" xfId="235" xr:uid="{00000000-0005-0000-0000-00004D010000}"/>
    <cellStyle name="Style4" xfId="236" xr:uid="{00000000-0005-0000-0000-00004E010000}"/>
    <cellStyle name="Style4 2" xfId="237" xr:uid="{00000000-0005-0000-0000-00004F010000}"/>
    <cellStyle name="Style4_29(d) - Gas extensions -tariffs" xfId="238" xr:uid="{00000000-0005-0000-0000-000050010000}"/>
    <cellStyle name="Style5" xfId="239" xr:uid="{00000000-0005-0000-0000-000051010000}"/>
    <cellStyle name="Style5 2" xfId="240" xr:uid="{00000000-0005-0000-0000-000052010000}"/>
    <cellStyle name="Style5_29(d) - Gas extensions -tariffs" xfId="241" xr:uid="{00000000-0005-0000-0000-000053010000}"/>
    <cellStyle name="Table Head Green" xfId="242" xr:uid="{00000000-0005-0000-0000-000054010000}"/>
    <cellStyle name="Table Head_pldt" xfId="243" xr:uid="{00000000-0005-0000-0000-000055010000}"/>
    <cellStyle name="Table Source" xfId="244" xr:uid="{00000000-0005-0000-0000-000056010000}"/>
    <cellStyle name="Table Units" xfId="245" xr:uid="{00000000-0005-0000-0000-000057010000}"/>
    <cellStyle name="Table_Heading" xfId="246" xr:uid="{00000000-0005-0000-0000-000058010000}"/>
    <cellStyle name="Technical_Input" xfId="247" xr:uid="{00000000-0005-0000-0000-000059010000}"/>
    <cellStyle name="Text" xfId="248" xr:uid="{00000000-0005-0000-0000-00005A010000}"/>
    <cellStyle name="Text 2" xfId="249" xr:uid="{00000000-0005-0000-0000-00005B010000}"/>
    <cellStyle name="Text 3" xfId="250" xr:uid="{00000000-0005-0000-0000-00005C010000}"/>
    <cellStyle name="Text Head 1" xfId="251" xr:uid="{00000000-0005-0000-0000-00005D010000}"/>
    <cellStyle name="Text Head 2" xfId="252" xr:uid="{00000000-0005-0000-0000-00005E010000}"/>
    <cellStyle name="Text Indent 2" xfId="253" xr:uid="{00000000-0005-0000-0000-00005F010000}"/>
    <cellStyle name="Theirs" xfId="254" xr:uid="{00000000-0005-0000-0000-000060010000}"/>
    <cellStyle name="Title 2" xfId="255" xr:uid="{00000000-0005-0000-0000-000061010000}"/>
    <cellStyle name="TOC 1" xfId="256" xr:uid="{00000000-0005-0000-0000-000062010000}"/>
    <cellStyle name="TOC 2" xfId="257" xr:uid="{00000000-0005-0000-0000-000063010000}"/>
    <cellStyle name="TOC 3" xfId="258" xr:uid="{00000000-0005-0000-0000-000064010000}"/>
    <cellStyle name="Total 2" xfId="259" xr:uid="{00000000-0005-0000-0000-000065010000}"/>
    <cellStyle name="Total 2 2" xfId="283" xr:uid="{00000000-0005-0000-0000-000066010000}"/>
    <cellStyle name="Totals" xfId="260" xr:uid="{00000000-0005-0000-0000-000067010000}"/>
    <cellStyle name="unit" xfId="261" xr:uid="{00000000-0005-0000-0000-000068010000}"/>
    <cellStyle name="User_Input" xfId="262" xr:uid="{00000000-0005-0000-0000-000069010000}"/>
    <cellStyle name="Warning Text 2" xfId="263" xr:uid="{00000000-0005-0000-0000-00006A010000}"/>
    <cellStyle name="year" xfId="264" xr:uid="{00000000-0005-0000-0000-00006B010000}"/>
    <cellStyle name="year 2" xfId="265" xr:uid="{00000000-0005-0000-0000-00006C010000}"/>
    <cellStyle name="year_29(d) - Gas extensions -tariffs" xfId="266" xr:uid="{00000000-0005-0000-0000-00006D010000}"/>
  </cellStyles>
  <dxfs count="5">
    <dxf>
      <fill>
        <patternFill>
          <bgColor theme="0" tint="-0.14996795556505021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34998626667073579"/>
        </patternFill>
      </fill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colors>
    <mruColors>
      <color rgb="FF1C376B"/>
      <color rgb="FF577A7A"/>
      <color rgb="FF94C86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2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560294</xdr:colOff>
      <xdr:row>58</xdr:row>
      <xdr:rowOff>93569</xdr:rowOff>
    </xdr:to>
    <xdr:pic>
      <xdr:nvPicPr>
        <xdr:cNvPr id="2" name="Picture 1" descr="A picture containing snow, outdoor, man, photo&#10;&#10;Description automatically generated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56294" cy="9485219"/>
        </a:xfrm>
        <a:prstGeom prst="rect">
          <a:avLst/>
        </a:prstGeom>
      </xdr:spPr>
    </xdr:pic>
    <xdr:clientData/>
  </xdr:twoCellAnchor>
  <xdr:twoCellAnchor>
    <xdr:from>
      <xdr:col>1</xdr:col>
      <xdr:colOff>62753</xdr:colOff>
      <xdr:row>6</xdr:row>
      <xdr:rowOff>36979</xdr:rowOff>
    </xdr:from>
    <xdr:to>
      <xdr:col>9</xdr:col>
      <xdr:colOff>419100</xdr:colOff>
      <xdr:row>32</xdr:row>
      <xdr:rowOff>62753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72353" y="1008529"/>
          <a:ext cx="5233147" cy="42358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just">
            <a:spcBef>
              <a:spcPts val="3000"/>
            </a:spcBef>
            <a:spcAft>
              <a:spcPts val="6000"/>
            </a:spcAft>
          </a:pPr>
          <a:r>
            <a:rPr lang="en-AU" sz="2400" b="1" kern="1400" spc="25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Attachment 9.1.1</a:t>
          </a:r>
          <a:endParaRPr lang="en-AU" sz="2400" b="1" kern="1400" spc="25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spcAft>
              <a:spcPts val="1000"/>
            </a:spcAft>
          </a:pPr>
          <a:r>
            <a:rPr lang="en-AU" sz="32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Bree Serif" panose="02000503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Incenta</a:t>
          </a:r>
        </a:p>
        <a:p>
          <a:pPr marR="1836420">
            <a:spcAft>
              <a:spcPts val="1000"/>
            </a:spcAft>
          </a:pPr>
          <a:r>
            <a:rPr lang="en-AU" sz="32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Bree Serif" panose="02000503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Replacement of low pressure mains</a:t>
          </a:r>
          <a:endParaRPr lang="en-AU" sz="32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lnSpc>
              <a:spcPts val="1400"/>
            </a:lnSpc>
            <a:spcAft>
              <a:spcPts val="600"/>
            </a:spcAft>
          </a:pPr>
          <a:r>
            <a:rPr lang="en-AU" sz="16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SA Final Plan July 2021 – June 2026</a:t>
          </a:r>
          <a:endParaRPr lang="en-AU" sz="16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  <a:p>
          <a:pPr marR="1836420">
            <a:lnSpc>
              <a:spcPts val="1400"/>
            </a:lnSpc>
            <a:spcAft>
              <a:spcPts val="600"/>
            </a:spcAft>
          </a:pPr>
          <a:r>
            <a:rPr lang="en-AU" sz="16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FS Albert" panose="02000000040000020004" pitchFamily="50" charset="0"/>
              <a:ea typeface="MS Gothic" panose="020B0609070205080204" pitchFamily="49" charset="-128"/>
              <a:cs typeface="Times New Roman" panose="02020603050405020304" pitchFamily="18" charset="0"/>
            </a:rPr>
            <a:t>July 2020</a:t>
          </a:r>
          <a:endParaRPr lang="en-AU" sz="160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Tahoma" panose="020B0604030504040204" pitchFamily="34" charset="0"/>
            <a:ea typeface="MS Gothic" panose="020B0609070205080204" pitchFamily="49" charset="-128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incenta.sharepoint.com/Client%20A-M/Shared%20Documents/AGN/Depreciation%20-%202019%202020/AGN%20depreciation%20issues/Material%20received%20for%20SA/Envestra%20SA%20-%20RFM%20(23%20Mar%202011)%20-%20amended%20-%20final%20decision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ff%20Balchin\Downloads\AER%20-%20Final%20decision%20Australian%20Gas%20Networks%20Access%20Arrangement%20-%20Roll%20forward%20model%20-%20May%20201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eff%20Balchin\AppData\Local\Microsoft\Windows\INetCache\Content.Outlook\16XSB35O\SA%2021%20RFM%2013052020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maining Average Asset Life"/>
      <sheetName val="SA RAB Roll Fwd 1999-2011"/>
      <sheetName val="Inflation"/>
    </sheetNames>
    <sheetDataSet>
      <sheetData sheetId="0"/>
      <sheetData sheetId="1">
        <row r="20">
          <cell r="T20">
            <v>47</v>
          </cell>
        </row>
        <row r="21">
          <cell r="O21">
            <v>370.40335403875167</v>
          </cell>
        </row>
        <row r="28">
          <cell r="T28">
            <v>27</v>
          </cell>
        </row>
        <row r="29">
          <cell r="O29">
            <v>173.14872578234971</v>
          </cell>
        </row>
        <row r="688">
          <cell r="N688">
            <v>1.1425313263632406</v>
          </cell>
        </row>
      </sheetData>
      <sheetData sheetId="2">
        <row r="12">
          <cell r="L12">
            <v>147.5</v>
          </cell>
        </row>
        <row r="14">
          <cell r="D14">
            <v>122.9979511818771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Input"/>
      <sheetName val="Adjustment for previous period"/>
      <sheetName val="Actual RAB roll forward"/>
      <sheetName val="Total actual RAB roll forward"/>
      <sheetName val="Tax value roll forward"/>
      <sheetName val="Asset lives roll forward"/>
      <sheetName val="Summary"/>
    </sheetNames>
    <sheetDataSet>
      <sheetData sheetId="0"/>
      <sheetData sheetId="1">
        <row r="177">
          <cell r="G177">
            <v>3.3333333333333215E-2</v>
          </cell>
          <cell r="H177">
            <v>1.5846066779853007E-2</v>
          </cell>
          <cell r="I177">
            <v>2.5025025025025016E-2</v>
          </cell>
          <cell r="J177">
            <v>2.9296875E-2</v>
          </cell>
          <cell r="K177">
            <v>1.3282732447817747E-2</v>
          </cell>
          <cell r="L177">
            <v>1.3108614232209881E-2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NRs"/>
      <sheetName val="AER lookups"/>
      <sheetName val="AER ETL"/>
      <sheetName val="Business &amp; other details"/>
      <sheetName val="Intro"/>
      <sheetName val="DMS input"/>
      <sheetName val="RFM input"/>
      <sheetName val="Workings"/>
      <sheetName val="Adjustment for previous period"/>
      <sheetName val="Capital base roll forward"/>
      <sheetName val="Total capital base roll forward"/>
      <sheetName val="TAB roll forward"/>
      <sheetName val="Capital base remaining lives"/>
      <sheetName val="TAB remaining lives"/>
      <sheetName val="PTRM input summary"/>
      <sheetName val="Inputs working"/>
    </sheetNames>
    <sheetDataSet>
      <sheetData sheetId="0"/>
      <sheetData sheetId="1"/>
      <sheetData sheetId="2"/>
      <sheetData sheetId="3"/>
      <sheetData sheetId="4"/>
      <sheetData sheetId="5"/>
      <sheetData sheetId="6">
        <row r="282">
          <cell r="G282">
            <v>1.3108614232209881E-2</v>
          </cell>
          <cell r="H282">
            <v>1.4760147601476037E-2</v>
          </cell>
          <cell r="I282">
            <v>1.9090909090909047E-2</v>
          </cell>
          <cell r="J282">
            <v>1.7841213202497874E-2</v>
          </cell>
          <cell r="K282">
            <v>1.8404907975460238E-2</v>
          </cell>
          <cell r="L282">
            <v>0.02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tabSelected="1" workbookViewId="0"/>
  </sheetViews>
  <sheetFormatPr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4C867"/>
  </sheetPr>
  <dimension ref="A1:Z979"/>
  <sheetViews>
    <sheetView zoomScaleNormal="100" workbookViewId="0"/>
  </sheetViews>
  <sheetFormatPr defaultColWidth="7.85546875" defaultRowHeight="13.5" outlineLevelRow="2"/>
  <cols>
    <col min="1" max="1" width="16" style="2" customWidth="1"/>
    <col min="2" max="2" width="43.5703125" style="2" bestFit="1" customWidth="1"/>
    <col min="3" max="3" width="12.7109375" style="2" bestFit="1" customWidth="1"/>
    <col min="4" max="4" width="15" style="2" customWidth="1"/>
    <col min="5" max="5" width="12.28515625" style="2" customWidth="1"/>
    <col min="6" max="6" width="8.7109375" style="2" customWidth="1"/>
    <col min="7" max="7" width="9" style="2" customWidth="1"/>
    <col min="8" max="8" width="10.7109375" style="2" customWidth="1"/>
    <col min="9" max="9" width="11.5703125" style="2" customWidth="1"/>
    <col min="10" max="10" width="13.7109375" style="2" customWidth="1"/>
    <col min="11" max="11" width="2" style="2" customWidth="1"/>
    <col min="12" max="12" width="11.85546875" style="2" customWidth="1"/>
    <col min="13" max="13" width="7.85546875" style="2" customWidth="1"/>
    <col min="14" max="14" width="9.5703125" style="2" bestFit="1" customWidth="1"/>
    <col min="15" max="16384" width="7.85546875" style="2"/>
  </cols>
  <sheetData>
    <row r="1" spans="1:13" s="1" customFormat="1" ht="48" customHeight="1">
      <c r="A1" s="57"/>
      <c r="B1" s="56" t="s">
        <v>0</v>
      </c>
      <c r="C1" s="58"/>
      <c r="D1" s="58"/>
      <c r="E1" s="58"/>
      <c r="F1" s="58"/>
      <c r="G1" s="58"/>
      <c r="H1" s="58"/>
      <c r="I1" s="58"/>
      <c r="J1" s="58"/>
      <c r="K1" s="59"/>
    </row>
    <row r="2" spans="1:13" ht="6" customHeight="1" thickBot="1">
      <c r="A2" s="60"/>
      <c r="B2" s="61"/>
      <c r="C2" s="62"/>
      <c r="D2" s="62"/>
      <c r="E2" s="63"/>
      <c r="F2" s="63"/>
      <c r="G2" s="63"/>
      <c r="H2" s="63"/>
      <c r="I2" s="63"/>
      <c r="J2" s="63"/>
      <c r="K2" s="64"/>
    </row>
    <row r="3" spans="1:13" ht="3.75" customHeight="1">
      <c r="A3" s="60"/>
      <c r="B3" s="36"/>
      <c r="C3" s="37"/>
      <c r="D3" s="37"/>
      <c r="E3" s="38"/>
      <c r="F3" s="37"/>
      <c r="G3" s="37"/>
      <c r="H3" s="37"/>
      <c r="I3" s="39" t="e">
        <f>ROUND(H3/G3,4)</f>
        <v>#DIV/0!</v>
      </c>
      <c r="J3" s="40"/>
      <c r="K3" s="64"/>
    </row>
    <row r="4" spans="1:13" s="105" customFormat="1" ht="28.5" customHeight="1">
      <c r="A4" s="100"/>
      <c r="B4" s="101"/>
      <c r="C4" s="102"/>
      <c r="D4" s="103"/>
      <c r="E4" s="102" t="s">
        <v>1</v>
      </c>
      <c r="F4" s="92"/>
      <c r="G4" s="92"/>
      <c r="H4" s="92"/>
      <c r="I4" s="93"/>
      <c r="J4" s="106" t="s">
        <v>2</v>
      </c>
      <c r="K4" s="104"/>
    </row>
    <row r="5" spans="1:13" ht="3.75" customHeight="1">
      <c r="A5" s="60"/>
      <c r="B5" s="46"/>
      <c r="C5" s="15"/>
      <c r="D5" s="15"/>
      <c r="E5" s="16"/>
      <c r="F5" s="15"/>
      <c r="G5" s="15"/>
      <c r="H5" s="15"/>
      <c r="I5" s="17"/>
      <c r="J5" s="47"/>
      <c r="K5" s="64"/>
    </row>
    <row r="6" spans="1:13" ht="13.5" customHeight="1">
      <c r="A6" s="60"/>
      <c r="B6" s="85" t="s">
        <v>3</v>
      </c>
      <c r="C6" s="86"/>
      <c r="D6" s="86"/>
      <c r="E6" s="87">
        <f>E111+E326+E371+E373+E394+E403+E414</f>
        <v>1004805.6919047049</v>
      </c>
      <c r="F6" s="86"/>
      <c r="G6" s="86"/>
      <c r="H6" s="86"/>
      <c r="I6" s="88"/>
      <c r="J6" s="89">
        <f>J111+J326+J371+J373+J394+J403+J414</f>
        <v>773483.53158467449</v>
      </c>
      <c r="K6" s="64"/>
    </row>
    <row r="7" spans="1:13">
      <c r="A7" s="60"/>
      <c r="B7" s="90" t="s">
        <v>4</v>
      </c>
      <c r="C7" s="91"/>
      <c r="D7" s="91"/>
      <c r="E7" s="91">
        <f>E112+E327+E372+E395+E420</f>
        <v>51571.822749999999</v>
      </c>
      <c r="F7" s="92"/>
      <c r="G7" s="92"/>
      <c r="H7" s="92"/>
      <c r="I7" s="93"/>
      <c r="J7" s="94">
        <f>J112+J327+J372+J395+J420</f>
        <v>40210.685668809376</v>
      </c>
      <c r="K7" s="64"/>
    </row>
    <row r="8" spans="1:13" ht="14.25" thickBot="1">
      <c r="A8" s="60"/>
      <c r="B8" s="95" t="s">
        <v>5</v>
      </c>
      <c r="C8" s="96"/>
      <c r="D8" s="97"/>
      <c r="E8" s="96">
        <f>SUM(E6:E7)</f>
        <v>1056377.5146547048</v>
      </c>
      <c r="F8" s="97"/>
      <c r="G8" s="97"/>
      <c r="H8" s="97"/>
      <c r="I8" s="98"/>
      <c r="J8" s="99">
        <f>SUM(J6:J7)</f>
        <v>813694.21725348383</v>
      </c>
      <c r="K8" s="64"/>
      <c r="M8" s="165"/>
    </row>
    <row r="9" spans="1:13" ht="9.75" customHeight="1" thickBot="1">
      <c r="A9" s="65"/>
      <c r="B9" s="71"/>
      <c r="C9" s="72"/>
      <c r="D9" s="72"/>
      <c r="E9" s="73"/>
      <c r="F9" s="72"/>
      <c r="G9" s="72"/>
      <c r="H9" s="72"/>
      <c r="I9" s="74"/>
      <c r="J9" s="73"/>
      <c r="K9" s="66"/>
    </row>
    <row r="10" spans="1:13" ht="6" customHeight="1" thickBot="1">
      <c r="C10" s="3"/>
      <c r="D10" s="3"/>
      <c r="E10" s="5"/>
      <c r="F10" s="3"/>
      <c r="G10" s="3"/>
      <c r="H10" s="3"/>
      <c r="I10" s="4"/>
      <c r="J10" s="5"/>
    </row>
    <row r="11" spans="1:13" s="1" customFormat="1" ht="48" customHeight="1">
      <c r="A11" s="57"/>
      <c r="B11" s="77" t="s">
        <v>6</v>
      </c>
      <c r="C11" s="58" t="s">
        <v>7</v>
      </c>
      <c r="D11" s="58" t="s">
        <v>8</v>
      </c>
      <c r="E11" s="58" t="s">
        <v>9</v>
      </c>
      <c r="F11" s="58" t="s">
        <v>10</v>
      </c>
      <c r="G11" s="58" t="s">
        <v>11</v>
      </c>
      <c r="H11" s="58" t="s">
        <v>12</v>
      </c>
      <c r="I11" s="58" t="s">
        <v>13</v>
      </c>
      <c r="J11" s="58" t="s">
        <v>14</v>
      </c>
      <c r="K11" s="59"/>
    </row>
    <row r="12" spans="1:13" ht="6" customHeight="1" thickBot="1">
      <c r="A12" s="60"/>
      <c r="B12" s="107"/>
      <c r="C12" s="108"/>
      <c r="D12" s="108"/>
      <c r="E12" s="109"/>
      <c r="F12" s="109"/>
      <c r="G12" s="109"/>
      <c r="H12" s="109"/>
      <c r="I12" s="109"/>
      <c r="J12" s="109"/>
      <c r="K12" s="64"/>
    </row>
    <row r="13" spans="1:13" ht="14.25" outlineLevel="1" thickTop="1">
      <c r="A13" s="60"/>
      <c r="B13" s="8" t="s">
        <v>15</v>
      </c>
      <c r="C13" s="9"/>
      <c r="D13" s="9"/>
      <c r="E13" s="10"/>
      <c r="F13" s="10"/>
      <c r="G13" s="10"/>
      <c r="H13" s="10"/>
      <c r="I13" s="10"/>
      <c r="J13" s="11"/>
      <c r="K13" s="64"/>
      <c r="L13" s="2">
        <v>1</v>
      </c>
    </row>
    <row r="14" spans="1:13" outlineLevel="2">
      <c r="A14" s="60"/>
      <c r="B14" s="12" t="s">
        <v>16</v>
      </c>
      <c r="C14" s="7"/>
      <c r="D14" s="7"/>
      <c r="E14" s="7"/>
      <c r="F14" s="7"/>
      <c r="G14" s="7"/>
      <c r="H14" s="7"/>
      <c r="I14" s="7"/>
      <c r="J14" s="13"/>
      <c r="K14" s="64"/>
      <c r="L14" s="2">
        <f>L13+1</f>
        <v>2</v>
      </c>
    </row>
    <row r="15" spans="1:13" outlineLevel="2">
      <c r="A15" s="60"/>
      <c r="B15" s="14" t="s">
        <v>3</v>
      </c>
      <c r="C15" s="115">
        <v>75.44</v>
      </c>
      <c r="D15" s="115">
        <v>81.349999999999994</v>
      </c>
      <c r="E15" s="16">
        <f>C15*D15</f>
        <v>6137.043999999999</v>
      </c>
      <c r="F15" s="115">
        <v>19.23</v>
      </c>
      <c r="G15" s="115">
        <v>130</v>
      </c>
      <c r="H15" s="115">
        <v>5</v>
      </c>
      <c r="I15" s="17">
        <f>ROUND(H15/G15,4)</f>
        <v>3.85E-2</v>
      </c>
      <c r="J15" s="18">
        <f>IF((G15-F15)/G15&gt;I15,(G15-F15)/G15,I15)*C15*D15</f>
        <v>5229.2335683076917</v>
      </c>
      <c r="K15" s="64"/>
      <c r="L15" s="2">
        <f t="shared" ref="L15:L78" si="0">L14+1</f>
        <v>3</v>
      </c>
    </row>
    <row r="16" spans="1:13" outlineLevel="2">
      <c r="A16" s="60"/>
      <c r="B16" s="14" t="s">
        <v>4</v>
      </c>
      <c r="C16" s="115">
        <v>45.62</v>
      </c>
      <c r="D16" s="115">
        <v>75.465000000000003</v>
      </c>
      <c r="E16" s="16">
        <f>C16*D16</f>
        <v>3442.7132999999999</v>
      </c>
      <c r="F16" s="115">
        <v>33.770000000000003</v>
      </c>
      <c r="G16" s="115">
        <v>130</v>
      </c>
      <c r="H16" s="115">
        <v>5</v>
      </c>
      <c r="I16" s="17">
        <f>ROUND(H16/G16,4)</f>
        <v>3.85E-2</v>
      </c>
      <c r="J16" s="18">
        <f>IF((G16-F16)/G16&gt;I16,(G16-F16)/G16,I16)*C16*D16</f>
        <v>2548.4023142999995</v>
      </c>
      <c r="K16" s="64"/>
      <c r="L16" s="2">
        <f t="shared" si="0"/>
        <v>4</v>
      </c>
    </row>
    <row r="17" spans="1:12" outlineLevel="1">
      <c r="A17" s="60"/>
      <c r="B17" s="19" t="str">
        <f>"Total " &amp;B14</f>
        <v>Total Low Pressure Protected Steel</v>
      </c>
      <c r="C17" s="20">
        <f>SUM(C15:C16)</f>
        <v>121.06</v>
      </c>
      <c r="D17" s="20">
        <f>((D15*$C15)+(D16*$C16))/SUM($C15:$C16)</f>
        <v>79.132308772509489</v>
      </c>
      <c r="E17" s="21">
        <f>SUM(E15:E16)</f>
        <v>9579.7572999999993</v>
      </c>
      <c r="F17" s="20">
        <f>((F15*$C15)+(F16*$C16))/SUM($C15:$C16)</f>
        <v>24.709223525524532</v>
      </c>
      <c r="G17" s="20">
        <f>((G15*$C15)+(G16*$C16))/SUM($C15:$C16)</f>
        <v>130</v>
      </c>
      <c r="H17" s="20">
        <f>((H15*$C15)+(H16*$C16))/SUM($C15:$C16)</f>
        <v>4.9999999999999991</v>
      </c>
      <c r="I17" s="116">
        <f>((I15*$C15)+(I16*$C16))/SUM($C15:$C16)</f>
        <v>3.85E-2</v>
      </c>
      <c r="J17" s="22">
        <f>SUM(J15:J16)</f>
        <v>7777.6358826076912</v>
      </c>
      <c r="K17" s="64"/>
      <c r="L17" s="2">
        <f t="shared" si="0"/>
        <v>5</v>
      </c>
    </row>
    <row r="18" spans="1:12" ht="6" customHeight="1" outlineLevel="1">
      <c r="A18" s="60"/>
      <c r="B18" s="14"/>
      <c r="C18" s="15"/>
      <c r="D18" s="15"/>
      <c r="E18" s="16"/>
      <c r="F18" s="15"/>
      <c r="G18" s="15"/>
      <c r="H18" s="15"/>
      <c r="I18" s="17"/>
      <c r="J18" s="18"/>
      <c r="K18" s="64"/>
      <c r="L18" s="2">
        <f t="shared" si="0"/>
        <v>6</v>
      </c>
    </row>
    <row r="19" spans="1:12" outlineLevel="2">
      <c r="A19" s="60"/>
      <c r="B19" s="23" t="s">
        <v>17</v>
      </c>
      <c r="C19" s="15"/>
      <c r="D19" s="15"/>
      <c r="E19" s="16"/>
      <c r="F19" s="15"/>
      <c r="G19" s="15"/>
      <c r="H19" s="15"/>
      <c r="I19" s="17"/>
      <c r="J19" s="18"/>
      <c r="K19" s="64"/>
      <c r="L19" s="2">
        <f t="shared" si="0"/>
        <v>7</v>
      </c>
    </row>
    <row r="20" spans="1:12" outlineLevel="2">
      <c r="A20" s="60"/>
      <c r="B20" s="14" t="s">
        <v>3</v>
      </c>
      <c r="C20" s="115">
        <v>394.11</v>
      </c>
      <c r="D20" s="115">
        <v>126.803</v>
      </c>
      <c r="E20" s="16">
        <f>C20*D20</f>
        <v>49974.330329999997</v>
      </c>
      <c r="F20" s="115">
        <v>17</v>
      </c>
      <c r="G20" s="115">
        <v>130</v>
      </c>
      <c r="H20" s="115">
        <v>5</v>
      </c>
      <c r="I20" s="17">
        <f>ROUND(H20/G20,4)</f>
        <v>3.85E-2</v>
      </c>
      <c r="J20" s="18">
        <f>IF((G20-F20)/G20&gt;I20,(G20-F20)/G20,I20)*C20*D20</f>
        <v>43439.225594538468</v>
      </c>
      <c r="K20" s="64"/>
      <c r="L20" s="2">
        <f t="shared" si="0"/>
        <v>8</v>
      </c>
    </row>
    <row r="21" spans="1:12" outlineLevel="2">
      <c r="A21" s="60"/>
      <c r="B21" s="14" t="s">
        <v>4</v>
      </c>
      <c r="C21" s="115">
        <v>67.66</v>
      </c>
      <c r="D21" s="115">
        <v>94.844999999999999</v>
      </c>
      <c r="E21" s="16">
        <f>C21*D21</f>
        <v>6417.2127</v>
      </c>
      <c r="F21" s="115">
        <v>19.850000000000001</v>
      </c>
      <c r="G21" s="115">
        <v>130</v>
      </c>
      <c r="H21" s="115">
        <v>5</v>
      </c>
      <c r="I21" s="17">
        <f>ROUND(H21/G21,4)</f>
        <v>3.85E-2</v>
      </c>
      <c r="J21" s="18">
        <f>IF((G21-F21)/G21&gt;I21,(G21-F21)/G21,I21)*C21*D21</f>
        <v>5437.3536838846148</v>
      </c>
      <c r="K21" s="64"/>
      <c r="L21" s="2">
        <f t="shared" si="0"/>
        <v>9</v>
      </c>
    </row>
    <row r="22" spans="1:12" outlineLevel="1">
      <c r="A22" s="60"/>
      <c r="B22" s="19" t="str">
        <f>"Total " &amp;B19</f>
        <v>Total Medium Pressure Protected Steel</v>
      </c>
      <c r="C22" s="20">
        <f>SUM(C20:C21)</f>
        <v>461.77</v>
      </c>
      <c r="D22" s="20">
        <f>((D20*C20)+(D21*C21))/SUM(C20:C21)</f>
        <v>122.12041282456634</v>
      </c>
      <c r="E22" s="21">
        <f>SUM(E20:E21)</f>
        <v>56391.543030000001</v>
      </c>
      <c r="F22" s="20">
        <f>((F20*$C20)+(F21*$C21))/SUM($C20:$C21)</f>
        <v>17.417591008510733</v>
      </c>
      <c r="G22" s="20">
        <f>((G20*$C20)+(G21*$C21))/SUM($C20:$C21)</f>
        <v>130.00000000000003</v>
      </c>
      <c r="H22" s="20">
        <f>((H20*$C20)+(H21*$C21))/SUM($C20:$C21)</f>
        <v>5.0000000000000009</v>
      </c>
      <c r="I22" s="116">
        <f>((I20*$C20)+(I21*$C21))/SUM($C20:$C21)</f>
        <v>3.85E-2</v>
      </c>
      <c r="J22" s="22">
        <f>SUM(J20:J21)</f>
        <v>48876.57927842308</v>
      </c>
      <c r="K22" s="64"/>
      <c r="L22" s="2">
        <f t="shared" si="0"/>
        <v>10</v>
      </c>
    </row>
    <row r="23" spans="1:12" ht="6" customHeight="1" outlineLevel="1">
      <c r="A23" s="60"/>
      <c r="B23" s="14"/>
      <c r="C23" s="15"/>
      <c r="D23" s="15"/>
      <c r="E23" s="16"/>
      <c r="F23" s="15"/>
      <c r="G23" s="15"/>
      <c r="H23" s="15"/>
      <c r="I23" s="17"/>
      <c r="J23" s="18"/>
      <c r="K23" s="64"/>
      <c r="L23" s="2">
        <f t="shared" si="0"/>
        <v>11</v>
      </c>
    </row>
    <row r="24" spans="1:12" outlineLevel="2">
      <c r="A24" s="60"/>
      <c r="B24" s="23" t="s">
        <v>18</v>
      </c>
      <c r="C24" s="15"/>
      <c r="D24" s="15"/>
      <c r="E24" s="16"/>
      <c r="F24" s="15"/>
      <c r="G24" s="15"/>
      <c r="H24" s="15"/>
      <c r="I24" s="17"/>
      <c r="J24" s="18"/>
      <c r="K24" s="64"/>
      <c r="L24" s="2">
        <f t="shared" si="0"/>
        <v>12</v>
      </c>
    </row>
    <row r="25" spans="1:12" outlineLevel="2">
      <c r="A25" s="60"/>
      <c r="B25" s="14" t="s">
        <v>3</v>
      </c>
      <c r="C25" s="115">
        <v>973.83</v>
      </c>
      <c r="D25" s="115">
        <v>108.251</v>
      </c>
      <c r="E25" s="16">
        <f>C25*D25</f>
        <v>105418.07133000001</v>
      </c>
      <c r="F25" s="115">
        <v>22</v>
      </c>
      <c r="G25" s="115">
        <v>130</v>
      </c>
      <c r="H25" s="115">
        <v>5</v>
      </c>
      <c r="I25" s="17">
        <f>ROUND(H25/G25,4)</f>
        <v>3.85E-2</v>
      </c>
      <c r="J25" s="18">
        <f>IF((G25-F25)/G25&gt;I25,(G25-F25)/G25,I25)*C25*D25</f>
        <v>87578.090028000021</v>
      </c>
      <c r="K25" s="64"/>
      <c r="L25" s="2">
        <f t="shared" si="0"/>
        <v>13</v>
      </c>
    </row>
    <row r="26" spans="1:12" outlineLevel="2">
      <c r="A26" s="60"/>
      <c r="B26" s="14" t="s">
        <v>4</v>
      </c>
      <c r="C26" s="115">
        <v>75.45</v>
      </c>
      <c r="D26" s="115">
        <v>103.765</v>
      </c>
      <c r="E26" s="16">
        <f>C26*D26</f>
        <v>7829.0692500000005</v>
      </c>
      <c r="F26" s="115">
        <v>21.37</v>
      </c>
      <c r="G26" s="115">
        <v>130</v>
      </c>
      <c r="H26" s="115">
        <v>5</v>
      </c>
      <c r="I26" s="17">
        <f>ROUND(H26/G26,4)</f>
        <v>3.85E-2</v>
      </c>
      <c r="J26" s="18">
        <f>IF((G26-F26)/G26&gt;I26,(G26-F26)/G26,I26)*C26*D26</f>
        <v>6542.0907125192298</v>
      </c>
      <c r="K26" s="64"/>
      <c r="L26" s="2">
        <f t="shared" si="0"/>
        <v>14</v>
      </c>
    </row>
    <row r="27" spans="1:12" outlineLevel="1">
      <c r="A27" s="60"/>
      <c r="B27" s="19" t="str">
        <f>"Total " &amp;B24</f>
        <v>Total High Pressure Protected Steel</v>
      </c>
      <c r="C27" s="20">
        <f>SUM(C25:C26)</f>
        <v>1049.28</v>
      </c>
      <c r="D27" s="20">
        <f>((D25*C25)+(D26*C26))/SUM(C25:C26)</f>
        <v>107.92842766468436</v>
      </c>
      <c r="E27" s="21">
        <f>SUM(E25:E26)</f>
        <v>113247.14058000001</v>
      </c>
      <c r="F27" s="20">
        <f>((F25*$C25)+(F26*$C26))/SUM($C25:$C26)</f>
        <v>21.954698936413543</v>
      </c>
      <c r="G27" s="20">
        <f>((G25*$C25)+(G26*$C26))/SUM($C25:$C26)</f>
        <v>130.00000000000003</v>
      </c>
      <c r="H27" s="20">
        <f>((H25*$C25)+(H26*$C26))/SUM($C25:$C26)</f>
        <v>5.0000000000000009</v>
      </c>
      <c r="I27" s="116">
        <f>((I25*$C25)+(I26*$C26))/SUM($C25:$C26)</f>
        <v>3.8500000000000006E-2</v>
      </c>
      <c r="J27" s="22">
        <f>SUM(J25:J26)</f>
        <v>94120.180740519252</v>
      </c>
      <c r="K27" s="64"/>
      <c r="L27" s="2">
        <f t="shared" si="0"/>
        <v>15</v>
      </c>
    </row>
    <row r="28" spans="1:12" ht="6" customHeight="1" outlineLevel="1">
      <c r="A28" s="60"/>
      <c r="B28" s="14"/>
      <c r="C28" s="15"/>
      <c r="D28" s="15"/>
      <c r="E28" s="16"/>
      <c r="F28" s="15"/>
      <c r="G28" s="15"/>
      <c r="H28" s="15"/>
      <c r="I28" s="17"/>
      <c r="J28" s="18"/>
      <c r="K28" s="64"/>
      <c r="L28" s="2">
        <f t="shared" si="0"/>
        <v>16</v>
      </c>
    </row>
    <row r="29" spans="1:12" outlineLevel="2">
      <c r="A29" s="60"/>
      <c r="B29" s="23" t="s">
        <v>19</v>
      </c>
      <c r="C29" s="15"/>
      <c r="D29" s="15"/>
      <c r="E29" s="16"/>
      <c r="F29" s="15"/>
      <c r="G29" s="15"/>
      <c r="H29" s="15"/>
      <c r="I29" s="17"/>
      <c r="J29" s="18"/>
      <c r="K29" s="64"/>
      <c r="L29" s="2">
        <f t="shared" si="0"/>
        <v>17</v>
      </c>
    </row>
    <row r="30" spans="1:12" outlineLevel="2">
      <c r="A30" s="60"/>
      <c r="B30" s="14" t="s">
        <v>3</v>
      </c>
      <c r="C30" s="115">
        <v>168.46600000000001</v>
      </c>
      <c r="D30" s="115">
        <v>380.815</v>
      </c>
      <c r="E30" s="16">
        <f>C30*D30</f>
        <v>64154.379790000006</v>
      </c>
      <c r="F30" s="115">
        <v>23</v>
      </c>
      <c r="G30" s="115">
        <v>130</v>
      </c>
      <c r="H30" s="115">
        <v>5</v>
      </c>
      <c r="I30" s="17">
        <f>ROUND(H30/G30,4)</f>
        <v>3.85E-2</v>
      </c>
      <c r="J30" s="18">
        <f>IF((G30-F30)/G30&gt;I30,(G30-F30)/G30,I30)*C30*D30</f>
        <v>52803.989519461531</v>
      </c>
      <c r="K30" s="64"/>
      <c r="L30" s="2">
        <f t="shared" si="0"/>
        <v>18</v>
      </c>
    </row>
    <row r="31" spans="1:12" outlineLevel="2">
      <c r="A31" s="60"/>
      <c r="B31" s="14" t="s">
        <v>4</v>
      </c>
      <c r="C31" s="115">
        <v>4.8499999999999996</v>
      </c>
      <c r="D31" s="115">
        <v>269.84500000000003</v>
      </c>
      <c r="E31" s="16">
        <f>C31*D31</f>
        <v>1308.7482500000001</v>
      </c>
      <c r="F31" s="115">
        <v>31</v>
      </c>
      <c r="G31" s="115">
        <v>60</v>
      </c>
      <c r="H31" s="115">
        <v>3.5</v>
      </c>
      <c r="I31" s="17">
        <f>ROUND(H31/G31,4)</f>
        <v>5.8299999999999998E-2</v>
      </c>
      <c r="J31" s="18">
        <f>IF((G31-F31)/G31&gt;I31,(G31-F31)/G31,I31)*C31*D31</f>
        <v>632.5616541666667</v>
      </c>
      <c r="K31" s="64"/>
      <c r="L31" s="2">
        <f t="shared" si="0"/>
        <v>19</v>
      </c>
    </row>
    <row r="32" spans="1:12" outlineLevel="1">
      <c r="A32" s="60"/>
      <c r="B32" s="19" t="str">
        <f>"Total " &amp;B29</f>
        <v>Total Transmission Pressure Protected Steel</v>
      </c>
      <c r="C32" s="20">
        <f>SUM(C30:C31)</f>
        <v>173.316</v>
      </c>
      <c r="D32" s="20">
        <f>((D30*C30)+(D31*C31))/SUM(C30:C31)</f>
        <v>377.70966350481206</v>
      </c>
      <c r="E32" s="21">
        <f>SUM(E30:E31)</f>
        <v>65463.128040000003</v>
      </c>
      <c r="F32" s="20">
        <f>((F30*$C30)+(F31*$C31))/SUM($C30:$C31)</f>
        <v>23.223868540700224</v>
      </c>
      <c r="G32" s="20">
        <f>((G30*$C30)+(G31*$C31))/SUM($C30:$C31)</f>
        <v>128.04115026887305</v>
      </c>
      <c r="H32" s="20">
        <f>((H30*$C30)+(H31*$C31))/SUM($C30:$C31)</f>
        <v>4.9580246486187081</v>
      </c>
      <c r="I32" s="116">
        <f>((I30*$C30)+(I31*$C31))/SUM($C30:$C31)</f>
        <v>3.9054074638233058E-2</v>
      </c>
      <c r="J32" s="22">
        <f>SUM(J30:J31)</f>
        <v>53436.551173628199</v>
      </c>
      <c r="K32" s="64"/>
      <c r="L32" s="2">
        <f t="shared" si="0"/>
        <v>20</v>
      </c>
    </row>
    <row r="33" spans="1:14" ht="6" customHeight="1" outlineLevel="1">
      <c r="A33" s="60"/>
      <c r="B33" s="14"/>
      <c r="C33" s="15"/>
      <c r="D33" s="15"/>
      <c r="E33" s="16"/>
      <c r="F33" s="15"/>
      <c r="G33" s="15"/>
      <c r="H33" s="15"/>
      <c r="I33" s="17"/>
      <c r="J33" s="18"/>
      <c r="K33" s="64"/>
      <c r="L33" s="2">
        <f t="shared" si="0"/>
        <v>21</v>
      </c>
    </row>
    <row r="34" spans="1:14" ht="14.25" thickBot="1">
      <c r="A34" s="60"/>
      <c r="B34" s="24" t="s">
        <v>20</v>
      </c>
      <c r="C34" s="25">
        <f>C17+C22+C27+C32</f>
        <v>1805.4259999999999</v>
      </c>
      <c r="D34" s="25">
        <f>((D17*$C17)+(D22*$C22)+(D27*$C27)+(D32*$C32))/$C34</f>
        <v>135.52567036810152</v>
      </c>
      <c r="E34" s="26">
        <f>E17+E22+E27+E32</f>
        <v>244681.56895000002</v>
      </c>
      <c r="F34" s="25">
        <f>((F17*$C17)+(F22*$C22)+(F27*$C27)+(F32*$C32))/$C34</f>
        <v>21.100789564346588</v>
      </c>
      <c r="G34" s="25">
        <f>ROUND(((G17*$C17)+(G22*$C22)+(G27*$C27)+(G32*$C32))/$C34,0)</f>
        <v>130</v>
      </c>
      <c r="H34" s="25">
        <f>((H17*$C17)+(H22*$C22)+(H27*$C27)+(H32*$C32))/$C34</f>
        <v>4.9959704800972187</v>
      </c>
      <c r="I34" s="117">
        <f>((I17*$C17)+(I22*$C22)+(I27*$C27)+(I32*$C32))/$C34</f>
        <v>3.855318966271673E-2</v>
      </c>
      <c r="J34" s="28">
        <f>J17+J22+J27+J32</f>
        <v>204210.94707517821</v>
      </c>
      <c r="K34" s="64"/>
      <c r="L34" s="2">
        <f t="shared" si="0"/>
        <v>22</v>
      </c>
    </row>
    <row r="35" spans="1:14" ht="15" thickTop="1" thickBot="1">
      <c r="A35" s="60"/>
      <c r="B35" s="110"/>
      <c r="C35" s="111"/>
      <c r="D35" s="111"/>
      <c r="E35" s="112"/>
      <c r="F35" s="111"/>
      <c r="G35" s="111"/>
      <c r="H35" s="111"/>
      <c r="I35" s="113"/>
      <c r="J35" s="112"/>
      <c r="K35" s="64"/>
      <c r="L35" s="2">
        <f t="shared" si="0"/>
        <v>23</v>
      </c>
    </row>
    <row r="36" spans="1:14" ht="14.25" outlineLevel="1" thickTop="1">
      <c r="A36" s="60"/>
      <c r="B36" s="8" t="s">
        <v>21</v>
      </c>
      <c r="C36" s="29"/>
      <c r="D36" s="29"/>
      <c r="E36" s="30"/>
      <c r="F36" s="29"/>
      <c r="G36" s="29"/>
      <c r="H36" s="29"/>
      <c r="I36" s="31"/>
      <c r="J36" s="32"/>
      <c r="K36" s="64"/>
      <c r="L36" s="2">
        <f t="shared" si="0"/>
        <v>24</v>
      </c>
    </row>
    <row r="37" spans="1:14" outlineLevel="2">
      <c r="A37" s="60"/>
      <c r="B37" s="12" t="s">
        <v>22</v>
      </c>
      <c r="C37" s="7"/>
      <c r="D37" s="7"/>
      <c r="E37" s="33"/>
      <c r="F37" s="7"/>
      <c r="G37" s="7"/>
      <c r="H37" s="7"/>
      <c r="I37" s="7"/>
      <c r="J37" s="34"/>
      <c r="K37" s="64"/>
      <c r="L37" s="2">
        <f t="shared" si="0"/>
        <v>25</v>
      </c>
    </row>
    <row r="38" spans="1:14" outlineLevel="2">
      <c r="A38" s="60"/>
      <c r="B38" s="14" t="s">
        <v>3</v>
      </c>
      <c r="C38" s="115">
        <v>216.42</v>
      </c>
      <c r="D38" s="115">
        <v>81.625</v>
      </c>
      <c r="E38" s="16">
        <f>C38*D38</f>
        <v>17665.282499999998</v>
      </c>
      <c r="F38" s="115">
        <v>47.23</v>
      </c>
      <c r="G38" s="115">
        <v>65</v>
      </c>
      <c r="H38" s="115">
        <v>32</v>
      </c>
      <c r="I38" s="119">
        <v>0.49</v>
      </c>
      <c r="J38" s="18">
        <f>IF(F38&lt;G38,(I38-1)/G38*F38+1,I38)*C38*D38</f>
        <v>11118.99082058077</v>
      </c>
      <c r="K38" s="64"/>
      <c r="L38" s="2">
        <f t="shared" si="0"/>
        <v>26</v>
      </c>
      <c r="N38" s="6"/>
    </row>
    <row r="39" spans="1:14" outlineLevel="2">
      <c r="A39" s="60"/>
      <c r="B39" s="14" t="s">
        <v>4</v>
      </c>
      <c r="C39" s="115">
        <v>0</v>
      </c>
      <c r="D39" s="115">
        <v>0</v>
      </c>
      <c r="E39" s="16">
        <f>C39*D39*1000</f>
        <v>0</v>
      </c>
      <c r="F39" s="115">
        <v>0</v>
      </c>
      <c r="G39" s="115">
        <v>0</v>
      </c>
      <c r="H39" s="115">
        <v>0</v>
      </c>
      <c r="I39" s="15">
        <v>0</v>
      </c>
      <c r="J39" s="18">
        <f>IF(F39&lt;G39,(I39-1)/G39*F39+1,I39)*C39*D39*1000</f>
        <v>0</v>
      </c>
      <c r="K39" s="64"/>
      <c r="L39" s="2">
        <f t="shared" si="0"/>
        <v>27</v>
      </c>
      <c r="N39" s="6"/>
    </row>
    <row r="40" spans="1:14" outlineLevel="1">
      <c r="A40" s="60"/>
      <c r="B40" s="19" t="str">
        <f>"Total " &amp;B37</f>
        <v>Total Low Pressure Unprotected Steel</v>
      </c>
      <c r="C40" s="20">
        <f>SUM(C38:C39)</f>
        <v>216.42</v>
      </c>
      <c r="D40" s="20">
        <f>((D38*$C38)+(D39*$C39))/SUM($C38:$C39)</f>
        <v>81.625</v>
      </c>
      <c r="E40" s="21">
        <f>SUM(E38:E39)</f>
        <v>17665.282499999998</v>
      </c>
      <c r="F40" s="20">
        <f>((F38*$C38)+(F39*$C39))/SUM($C38:$C39)</f>
        <v>47.23</v>
      </c>
      <c r="G40" s="20">
        <f>((G38*$C38)+(G39*$C39))/SUM($C38:$C39)</f>
        <v>65</v>
      </c>
      <c r="H40" s="20">
        <f>((H38*$C38)+(H39*$C39))/SUM($C38:$C39)</f>
        <v>32</v>
      </c>
      <c r="I40" s="116">
        <f>((I38*$C38)+(I39*$C39))/SUM($C38:$C39)</f>
        <v>0.48999999999999994</v>
      </c>
      <c r="J40" s="22">
        <f>SUM(J38:J39)</f>
        <v>11118.99082058077</v>
      </c>
      <c r="K40" s="64"/>
      <c r="L40" s="2">
        <f t="shared" si="0"/>
        <v>28</v>
      </c>
    </row>
    <row r="41" spans="1:14" ht="6" customHeight="1" outlineLevel="1">
      <c r="A41" s="60"/>
      <c r="B41" s="14"/>
      <c r="C41" s="15"/>
      <c r="D41" s="15"/>
      <c r="E41" s="16"/>
      <c r="F41" s="15"/>
      <c r="G41" s="15"/>
      <c r="H41" s="15"/>
      <c r="I41" s="118"/>
      <c r="J41" s="18"/>
      <c r="K41" s="64"/>
      <c r="L41" s="2">
        <f t="shared" si="0"/>
        <v>29</v>
      </c>
    </row>
    <row r="42" spans="1:14" outlineLevel="2">
      <c r="A42" s="60"/>
      <c r="B42" s="23" t="s">
        <v>23</v>
      </c>
      <c r="C42" s="15"/>
      <c r="D42" s="15"/>
      <c r="E42" s="16"/>
      <c r="F42" s="15"/>
      <c r="G42" s="15"/>
      <c r="H42" s="15"/>
      <c r="I42" s="118"/>
      <c r="J42" s="18"/>
      <c r="K42" s="64"/>
      <c r="L42" s="2">
        <f t="shared" si="0"/>
        <v>30</v>
      </c>
    </row>
    <row r="43" spans="1:14" outlineLevel="2">
      <c r="A43" s="60"/>
      <c r="B43" s="14" t="s">
        <v>3</v>
      </c>
      <c r="C43" s="115">
        <v>20.32</v>
      </c>
      <c r="D43" s="115">
        <v>127.2</v>
      </c>
      <c r="E43" s="16">
        <f>C43*D43</f>
        <v>2584.7040000000002</v>
      </c>
      <c r="F43" s="115">
        <v>45</v>
      </c>
      <c r="G43" s="115">
        <v>65</v>
      </c>
      <c r="H43" s="115">
        <v>32</v>
      </c>
      <c r="I43" s="119">
        <v>0.49</v>
      </c>
      <c r="J43" s="18">
        <f>IF(F43&lt;G43,(I43-1)/G43*F43+1,I43)*C43*D43</f>
        <v>1672.1046646153848</v>
      </c>
      <c r="K43" s="64"/>
      <c r="L43" s="2">
        <f t="shared" si="0"/>
        <v>31</v>
      </c>
      <c r="N43" s="6"/>
    </row>
    <row r="44" spans="1:14" outlineLevel="2">
      <c r="A44" s="60"/>
      <c r="B44" s="14" t="s">
        <v>4</v>
      </c>
      <c r="C44" s="115">
        <v>0</v>
      </c>
      <c r="D44" s="115">
        <v>0</v>
      </c>
      <c r="E44" s="16">
        <f>C44*D44*1000</f>
        <v>0</v>
      </c>
      <c r="F44" s="115">
        <v>0</v>
      </c>
      <c r="G44" s="115">
        <v>0</v>
      </c>
      <c r="H44" s="115">
        <v>0</v>
      </c>
      <c r="I44" s="15">
        <v>0</v>
      </c>
      <c r="J44" s="18">
        <f>IF(F44&lt;G44,(I44-1)/G44*F44+1,I44)*C44*D44*1000</f>
        <v>0</v>
      </c>
      <c r="K44" s="64"/>
      <c r="L44" s="2">
        <f t="shared" si="0"/>
        <v>32</v>
      </c>
    </row>
    <row r="45" spans="1:14" outlineLevel="1">
      <c r="A45" s="60"/>
      <c r="B45" s="19" t="str">
        <f>"Total " &amp;B42</f>
        <v>Total Medium Pressure Unprotected Steel</v>
      </c>
      <c r="C45" s="20">
        <f>SUM(C43:C44)</f>
        <v>20.32</v>
      </c>
      <c r="D45" s="20">
        <f>((D43*$C43)+(D44*$C44))/SUM($C43:$C44)</f>
        <v>127.2</v>
      </c>
      <c r="E45" s="21">
        <f>SUM(E43:E44)</f>
        <v>2584.7040000000002</v>
      </c>
      <c r="F45" s="20">
        <f>((F43*$C43)+(F44*$C44))/SUM($C43:$C44)</f>
        <v>45</v>
      </c>
      <c r="G45" s="20">
        <f>((G43*$C43)+(G44*$C44))/SUM($C43:$C44)</f>
        <v>65</v>
      </c>
      <c r="H45" s="20">
        <f>((H43*$C43)+(H44*$C44))/SUM($C43:$C44)</f>
        <v>32</v>
      </c>
      <c r="I45" s="116">
        <f>((I43*$C43)+(I44*$C44))/SUM($C43:$C44)</f>
        <v>0.49</v>
      </c>
      <c r="J45" s="22">
        <f>SUM(J43:J44)</f>
        <v>1672.1046646153848</v>
      </c>
      <c r="K45" s="64"/>
      <c r="L45" s="2">
        <f t="shared" si="0"/>
        <v>33</v>
      </c>
    </row>
    <row r="46" spans="1:14" ht="6" customHeight="1" outlineLevel="1">
      <c r="A46" s="60"/>
      <c r="B46" s="14"/>
      <c r="C46" s="15"/>
      <c r="D46" s="15"/>
      <c r="E46" s="16"/>
      <c r="F46" s="15"/>
      <c r="G46" s="15"/>
      <c r="H46" s="15"/>
      <c r="I46" s="118"/>
      <c r="J46" s="18"/>
      <c r="K46" s="64"/>
      <c r="L46" s="2">
        <f t="shared" si="0"/>
        <v>34</v>
      </c>
    </row>
    <row r="47" spans="1:14" outlineLevel="2">
      <c r="A47" s="60"/>
      <c r="B47" s="23" t="s">
        <v>24</v>
      </c>
      <c r="C47" s="15"/>
      <c r="D47" s="15"/>
      <c r="E47" s="16"/>
      <c r="F47" s="15"/>
      <c r="G47" s="15"/>
      <c r="H47" s="15"/>
      <c r="I47" s="118"/>
      <c r="J47" s="18"/>
      <c r="K47" s="64"/>
      <c r="L47" s="2">
        <f t="shared" si="0"/>
        <v>35</v>
      </c>
    </row>
    <row r="48" spans="1:14" outlineLevel="2">
      <c r="A48" s="60"/>
      <c r="B48" s="14" t="s">
        <v>3</v>
      </c>
      <c r="C48" s="115">
        <v>104.02</v>
      </c>
      <c r="D48" s="115">
        <v>108.24</v>
      </c>
      <c r="E48" s="16">
        <f>C48*D48</f>
        <v>11259.1248</v>
      </c>
      <c r="F48" s="115">
        <v>48.13</v>
      </c>
      <c r="G48" s="115">
        <v>65</v>
      </c>
      <c r="H48" s="115">
        <v>32</v>
      </c>
      <c r="I48" s="119">
        <v>0.49</v>
      </c>
      <c r="J48" s="18">
        <f>IF(F48&lt;G48,(I48-1)/G48*F48+1,I48)*C48*D48</f>
        <v>7007.2808757193834</v>
      </c>
      <c r="K48" s="64"/>
      <c r="L48" s="2">
        <f t="shared" si="0"/>
        <v>36</v>
      </c>
      <c r="N48" s="6"/>
    </row>
    <row r="49" spans="1:14" outlineLevel="2">
      <c r="A49" s="60"/>
      <c r="B49" s="14" t="s">
        <v>4</v>
      </c>
      <c r="C49" s="115">
        <v>0</v>
      </c>
      <c r="D49" s="115">
        <v>0</v>
      </c>
      <c r="E49" s="16">
        <f>C49*D49*1000</f>
        <v>0</v>
      </c>
      <c r="F49" s="115">
        <v>0</v>
      </c>
      <c r="G49" s="115">
        <v>0</v>
      </c>
      <c r="H49" s="115">
        <v>0</v>
      </c>
      <c r="I49" s="15">
        <v>0</v>
      </c>
      <c r="J49" s="18">
        <f>IF(F49&lt;G49,(I49-1)/G49*F49+1,I49)*C49*D49*1000</f>
        <v>0</v>
      </c>
      <c r="K49" s="64"/>
      <c r="L49" s="2">
        <f t="shared" si="0"/>
        <v>37</v>
      </c>
    </row>
    <row r="50" spans="1:14" outlineLevel="1">
      <c r="A50" s="60"/>
      <c r="B50" s="19" t="str">
        <f>"Total " &amp;B47</f>
        <v>Total High Pressure Unprotected Steel</v>
      </c>
      <c r="C50" s="20">
        <f>SUM(C48:C49)</f>
        <v>104.02</v>
      </c>
      <c r="D50" s="20">
        <f>((D48*$C48)+(D49*$C49))/SUM($C48:$C49)</f>
        <v>108.24</v>
      </c>
      <c r="E50" s="21">
        <f>SUM(E48:E49)</f>
        <v>11259.1248</v>
      </c>
      <c r="F50" s="20">
        <f>((F48*$C48)+(F49*$C49))/SUM($C48:$C49)</f>
        <v>48.13</v>
      </c>
      <c r="G50" s="20">
        <f>((G48*$C48)+(G49*$C49))/SUM($C48:$C49)</f>
        <v>65</v>
      </c>
      <c r="H50" s="20">
        <f>((H48*$C48)+(H49*$C49))/SUM($C48:$C49)</f>
        <v>32</v>
      </c>
      <c r="I50" s="116">
        <f>((I48*$C48)+(I49*$C49))/SUM($C48:$C49)</f>
        <v>0.49</v>
      </c>
      <c r="J50" s="22">
        <f>SUM(J48:J49)</f>
        <v>7007.2808757193834</v>
      </c>
      <c r="K50" s="64"/>
      <c r="L50" s="2">
        <f t="shared" si="0"/>
        <v>38</v>
      </c>
    </row>
    <row r="51" spans="1:14" ht="6" customHeight="1" outlineLevel="1">
      <c r="A51" s="60"/>
      <c r="B51" s="14"/>
      <c r="C51" s="15"/>
      <c r="D51" s="15"/>
      <c r="E51" s="16"/>
      <c r="F51" s="15"/>
      <c r="G51" s="15"/>
      <c r="H51" s="15"/>
      <c r="I51" s="118"/>
      <c r="J51" s="18"/>
      <c r="K51" s="64"/>
      <c r="L51" s="2">
        <f t="shared" si="0"/>
        <v>39</v>
      </c>
    </row>
    <row r="52" spans="1:14" ht="14.25" thickBot="1">
      <c r="A52" s="60"/>
      <c r="B52" s="24" t="s">
        <v>25</v>
      </c>
      <c r="C52" s="25">
        <f>C40+C45+C50</f>
        <v>340.76</v>
      </c>
      <c r="D52" s="25">
        <f>((D40*$C40)+(D45*$C45)+(D50*$C50))/$C52</f>
        <v>92.467165453691734</v>
      </c>
      <c r="E52" s="26">
        <f>E40+E45+E50</f>
        <v>31509.111299999997</v>
      </c>
      <c r="F52" s="25">
        <f>((F40*$C40)+(F45*$C45)+(F50*$C50))/$C52</f>
        <v>47.371754900809954</v>
      </c>
      <c r="G52" s="25">
        <f>((G40*$C40)+(G45*$C45)+(G50*$C50))/$C52</f>
        <v>65</v>
      </c>
      <c r="H52" s="25">
        <f>((H40*$C40)+(H45*$C45)+(H50*$C50))/$C52</f>
        <v>32</v>
      </c>
      <c r="I52" s="117">
        <f>((I40*$C40)+(I45*$C45)+(I50*$C50))/$C52</f>
        <v>0.49</v>
      </c>
      <c r="J52" s="28">
        <f>J40+J45+J50</f>
        <v>19798.376360915536</v>
      </c>
      <c r="K52" s="64"/>
      <c r="L52" s="2">
        <f t="shared" si="0"/>
        <v>40</v>
      </c>
    </row>
    <row r="53" spans="1:14" ht="15" thickTop="1" thickBot="1">
      <c r="A53" s="60"/>
      <c r="B53" s="114"/>
      <c r="C53" s="111"/>
      <c r="D53" s="111"/>
      <c r="E53" s="112"/>
      <c r="F53" s="111"/>
      <c r="G53" s="111"/>
      <c r="H53" s="111"/>
      <c r="I53" s="113"/>
      <c r="J53" s="112"/>
      <c r="K53" s="64"/>
      <c r="L53" s="2">
        <f t="shared" si="0"/>
        <v>41</v>
      </c>
    </row>
    <row r="54" spans="1:14" ht="14.25" outlineLevel="1" thickTop="1">
      <c r="A54" s="60"/>
      <c r="B54" s="35" t="s">
        <v>26</v>
      </c>
      <c r="C54" s="29"/>
      <c r="D54" s="29"/>
      <c r="E54" s="30"/>
      <c r="F54" s="29"/>
      <c r="G54" s="29"/>
      <c r="H54" s="29"/>
      <c r="I54" s="31"/>
      <c r="J54" s="32"/>
      <c r="K54" s="64"/>
      <c r="L54" s="2">
        <f t="shared" si="0"/>
        <v>42</v>
      </c>
    </row>
    <row r="55" spans="1:14" outlineLevel="2">
      <c r="A55" s="60"/>
      <c r="B55" s="12" t="s">
        <v>27</v>
      </c>
      <c r="C55" s="7"/>
      <c r="D55" s="7"/>
      <c r="E55" s="33"/>
      <c r="F55" s="7"/>
      <c r="G55" s="7"/>
      <c r="H55" s="7"/>
      <c r="I55" s="7"/>
      <c r="J55" s="34"/>
      <c r="K55" s="64"/>
      <c r="L55" s="2">
        <f t="shared" si="0"/>
        <v>43</v>
      </c>
    </row>
    <row r="56" spans="1:14" outlineLevel="2">
      <c r="A56" s="60"/>
      <c r="B56" s="14" t="s">
        <v>3</v>
      </c>
      <c r="C56" s="115">
        <v>693.31</v>
      </c>
      <c r="D56" s="115">
        <v>103.181</v>
      </c>
      <c r="E56" s="16">
        <f>C56*D56</f>
        <v>71536.419109999988</v>
      </c>
      <c r="F56" s="115">
        <v>14.78</v>
      </c>
      <c r="G56" s="115">
        <v>70</v>
      </c>
      <c r="H56" s="115">
        <v>5</v>
      </c>
      <c r="I56" s="17">
        <f>ROUND(H56/G56,4)</f>
        <v>7.1400000000000005E-2</v>
      </c>
      <c r="J56" s="18">
        <f>IF((G56-F56)/G56&gt;I56,(G56-F56)/G56,I56)*C56*D56</f>
        <v>56432.015189345708</v>
      </c>
      <c r="K56" s="64"/>
      <c r="L56" s="2">
        <f t="shared" si="0"/>
        <v>44</v>
      </c>
      <c r="N56" s="6"/>
    </row>
    <row r="57" spans="1:14" outlineLevel="2">
      <c r="A57" s="60"/>
      <c r="B57" s="14" t="s">
        <v>4</v>
      </c>
      <c r="C57" s="115">
        <v>29.99</v>
      </c>
      <c r="D57" s="115">
        <v>108.255</v>
      </c>
      <c r="E57" s="16">
        <f>C57*D57</f>
        <v>3246.5674499999996</v>
      </c>
      <c r="F57" s="115">
        <v>12.73</v>
      </c>
      <c r="G57" s="115">
        <v>70</v>
      </c>
      <c r="H57" s="115">
        <v>5</v>
      </c>
      <c r="I57" s="17">
        <f>ROUND(H57/G57,4)</f>
        <v>7.1400000000000005E-2</v>
      </c>
      <c r="J57" s="18">
        <f>IF((G57-F57)/G57&gt;I57,(G57-F57)/G57,I57)*C57*D57</f>
        <v>2656.1559694499992</v>
      </c>
      <c r="K57" s="64"/>
      <c r="L57" s="2">
        <f t="shared" si="0"/>
        <v>45</v>
      </c>
      <c r="N57" s="6"/>
    </row>
    <row r="58" spans="1:14" outlineLevel="1">
      <c r="A58" s="60"/>
      <c r="B58" s="19" t="str">
        <f>"Total " &amp;B55</f>
        <v>Total Low Pressure Polyethylene</v>
      </c>
      <c r="C58" s="20">
        <f>SUM(C56:C57)</f>
        <v>723.3</v>
      </c>
      <c r="D58" s="20">
        <f>((D56*$C56)+(D57*$C57))/SUM($C56:$C57)</f>
        <v>103.39138194386837</v>
      </c>
      <c r="E58" s="21">
        <f>SUM(E56:E57)</f>
        <v>74782.98655999999</v>
      </c>
      <c r="F58" s="20">
        <f>((F56*$C56)+(F57*$C57))/SUM($C56:$C57)</f>
        <v>14.69500138255219</v>
      </c>
      <c r="G58" s="20">
        <f>((G56*$C56)+(G57*$C57))/SUM($C56:$C57)</f>
        <v>70</v>
      </c>
      <c r="H58" s="20">
        <f>((H56*$C56)+(H57*$C57))/SUM($C56:$C57)</f>
        <v>5</v>
      </c>
      <c r="I58" s="116">
        <f>((I56*$C56)+(I57*$C57))/SUM($C56:$C57)</f>
        <v>7.1400000000000005E-2</v>
      </c>
      <c r="J58" s="22">
        <f>SUM(J56:J57)</f>
        <v>59088.171158795711</v>
      </c>
      <c r="K58" s="64"/>
      <c r="L58" s="2">
        <f t="shared" si="0"/>
        <v>46</v>
      </c>
    </row>
    <row r="59" spans="1:14" ht="6" customHeight="1" outlineLevel="1">
      <c r="A59" s="60"/>
      <c r="B59" s="14"/>
      <c r="C59" s="15"/>
      <c r="D59" s="15"/>
      <c r="E59" s="16"/>
      <c r="F59" s="15"/>
      <c r="G59" s="15"/>
      <c r="H59" s="15"/>
      <c r="I59" s="17"/>
      <c r="J59" s="18"/>
      <c r="K59" s="64"/>
      <c r="L59" s="2">
        <f t="shared" si="0"/>
        <v>47</v>
      </c>
    </row>
    <row r="60" spans="1:14" outlineLevel="2">
      <c r="A60" s="60"/>
      <c r="B60" s="23" t="s">
        <v>28</v>
      </c>
      <c r="C60" s="15"/>
      <c r="D60" s="15"/>
      <c r="E60" s="16"/>
      <c r="F60" s="15"/>
      <c r="G60" s="15"/>
      <c r="H60" s="15"/>
      <c r="I60" s="17"/>
      <c r="J60" s="18"/>
      <c r="K60" s="64"/>
      <c r="L60" s="2">
        <f t="shared" si="0"/>
        <v>48</v>
      </c>
    </row>
    <row r="61" spans="1:14" outlineLevel="2">
      <c r="A61" s="60"/>
      <c r="B61" s="14" t="s">
        <v>3</v>
      </c>
      <c r="C61" s="115">
        <v>692.36</v>
      </c>
      <c r="D61" s="115">
        <v>74.094999999999999</v>
      </c>
      <c r="E61" s="16">
        <f>C61*D61</f>
        <v>51300.414199999999</v>
      </c>
      <c r="F61" s="115">
        <v>12.23</v>
      </c>
      <c r="G61" s="115">
        <v>70</v>
      </c>
      <c r="H61" s="115">
        <v>5</v>
      </c>
      <c r="I61" s="17">
        <f>ROUND(H61/G61,4)</f>
        <v>7.1400000000000005E-2</v>
      </c>
      <c r="J61" s="18">
        <f>IF((G61-F61)/G61&gt;I61,(G61-F61)/G61,I61)*C61*D61</f>
        <v>42337.49897619999</v>
      </c>
      <c r="K61" s="64"/>
      <c r="L61" s="2">
        <f t="shared" si="0"/>
        <v>49</v>
      </c>
      <c r="N61" s="6"/>
    </row>
    <row r="62" spans="1:14" outlineLevel="2">
      <c r="A62" s="60"/>
      <c r="B62" s="14" t="s">
        <v>4</v>
      </c>
      <c r="C62" s="115">
        <v>19.72</v>
      </c>
      <c r="D62" s="115">
        <v>77.400000000000006</v>
      </c>
      <c r="E62" s="16">
        <f>C62*D62</f>
        <v>1526.328</v>
      </c>
      <c r="F62" s="115">
        <v>9.26</v>
      </c>
      <c r="G62" s="115">
        <v>70</v>
      </c>
      <c r="H62" s="115">
        <v>5</v>
      </c>
      <c r="I62" s="17">
        <f>ROUND(H62/G62,4)</f>
        <v>7.1400000000000005E-2</v>
      </c>
      <c r="J62" s="18">
        <f>IF((G62-F62)/G62&gt;I62,(G62-F62)/G62,I62)*C62*D62</f>
        <v>1324.4166102857146</v>
      </c>
      <c r="K62" s="64"/>
      <c r="L62" s="2">
        <f t="shared" si="0"/>
        <v>50</v>
      </c>
    </row>
    <row r="63" spans="1:14" outlineLevel="1">
      <c r="A63" s="60"/>
      <c r="B63" s="19" t="str">
        <f>"Total " &amp;B60</f>
        <v>Total Medium Pressure Polyethylene</v>
      </c>
      <c r="C63" s="20">
        <f>SUM(C61:C62)</f>
        <v>712.08</v>
      </c>
      <c r="D63" s="20">
        <f>((D61*$C61)+(D62*$C62))/SUM($C61:$C62)</f>
        <v>74.186527075609476</v>
      </c>
      <c r="E63" s="21">
        <f>SUM(E61:E62)</f>
        <v>52826.742200000001</v>
      </c>
      <c r="F63" s="20">
        <f>((F61*$C61)+(F62*$C62))/SUM($C61:$C62)</f>
        <v>12.147750252780586</v>
      </c>
      <c r="G63" s="20">
        <f>((G61*$C61)+(G62*$C62))/SUM($C61:$C62)</f>
        <v>70</v>
      </c>
      <c r="H63" s="20">
        <f>((H61*$C61)+(H62*$C62))/SUM($C61:$C62)</f>
        <v>5</v>
      </c>
      <c r="I63" s="116">
        <f>((I61*$C61)+(I62*$C62))/SUM($C61:$C62)</f>
        <v>7.1400000000000005E-2</v>
      </c>
      <c r="J63" s="22">
        <f>SUM(J61:J62)</f>
        <v>43661.915586485702</v>
      </c>
      <c r="K63" s="64"/>
      <c r="L63" s="2">
        <f t="shared" si="0"/>
        <v>51</v>
      </c>
    </row>
    <row r="64" spans="1:14" ht="6" customHeight="1" outlineLevel="1">
      <c r="A64" s="60"/>
      <c r="B64" s="14"/>
      <c r="C64" s="15"/>
      <c r="D64" s="15"/>
      <c r="E64" s="16"/>
      <c r="F64" s="15"/>
      <c r="G64" s="15"/>
      <c r="H64" s="15"/>
      <c r="I64" s="17"/>
      <c r="J64" s="18"/>
      <c r="K64" s="64"/>
      <c r="L64" s="2">
        <f t="shared" si="0"/>
        <v>52</v>
      </c>
    </row>
    <row r="65" spans="1:14" outlineLevel="2">
      <c r="A65" s="60"/>
      <c r="B65" s="23" t="s">
        <v>29</v>
      </c>
      <c r="C65" s="15"/>
      <c r="D65" s="15"/>
      <c r="E65" s="16"/>
      <c r="F65" s="15"/>
      <c r="G65" s="15"/>
      <c r="H65" s="15"/>
      <c r="I65" s="17"/>
      <c r="J65" s="18"/>
      <c r="K65" s="64"/>
      <c r="L65" s="2">
        <f t="shared" si="0"/>
        <v>53</v>
      </c>
    </row>
    <row r="66" spans="1:14" outlineLevel="2">
      <c r="A66" s="60"/>
      <c r="B66" s="14" t="s">
        <v>3</v>
      </c>
      <c r="C66" s="115">
        <v>853.97</v>
      </c>
      <c r="D66" s="115">
        <v>68.679000000000002</v>
      </c>
      <c r="E66" s="16">
        <f>C66*D66</f>
        <v>58649.805630000003</v>
      </c>
      <c r="F66" s="115">
        <v>8.58</v>
      </c>
      <c r="G66" s="115">
        <v>70</v>
      </c>
      <c r="H66" s="115">
        <v>5</v>
      </c>
      <c r="I66" s="17">
        <f>ROUND(H66/G66,4)</f>
        <v>7.1400000000000005E-2</v>
      </c>
      <c r="J66" s="18">
        <f>IF((G66-F66)/G66&gt;I66,(G66-F66)/G66,I66)*C66*D66</f>
        <v>51461.01516849429</v>
      </c>
      <c r="K66" s="64"/>
      <c r="L66" s="2">
        <f t="shared" si="0"/>
        <v>54</v>
      </c>
      <c r="N66" s="6"/>
    </row>
    <row r="67" spans="1:14" outlineLevel="2">
      <c r="A67" s="60"/>
      <c r="B67" s="14" t="s">
        <v>4</v>
      </c>
      <c r="C67" s="115">
        <v>85.23</v>
      </c>
      <c r="D67" s="115">
        <v>67.37</v>
      </c>
      <c r="E67" s="16">
        <f>C67*D67</f>
        <v>5741.9451000000008</v>
      </c>
      <c r="F67" s="115">
        <v>12.01</v>
      </c>
      <c r="G67" s="115">
        <v>70</v>
      </c>
      <c r="H67" s="115">
        <v>5</v>
      </c>
      <c r="I67" s="17">
        <f>ROUND(H67/G67,4)</f>
        <v>7.1400000000000005E-2</v>
      </c>
      <c r="J67" s="18">
        <f>IF((G67-F67)/G67&gt;I67,(G67-F67)/G67,I67)*C67*D67</f>
        <v>4756.7913764142859</v>
      </c>
      <c r="K67" s="64"/>
      <c r="L67" s="2">
        <f t="shared" si="0"/>
        <v>55</v>
      </c>
    </row>
    <row r="68" spans="1:14" outlineLevel="1">
      <c r="A68" s="60"/>
      <c r="B68" s="19" t="str">
        <f>"Total " &amp;B65</f>
        <v>Total High Pressure Polyethylene</v>
      </c>
      <c r="C68" s="20">
        <f>SUM(C66:C67)</f>
        <v>939.2</v>
      </c>
      <c r="D68" s="20">
        <f>((D66*$C66)+(D67*$C67))/SUM($C66:$C67)</f>
        <v>68.560211594974447</v>
      </c>
      <c r="E68" s="21">
        <f>SUM(E66:E67)</f>
        <v>64391.75073</v>
      </c>
      <c r="F68" s="20">
        <f>((F66*$C66)+(F67*$C67))/SUM($C66:$C67)</f>
        <v>8.8912637350936965</v>
      </c>
      <c r="G68" s="20">
        <f>((G66*$C66)+(G67*$C67))/SUM($C66:$C67)</f>
        <v>70</v>
      </c>
      <c r="H68" s="20">
        <f>((H66*$C66)+(H67*$C67))/SUM($C66:$C67)</f>
        <v>5</v>
      </c>
      <c r="I68" s="116">
        <f>((I66*$C66)+(I67*$C67))/SUM($C66:$C67)</f>
        <v>7.1400000000000005E-2</v>
      </c>
      <c r="J68" s="22">
        <f>SUM(J66:J67)</f>
        <v>56217.806544908577</v>
      </c>
      <c r="K68" s="64"/>
      <c r="L68" s="2">
        <f t="shared" si="0"/>
        <v>56</v>
      </c>
    </row>
    <row r="69" spans="1:14" ht="6" customHeight="1" outlineLevel="1">
      <c r="A69" s="60"/>
      <c r="B69" s="14"/>
      <c r="C69" s="15"/>
      <c r="D69" s="15"/>
      <c r="E69" s="16"/>
      <c r="F69" s="15"/>
      <c r="G69" s="15"/>
      <c r="H69" s="15"/>
      <c r="I69" s="17"/>
      <c r="J69" s="18"/>
      <c r="K69" s="64"/>
      <c r="L69" s="2">
        <f t="shared" si="0"/>
        <v>57</v>
      </c>
    </row>
    <row r="70" spans="1:14" ht="14.25" thickBot="1">
      <c r="A70" s="60"/>
      <c r="B70" s="24" t="s">
        <v>30</v>
      </c>
      <c r="C70" s="25">
        <f>C58+C63+C68</f>
        <v>2374.58</v>
      </c>
      <c r="D70" s="25">
        <f>((D58*$C58)+(D63*$C63)+(D68*$C68))/$C70</f>
        <v>80.857027133219347</v>
      </c>
      <c r="E70" s="26">
        <f>E58+E63+E68</f>
        <v>192001.47949</v>
      </c>
      <c r="F70" s="25">
        <f>((F58*$C58)+(F63*$C63)+(F68*$C68))/$C70</f>
        <v>11.635632153896688</v>
      </c>
      <c r="G70" s="25">
        <f>((G58*$C58)+(G63*$C63)+(G68*$C68))/$C70</f>
        <v>70</v>
      </c>
      <c r="H70" s="25">
        <f>((H58*$C58)+(H63*$C63)+(H68*$C68))/$C70</f>
        <v>5</v>
      </c>
      <c r="I70" s="117">
        <f>((I58*$C58)+(I63*$C63)+(I68*$C68))/$C70</f>
        <v>7.1399999999999991E-2</v>
      </c>
      <c r="J70" s="28">
        <f>J58+J63+J68</f>
        <v>158967.89329019</v>
      </c>
      <c r="K70" s="64"/>
      <c r="L70" s="2">
        <f t="shared" si="0"/>
        <v>58</v>
      </c>
    </row>
    <row r="71" spans="1:14" ht="15" thickTop="1" thickBot="1">
      <c r="A71" s="60"/>
      <c r="B71" s="114"/>
      <c r="C71" s="111"/>
      <c r="D71" s="111"/>
      <c r="E71" s="112"/>
      <c r="F71" s="111"/>
      <c r="G71" s="111"/>
      <c r="H71" s="111"/>
      <c r="I71" s="113"/>
      <c r="J71" s="112"/>
      <c r="K71" s="64"/>
      <c r="L71" s="2">
        <f t="shared" si="0"/>
        <v>59</v>
      </c>
    </row>
    <row r="72" spans="1:14" ht="14.25" outlineLevel="1" thickTop="1">
      <c r="A72" s="60"/>
      <c r="B72" s="8" t="s">
        <v>31</v>
      </c>
      <c r="C72" s="29"/>
      <c r="D72" s="29"/>
      <c r="E72" s="30"/>
      <c r="F72" s="29"/>
      <c r="G72" s="29"/>
      <c r="H72" s="29"/>
      <c r="I72" s="31"/>
      <c r="J72" s="32"/>
      <c r="K72" s="64"/>
      <c r="L72" s="2">
        <f t="shared" si="0"/>
        <v>60</v>
      </c>
    </row>
    <row r="73" spans="1:14" outlineLevel="2">
      <c r="A73" s="60"/>
      <c r="B73" s="12" t="s">
        <v>32</v>
      </c>
      <c r="C73" s="7"/>
      <c r="D73" s="7"/>
      <c r="E73" s="33"/>
      <c r="F73" s="7"/>
      <c r="G73" s="7"/>
      <c r="H73" s="7"/>
      <c r="I73" s="7"/>
      <c r="J73" s="34"/>
      <c r="K73" s="64"/>
      <c r="L73" s="2">
        <f t="shared" si="0"/>
        <v>61</v>
      </c>
    </row>
    <row r="74" spans="1:14" outlineLevel="2">
      <c r="A74" s="60"/>
      <c r="B74" s="14" t="s">
        <v>3</v>
      </c>
      <c r="C74" s="115">
        <v>126.77</v>
      </c>
      <c r="D74" s="115">
        <v>116.49</v>
      </c>
      <c r="E74" s="16">
        <f>C74*D74</f>
        <v>14767.4373</v>
      </c>
      <c r="F74" s="115">
        <v>41.090301987091181</v>
      </c>
      <c r="G74" s="115">
        <v>85</v>
      </c>
      <c r="H74" s="115">
        <f>G74*I74</f>
        <v>5.0999999999999996</v>
      </c>
      <c r="I74" s="119">
        <v>0.06</v>
      </c>
      <c r="J74" s="18">
        <f>IF(F74&lt;G74,(I74-1)/G74*F74+1,I74)*C74*D74</f>
        <v>8056.9602324883735</v>
      </c>
      <c r="K74" s="64"/>
      <c r="L74" s="2">
        <f t="shared" si="0"/>
        <v>62</v>
      </c>
      <c r="N74" s="6"/>
    </row>
    <row r="75" spans="1:14" outlineLevel="2">
      <c r="A75" s="60"/>
      <c r="B75" s="14" t="s">
        <v>4</v>
      </c>
      <c r="C75" s="115">
        <v>0</v>
      </c>
      <c r="D75" s="115">
        <v>0</v>
      </c>
      <c r="E75" s="16">
        <f>C75*D75*1000</f>
        <v>0</v>
      </c>
      <c r="F75" s="115">
        <v>0</v>
      </c>
      <c r="G75" s="115">
        <v>0</v>
      </c>
      <c r="H75" s="115">
        <v>0</v>
      </c>
      <c r="I75" s="15">
        <v>0</v>
      </c>
      <c r="J75" s="18">
        <f>IF(F75&lt;G75,(I75-1)/G75*F75+1,I75)*C75*D75*1000</f>
        <v>0</v>
      </c>
      <c r="K75" s="64"/>
      <c r="L75" s="2">
        <f t="shared" si="0"/>
        <v>63</v>
      </c>
      <c r="N75" s="6"/>
    </row>
    <row r="76" spans="1:14" outlineLevel="1">
      <c r="A76" s="60"/>
      <c r="B76" s="19" t="str">
        <f>"Total " &amp;B73</f>
        <v>Total Low Pressure Cast Iron Direct Burial</v>
      </c>
      <c r="C76" s="20">
        <f>SUM(C74:C75)</f>
        <v>126.77</v>
      </c>
      <c r="D76" s="20">
        <f>((D74*$C74)+(D75*$C75))/SUM($C74:$C75)</f>
        <v>116.49</v>
      </c>
      <c r="E76" s="21">
        <f>SUM(E74:E75)</f>
        <v>14767.4373</v>
      </c>
      <c r="F76" s="20">
        <f>((F74*$C74)+(F75*$C75))/SUM($C74:$C75)</f>
        <v>41.090301987091181</v>
      </c>
      <c r="G76" s="20">
        <f>((G74*$C74)+(G75*$C75))/SUM($C74:$C75)</f>
        <v>85</v>
      </c>
      <c r="H76" s="20">
        <f>((H74*$C74)+(H75*$C75))/SUM($C74:$C75)</f>
        <v>5.0999999999999996</v>
      </c>
      <c r="I76" s="116">
        <f>((I74*$C74)+(I75*$C75))/SUM($C74:$C75)</f>
        <v>0.06</v>
      </c>
      <c r="J76" s="22">
        <f>SUM(J74:J75)</f>
        <v>8056.9602324883735</v>
      </c>
      <c r="K76" s="64"/>
      <c r="L76" s="2">
        <f t="shared" si="0"/>
        <v>64</v>
      </c>
    </row>
    <row r="77" spans="1:14" ht="6" customHeight="1" outlineLevel="1">
      <c r="A77" s="60"/>
      <c r="B77" s="14"/>
      <c r="C77" s="15"/>
      <c r="D77" s="15"/>
      <c r="E77" s="16"/>
      <c r="F77" s="15"/>
      <c r="G77" s="15"/>
      <c r="H77" s="15"/>
      <c r="I77" s="118"/>
      <c r="J77" s="18"/>
      <c r="K77" s="64"/>
      <c r="L77" s="2">
        <f t="shared" si="0"/>
        <v>65</v>
      </c>
    </row>
    <row r="78" spans="1:14" outlineLevel="2">
      <c r="A78" s="60"/>
      <c r="B78" s="23" t="s">
        <v>33</v>
      </c>
      <c r="C78" s="15"/>
      <c r="D78" s="15"/>
      <c r="E78" s="16"/>
      <c r="F78" s="15"/>
      <c r="G78" s="15"/>
      <c r="H78" s="15"/>
      <c r="I78" s="118"/>
      <c r="J78" s="18"/>
      <c r="K78" s="64"/>
      <c r="L78" s="2">
        <f t="shared" si="0"/>
        <v>66</v>
      </c>
    </row>
    <row r="79" spans="1:14" outlineLevel="2">
      <c r="A79" s="60"/>
      <c r="B79" s="14" t="s">
        <v>3</v>
      </c>
      <c r="C79" s="115">
        <v>24.77</v>
      </c>
      <c r="D79" s="115">
        <v>221.5</v>
      </c>
      <c r="E79" s="16">
        <f>C79*D79</f>
        <v>5486.5550000000003</v>
      </c>
      <c r="F79" s="115">
        <v>61.4571419392148</v>
      </c>
      <c r="G79" s="115">
        <v>85</v>
      </c>
      <c r="H79" s="115">
        <f>G79*I79</f>
        <v>5.0999999999999996</v>
      </c>
      <c r="I79" s="119">
        <v>0.06</v>
      </c>
      <c r="J79" s="18">
        <f>IF(F79&lt;G79,(I79-1)/G79*F79+1,I79)*C79*D79</f>
        <v>1757.652529073293</v>
      </c>
      <c r="K79" s="64"/>
      <c r="L79" s="2">
        <f t="shared" ref="L79:L142" si="1">L78+1</f>
        <v>67</v>
      </c>
      <c r="N79" s="6"/>
    </row>
    <row r="80" spans="1:14" outlineLevel="2">
      <c r="A80" s="60"/>
      <c r="B80" s="14" t="s">
        <v>4</v>
      </c>
      <c r="C80" s="115">
        <v>0</v>
      </c>
      <c r="D80" s="115">
        <v>0</v>
      </c>
      <c r="E80" s="16">
        <f>C80*D80*1000</f>
        <v>0</v>
      </c>
      <c r="F80" s="115">
        <v>0</v>
      </c>
      <c r="G80" s="115">
        <v>0</v>
      </c>
      <c r="H80" s="115">
        <v>0</v>
      </c>
      <c r="I80" s="15">
        <v>0</v>
      </c>
      <c r="J80" s="18">
        <f>IF(F80&lt;G80,(I80-1)/G80*F80+1,I80)*C80*D80*1000</f>
        <v>0</v>
      </c>
      <c r="K80" s="64"/>
      <c r="L80" s="2">
        <f t="shared" si="1"/>
        <v>68</v>
      </c>
    </row>
    <row r="81" spans="1:14" outlineLevel="1">
      <c r="A81" s="60"/>
      <c r="B81" s="19" t="str">
        <f>"Total " &amp;B78</f>
        <v>Total Medium Pressure Cast Iron Direct Burial</v>
      </c>
      <c r="C81" s="20">
        <f>SUM(C79:C80)</f>
        <v>24.77</v>
      </c>
      <c r="D81" s="20">
        <f>((D79*$C79)+(D80*$C80))/SUM($C79:$C80)</f>
        <v>221.50000000000003</v>
      </c>
      <c r="E81" s="21">
        <f>SUM(E79:E80)</f>
        <v>5486.5550000000003</v>
      </c>
      <c r="F81" s="20">
        <f>((F79*$C79)+(F80*$C80))/SUM($C79:$C80)</f>
        <v>61.4571419392148</v>
      </c>
      <c r="G81" s="20">
        <f>((G79*$C79)+(G80*$C80))/SUM($C79:$C80)</f>
        <v>85</v>
      </c>
      <c r="H81" s="20">
        <f>((H79*$C79)+(H80*$C80))/SUM($C79:$C80)</f>
        <v>5.0999999999999996</v>
      </c>
      <c r="I81" s="116">
        <f>((I79*$C79)+(I80*$C80))/SUM($C79:$C80)</f>
        <v>0.06</v>
      </c>
      <c r="J81" s="22">
        <f>SUM(J79:J80)</f>
        <v>1757.652529073293</v>
      </c>
      <c r="K81" s="64"/>
      <c r="L81" s="2">
        <f t="shared" si="1"/>
        <v>69</v>
      </c>
    </row>
    <row r="82" spans="1:14" ht="6" customHeight="1" outlineLevel="1">
      <c r="A82" s="60"/>
      <c r="B82" s="14"/>
      <c r="C82" s="15"/>
      <c r="D82" s="15"/>
      <c r="E82" s="16"/>
      <c r="F82" s="15"/>
      <c r="G82" s="15"/>
      <c r="H82" s="15"/>
      <c r="I82" s="118"/>
      <c r="J82" s="18"/>
      <c r="K82" s="64"/>
      <c r="L82" s="2">
        <f t="shared" si="1"/>
        <v>70</v>
      </c>
    </row>
    <row r="83" spans="1:14" outlineLevel="2">
      <c r="A83" s="60"/>
      <c r="B83" s="23" t="s">
        <v>34</v>
      </c>
      <c r="C83" s="15"/>
      <c r="D83" s="15"/>
      <c r="E83" s="16"/>
      <c r="F83" s="15"/>
      <c r="G83" s="15"/>
      <c r="H83" s="15"/>
      <c r="I83" s="118"/>
      <c r="J83" s="18"/>
      <c r="K83" s="64"/>
      <c r="L83" s="2">
        <f t="shared" si="1"/>
        <v>71</v>
      </c>
    </row>
    <row r="84" spans="1:14" outlineLevel="2">
      <c r="A84" s="60"/>
      <c r="B84" s="14" t="s">
        <v>3</v>
      </c>
      <c r="C84" s="115">
        <v>0.35</v>
      </c>
      <c r="D84" s="115">
        <v>216.10704673708574</v>
      </c>
      <c r="E84" s="16">
        <f>C84*D84</f>
        <v>75.637466357980003</v>
      </c>
      <c r="F84" s="115">
        <v>20.354523227383876</v>
      </c>
      <c r="G84" s="115">
        <v>85</v>
      </c>
      <c r="H84" s="115">
        <f>G84*I84</f>
        <v>5.0999999999999996</v>
      </c>
      <c r="I84" s="119">
        <v>0.06</v>
      </c>
      <c r="J84" s="18">
        <f>IF(F84&lt;G84,(I84-1)/G84*F84+1,I84)*C84*D84</f>
        <v>58.611693512176089</v>
      </c>
      <c r="K84" s="64"/>
      <c r="L84" s="2">
        <f t="shared" si="1"/>
        <v>72</v>
      </c>
      <c r="N84" s="6"/>
    </row>
    <row r="85" spans="1:14" outlineLevel="2">
      <c r="A85" s="60"/>
      <c r="B85" s="14" t="s">
        <v>4</v>
      </c>
      <c r="C85" s="115">
        <v>0</v>
      </c>
      <c r="D85" s="115">
        <v>0</v>
      </c>
      <c r="E85" s="16">
        <f>C85*D85*1000</f>
        <v>0</v>
      </c>
      <c r="F85" s="115">
        <v>0</v>
      </c>
      <c r="G85" s="115">
        <v>0</v>
      </c>
      <c r="H85" s="115">
        <v>0</v>
      </c>
      <c r="I85" s="15">
        <v>0</v>
      </c>
      <c r="J85" s="18">
        <f>IF(F85&lt;G85,(I85-1)/G85*F85+1,I85)*C85*D85*1000</f>
        <v>0</v>
      </c>
      <c r="K85" s="64"/>
      <c r="L85" s="2">
        <f t="shared" si="1"/>
        <v>73</v>
      </c>
    </row>
    <row r="86" spans="1:14" outlineLevel="1">
      <c r="A86" s="60"/>
      <c r="B86" s="19" t="str">
        <f>"Total " &amp;B83</f>
        <v>Total High Pressure Cast Iron Direct Burial</v>
      </c>
      <c r="C86" s="20">
        <f>SUM(C84:C85)</f>
        <v>0.35</v>
      </c>
      <c r="D86" s="20">
        <f>((D84*$C84)+(D85*$C85))/SUM($C84:$C85)</f>
        <v>216.10704673708574</v>
      </c>
      <c r="E86" s="21">
        <f>SUM(E84:E85)</f>
        <v>75.637466357980003</v>
      </c>
      <c r="F86" s="20">
        <f>((F84*$C84)+(F85*$C85))/SUM($C84:$C85)</f>
        <v>20.354523227383876</v>
      </c>
      <c r="G86" s="20">
        <f>((G84*$C84)+(G85*$C85))/SUM($C84:$C85)</f>
        <v>85</v>
      </c>
      <c r="H86" s="20">
        <f>((H84*$C84)+(H85*$C85))/SUM($C84:$C85)</f>
        <v>5.0999999999999996</v>
      </c>
      <c r="I86" s="116">
        <f>((I84*$C84)+(I85*$C85))/SUM($C84:$C85)</f>
        <v>0.06</v>
      </c>
      <c r="J86" s="22">
        <f>SUM(J84:J85)</f>
        <v>58.611693512176089</v>
      </c>
      <c r="K86" s="64"/>
      <c r="L86" s="2">
        <f t="shared" si="1"/>
        <v>74</v>
      </c>
    </row>
    <row r="87" spans="1:14" ht="6" customHeight="1" outlineLevel="1">
      <c r="A87" s="60"/>
      <c r="B87" s="14"/>
      <c r="C87" s="15"/>
      <c r="D87" s="15"/>
      <c r="E87" s="16"/>
      <c r="F87" s="15"/>
      <c r="G87" s="15"/>
      <c r="H87" s="15"/>
      <c r="I87" s="118"/>
      <c r="J87" s="18"/>
      <c r="K87" s="64"/>
      <c r="L87" s="2">
        <f t="shared" si="1"/>
        <v>75</v>
      </c>
    </row>
    <row r="88" spans="1:14" ht="14.25" thickBot="1">
      <c r="A88" s="60"/>
      <c r="B88" s="24" t="s">
        <v>35</v>
      </c>
      <c r="C88" s="25">
        <f>C76+C81+C86</f>
        <v>151.88999999999999</v>
      </c>
      <c r="D88" s="25">
        <f>((D76*$C76)+(D81*$C81)+(D86*$C86))/$C88</f>
        <v>133.84442534964765</v>
      </c>
      <c r="E88" s="26">
        <f>E76+E81+E86</f>
        <v>20329.629766357979</v>
      </c>
      <c r="F88" s="25">
        <f>((F76*$C76)+(F81*$C81)+(F86*$C86))/$C88</f>
        <v>44.36391514824863</v>
      </c>
      <c r="G88" s="25">
        <f>((G76*$C76)+(G81*$C81)+(G86*$C86))/$C88</f>
        <v>85</v>
      </c>
      <c r="H88" s="25">
        <f>((H76*$C76)+(H81*$C81)+(H86*$C86))/$C88</f>
        <v>5.0999999999999996</v>
      </c>
      <c r="I88" s="117">
        <f>((I76*$C76)+(I81*$C81)+(I86*$C86))/$C88</f>
        <v>6.0000000000000005E-2</v>
      </c>
      <c r="J88" s="28">
        <f>J76+J81+J86</f>
        <v>9873.2244550738415</v>
      </c>
      <c r="K88" s="64"/>
      <c r="L88" s="2">
        <f t="shared" si="1"/>
        <v>76</v>
      </c>
    </row>
    <row r="89" spans="1:14" ht="15" thickTop="1" thickBot="1">
      <c r="A89" s="60"/>
      <c r="B89" s="114"/>
      <c r="C89" s="111"/>
      <c r="D89" s="111"/>
      <c r="E89" s="112"/>
      <c r="F89" s="111"/>
      <c r="G89" s="111"/>
      <c r="H89" s="111"/>
      <c r="I89" s="113"/>
      <c r="J89" s="112"/>
      <c r="K89" s="64"/>
      <c r="L89" s="2">
        <f t="shared" si="1"/>
        <v>77</v>
      </c>
    </row>
    <row r="90" spans="1:14" ht="14.25" outlineLevel="1" thickTop="1">
      <c r="A90" s="60"/>
      <c r="B90" s="8" t="s">
        <v>36</v>
      </c>
      <c r="C90" s="29"/>
      <c r="D90" s="29"/>
      <c r="E90" s="30"/>
      <c r="F90" s="29"/>
      <c r="G90" s="29"/>
      <c r="H90" s="29"/>
      <c r="I90" s="31"/>
      <c r="J90" s="32"/>
      <c r="K90" s="64"/>
      <c r="L90" s="2">
        <f t="shared" si="1"/>
        <v>78</v>
      </c>
    </row>
    <row r="91" spans="1:14" outlineLevel="2">
      <c r="A91" s="60"/>
      <c r="B91" s="12" t="s">
        <v>37</v>
      </c>
      <c r="C91" s="7"/>
      <c r="D91" s="7"/>
      <c r="E91" s="33"/>
      <c r="F91" s="7"/>
      <c r="G91" s="7"/>
      <c r="H91" s="7"/>
      <c r="I91" s="7"/>
      <c r="J91" s="34"/>
      <c r="K91" s="64"/>
      <c r="L91" s="2">
        <f t="shared" si="1"/>
        <v>79</v>
      </c>
    </row>
    <row r="92" spans="1:14" outlineLevel="2">
      <c r="A92" s="60"/>
      <c r="B92" s="14" t="s">
        <v>3</v>
      </c>
      <c r="C92" s="115">
        <v>2032.06</v>
      </c>
      <c r="D92" s="115">
        <v>68.099500000000006</v>
      </c>
      <c r="E92" s="16">
        <f>C92*D92</f>
        <v>138382.26997000002</v>
      </c>
      <c r="F92" s="115">
        <v>41.090301987091181</v>
      </c>
      <c r="G92" s="115">
        <v>85</v>
      </c>
      <c r="H92" s="115">
        <f>G92*I92</f>
        <v>41.65</v>
      </c>
      <c r="I92" s="17">
        <v>0.49</v>
      </c>
      <c r="J92" s="18">
        <f>IF(F92&lt;G92,(I92-1)/G92*F92+1,I92)*C92*D92</f>
        <v>104265.25439364112</v>
      </c>
      <c r="K92" s="64"/>
      <c r="L92" s="2">
        <f t="shared" si="1"/>
        <v>80</v>
      </c>
      <c r="N92" s="6"/>
    </row>
    <row r="93" spans="1:14" outlineLevel="2">
      <c r="A93" s="60"/>
      <c r="B93" s="14" t="s">
        <v>4</v>
      </c>
      <c r="C93" s="115">
        <v>35.56</v>
      </c>
      <c r="D93" s="115">
        <v>67.614999999999995</v>
      </c>
      <c r="E93" s="16">
        <f>C93*D93</f>
        <v>2404.3894</v>
      </c>
      <c r="F93" s="115">
        <v>34.43</v>
      </c>
      <c r="G93" s="115">
        <v>85</v>
      </c>
      <c r="H93" s="115">
        <f>G93*I93</f>
        <v>58.65</v>
      </c>
      <c r="I93" s="17">
        <v>0.69</v>
      </c>
      <c r="J93" s="18">
        <f>IF(F93&lt;G93,(I93-1)/G93*F93+1,I93)*C93*D93</f>
        <v>2102.4744660821179</v>
      </c>
      <c r="K93" s="64"/>
      <c r="L93" s="2">
        <f t="shared" si="1"/>
        <v>81</v>
      </c>
      <c r="N93" s="6"/>
    </row>
    <row r="94" spans="1:14" outlineLevel="1">
      <c r="A94" s="60"/>
      <c r="B94" s="19" t="str">
        <f>"Total " &amp;B91</f>
        <v>Total Low Pressure Cast Iron Insertion</v>
      </c>
      <c r="C94" s="20">
        <f>SUM(C92:C93)</f>
        <v>2067.62</v>
      </c>
      <c r="D94" s="20">
        <f>((D92*$C92)+(D93*$C93))/SUM($C92:$C93)</f>
        <v>68.091167317979128</v>
      </c>
      <c r="E94" s="21">
        <f>SUM(E92:E93)</f>
        <v>140786.65937000001</v>
      </c>
      <c r="F94" s="20">
        <f>((F92*$C92)+(F93*$C93))/SUM($C92:$C93)</f>
        <v>40.975754662795147</v>
      </c>
      <c r="G94" s="20">
        <f>((G92*$C92)+(G93*$C93))/SUM($C92:$C93)</f>
        <v>85.000000000000014</v>
      </c>
      <c r="H94" s="20">
        <f>((H92*$C92)+(H93*$C93))/SUM($C92:$C93)</f>
        <v>41.942374807749971</v>
      </c>
      <c r="I94" s="116">
        <f>((I92*$C92)+(I93*$C93))/SUM($C92:$C93)</f>
        <v>0.49343970362058792</v>
      </c>
      <c r="J94" s="22">
        <f>SUM(J92:J93)</f>
        <v>106367.72885972324</v>
      </c>
      <c r="K94" s="64"/>
      <c r="L94" s="2">
        <f t="shared" si="1"/>
        <v>82</v>
      </c>
    </row>
    <row r="95" spans="1:14" ht="6" customHeight="1" outlineLevel="1">
      <c r="A95" s="60"/>
      <c r="B95" s="14"/>
      <c r="C95" s="15"/>
      <c r="D95" s="15"/>
      <c r="E95" s="16"/>
      <c r="F95" s="15"/>
      <c r="G95" s="15"/>
      <c r="H95" s="15"/>
      <c r="I95" s="17"/>
      <c r="J95" s="18"/>
      <c r="K95" s="64"/>
      <c r="L95" s="2">
        <f t="shared" si="1"/>
        <v>83</v>
      </c>
    </row>
    <row r="96" spans="1:14" outlineLevel="2">
      <c r="A96" s="60"/>
      <c r="B96" s="23" t="s">
        <v>38</v>
      </c>
      <c r="C96" s="15"/>
      <c r="D96" s="15"/>
      <c r="E96" s="16"/>
      <c r="F96" s="15"/>
      <c r="G96" s="15"/>
      <c r="H96" s="15"/>
      <c r="I96" s="17"/>
      <c r="J96" s="18"/>
      <c r="K96" s="64"/>
      <c r="L96" s="2">
        <f t="shared" si="1"/>
        <v>84</v>
      </c>
    </row>
    <row r="97" spans="1:14" outlineLevel="2">
      <c r="A97" s="60"/>
      <c r="B97" s="14" t="s">
        <v>3</v>
      </c>
      <c r="C97" s="115">
        <v>99.73</v>
      </c>
      <c r="D97" s="115">
        <v>65.069999999999993</v>
      </c>
      <c r="E97" s="16">
        <f>C97*D97</f>
        <v>6489.4310999999998</v>
      </c>
      <c r="F97" s="115">
        <v>61.4571419392148</v>
      </c>
      <c r="G97" s="115">
        <v>85</v>
      </c>
      <c r="H97" s="115">
        <f>G97*I97</f>
        <v>41.65</v>
      </c>
      <c r="I97" s="17">
        <v>0.49</v>
      </c>
      <c r="J97" s="18">
        <f>IF(F97&lt;G97,(I97-1)/G97*F97+1,I97)*C97*D97</f>
        <v>4096.4997706952709</v>
      </c>
      <c r="K97" s="64"/>
      <c r="L97" s="2">
        <f t="shared" si="1"/>
        <v>85</v>
      </c>
      <c r="N97" s="6"/>
    </row>
    <row r="98" spans="1:14" outlineLevel="2">
      <c r="A98" s="60"/>
      <c r="B98" s="14" t="s">
        <v>4</v>
      </c>
      <c r="C98" s="115">
        <v>0.27</v>
      </c>
      <c r="D98" s="115">
        <v>69.489999999999995</v>
      </c>
      <c r="E98" s="16">
        <f>C98*D98</f>
        <v>18.7623</v>
      </c>
      <c r="F98" s="115">
        <v>39</v>
      </c>
      <c r="G98" s="115">
        <v>85</v>
      </c>
      <c r="H98" s="115">
        <f>G98*I98</f>
        <v>58.65</v>
      </c>
      <c r="I98" s="17">
        <v>0.69</v>
      </c>
      <c r="J98" s="18">
        <f>IF(F98&lt;G98,(I98-1)/G98*F98+1,I98)*C98*D98</f>
        <v>16.09363874117647</v>
      </c>
      <c r="K98" s="64"/>
      <c r="L98" s="2">
        <f t="shared" si="1"/>
        <v>86</v>
      </c>
    </row>
    <row r="99" spans="1:14" outlineLevel="1">
      <c r="A99" s="60"/>
      <c r="B99" s="19" t="str">
        <f>"Total " &amp;B96</f>
        <v>Total Medium Pressure Cast Iron Insertion</v>
      </c>
      <c r="C99" s="20">
        <f>SUM(C97:C98)</f>
        <v>100</v>
      </c>
      <c r="D99" s="20">
        <f>((D97*$C97)+(D98*$C98))/SUM($C97:$C98)</f>
        <v>65.081934000000004</v>
      </c>
      <c r="E99" s="21">
        <f>SUM(E97:E98)</f>
        <v>6508.1934000000001</v>
      </c>
      <c r="F99" s="20">
        <f>((F97*$C97)+(F98*$C98))/SUM($C97:$C98)</f>
        <v>61.396507655978922</v>
      </c>
      <c r="G99" s="20">
        <f>((G97*$C97)+(G98*$C98))/SUM($C97:$C98)</f>
        <v>85.000000000000014</v>
      </c>
      <c r="H99" s="20">
        <f>((H97*$C97)+(H98*$C98))/SUM($C97:$C98)</f>
        <v>41.695900000000002</v>
      </c>
      <c r="I99" s="116">
        <f>((I97*$C97)+(I98*$C98))/SUM($C97:$C98)</f>
        <v>0.49054000000000003</v>
      </c>
      <c r="J99" s="22">
        <f>SUM(J97:J98)</f>
        <v>4112.5934094364475</v>
      </c>
      <c r="K99" s="64"/>
      <c r="L99" s="2">
        <f t="shared" si="1"/>
        <v>87</v>
      </c>
    </row>
    <row r="100" spans="1:14" ht="6" customHeight="1" outlineLevel="1">
      <c r="A100" s="60"/>
      <c r="B100" s="14"/>
      <c r="C100" s="15"/>
      <c r="D100" s="15"/>
      <c r="E100" s="16"/>
      <c r="F100" s="15"/>
      <c r="G100" s="15"/>
      <c r="H100" s="15"/>
      <c r="I100" s="17"/>
      <c r="J100" s="18"/>
      <c r="K100" s="64"/>
      <c r="L100" s="2">
        <f t="shared" si="1"/>
        <v>88</v>
      </c>
    </row>
    <row r="101" spans="1:14" outlineLevel="2">
      <c r="A101" s="60"/>
      <c r="B101" s="23" t="s">
        <v>39</v>
      </c>
      <c r="C101" s="15"/>
      <c r="D101" s="15"/>
      <c r="E101" s="16"/>
      <c r="F101" s="15"/>
      <c r="G101" s="15"/>
      <c r="H101" s="15"/>
      <c r="I101" s="17"/>
      <c r="J101" s="18"/>
      <c r="K101" s="64"/>
      <c r="L101" s="2">
        <f t="shared" si="1"/>
        <v>89</v>
      </c>
    </row>
    <row r="102" spans="1:14" outlineLevel="2">
      <c r="A102" s="60"/>
      <c r="B102" s="14" t="s">
        <v>3</v>
      </c>
      <c r="C102" s="115">
        <v>0.47</v>
      </c>
      <c r="D102" s="115">
        <v>64.747613504074494</v>
      </c>
      <c r="E102" s="16">
        <f>C102*D102</f>
        <v>30.431378346915011</v>
      </c>
      <c r="F102" s="115">
        <v>20.354523227383876</v>
      </c>
      <c r="G102" s="115">
        <v>85</v>
      </c>
      <c r="H102" s="115">
        <f>G102*I102</f>
        <v>41.65</v>
      </c>
      <c r="I102" s="17">
        <v>0.49</v>
      </c>
      <c r="J102" s="18">
        <f>IF(F102&lt;G102,(I102-1)/G102*F102+1,I102)*C102*D102</f>
        <v>26.714881162493477</v>
      </c>
      <c r="K102" s="64"/>
      <c r="L102" s="2">
        <f t="shared" si="1"/>
        <v>90</v>
      </c>
      <c r="N102" s="6"/>
    </row>
    <row r="103" spans="1:14" outlineLevel="2">
      <c r="A103" s="60"/>
      <c r="B103" s="14" t="s">
        <v>4</v>
      </c>
      <c r="C103" s="115">
        <v>0</v>
      </c>
      <c r="D103" s="115">
        <v>0</v>
      </c>
      <c r="E103" s="16">
        <v>0</v>
      </c>
      <c r="F103" s="115">
        <v>0</v>
      </c>
      <c r="G103" s="115">
        <v>0</v>
      </c>
      <c r="H103" s="115">
        <v>0</v>
      </c>
      <c r="I103" s="15">
        <v>0</v>
      </c>
      <c r="J103" s="18">
        <f>IF(F103&lt;G103,(I103-1)/G103*F103+1,I103)*C103*D103*1000</f>
        <v>0</v>
      </c>
      <c r="K103" s="64"/>
      <c r="L103" s="2">
        <f t="shared" si="1"/>
        <v>91</v>
      </c>
    </row>
    <row r="104" spans="1:14" outlineLevel="1">
      <c r="A104" s="60"/>
      <c r="B104" s="19" t="str">
        <f>"Total " &amp;B101</f>
        <v>Total High Pressure Cast Iron Insertion</v>
      </c>
      <c r="C104" s="20">
        <f>SUM(C102:C103)</f>
        <v>0.47</v>
      </c>
      <c r="D104" s="20">
        <f>((D102*$C102)+(D103*$C103))/SUM($C102:$C103)</f>
        <v>64.747613504074494</v>
      </c>
      <c r="E104" s="21">
        <f>SUM(E102:E103)</f>
        <v>30.431378346915011</v>
      </c>
      <c r="F104" s="20">
        <f>((F102*$C102)+(F103*$C103))/SUM($C102:$C103)</f>
        <v>20.354523227383876</v>
      </c>
      <c r="G104" s="20">
        <f>((G102*$C102)+(G103*$C103))/SUM($C102:$C103)</f>
        <v>85</v>
      </c>
      <c r="H104" s="20">
        <f>((H102*$C102)+(H103*$C103))/SUM($C102:$C103)</f>
        <v>41.65</v>
      </c>
      <c r="I104" s="116">
        <f>((I102*$C102)+(I103*$C103))/SUM($C102:$C103)</f>
        <v>0.49</v>
      </c>
      <c r="J104" s="22">
        <f>SUM(J102:J103)</f>
        <v>26.714881162493477</v>
      </c>
      <c r="K104" s="64"/>
      <c r="L104" s="2">
        <f t="shared" si="1"/>
        <v>92</v>
      </c>
    </row>
    <row r="105" spans="1:14" ht="6" customHeight="1" outlineLevel="1">
      <c r="A105" s="60"/>
      <c r="B105" s="14"/>
      <c r="C105" s="15"/>
      <c r="D105" s="15"/>
      <c r="E105" s="16"/>
      <c r="F105" s="15"/>
      <c r="G105" s="15"/>
      <c r="H105" s="15"/>
      <c r="I105" s="17"/>
      <c r="J105" s="18"/>
      <c r="K105" s="64"/>
      <c r="L105" s="2">
        <f t="shared" si="1"/>
        <v>93</v>
      </c>
    </row>
    <row r="106" spans="1:14" ht="14.25" thickBot="1">
      <c r="A106" s="60"/>
      <c r="B106" s="24" t="s">
        <v>40</v>
      </c>
      <c r="C106" s="25">
        <f>C94+C99+C104</f>
        <v>2168.0899999999997</v>
      </c>
      <c r="D106" s="25">
        <f>((D94*$C94)+(D99*$C99)+(D104*$C104))/$C106</f>
        <v>67.951645987180854</v>
      </c>
      <c r="E106" s="26">
        <f>E94+E99+E104</f>
        <v>147325.28414834692</v>
      </c>
      <c r="F106" s="25">
        <f>((F94*$C94)+(F99*$C99)+(F104*$C104))/$C106</f>
        <v>41.913161929349457</v>
      </c>
      <c r="G106" s="25">
        <f>((G94*$C94)+(G99*$C99)+(G104*$C104))/$C106</f>
        <v>85.000000000000028</v>
      </c>
      <c r="H106" s="25">
        <f>ROUND(((H94*$C94)+(H99*$C99)+(H104*$C104))/$C106,0)</f>
        <v>42</v>
      </c>
      <c r="I106" s="117">
        <f>ROUND(((I94*$C94)+(I99*$C99)+(I104*$C104))/$C106,4)</f>
        <v>0.49330000000000002</v>
      </c>
      <c r="J106" s="28">
        <f>J94+J99+J104</f>
        <v>110507.03715032218</v>
      </c>
      <c r="K106" s="64"/>
      <c r="L106" s="2">
        <f t="shared" si="1"/>
        <v>94</v>
      </c>
    </row>
    <row r="107" spans="1:14" ht="15" thickTop="1" thickBot="1">
      <c r="A107" s="60"/>
      <c r="B107" s="70"/>
      <c r="C107" s="67"/>
      <c r="D107" s="67"/>
      <c r="E107" s="68"/>
      <c r="F107" s="67"/>
      <c r="G107" s="67"/>
      <c r="H107" s="67"/>
      <c r="I107" s="69"/>
      <c r="J107" s="68"/>
      <c r="K107" s="64"/>
      <c r="L107" s="2">
        <f t="shared" si="1"/>
        <v>95</v>
      </c>
    </row>
    <row r="108" spans="1:14" ht="3.75" customHeight="1">
      <c r="A108" s="60"/>
      <c r="B108" s="36"/>
      <c r="C108" s="37"/>
      <c r="D108" s="37"/>
      <c r="E108" s="38"/>
      <c r="F108" s="37"/>
      <c r="G108" s="37"/>
      <c r="H108" s="37"/>
      <c r="I108" s="39" t="e">
        <f>ROUND(H108/G108,4)</f>
        <v>#DIV/0!</v>
      </c>
      <c r="J108" s="40"/>
      <c r="K108" s="64"/>
      <c r="L108" s="2">
        <f t="shared" si="1"/>
        <v>96</v>
      </c>
    </row>
    <row r="109" spans="1:14" ht="27.75">
      <c r="A109" s="60"/>
      <c r="B109" s="41" t="s">
        <v>41</v>
      </c>
      <c r="C109" s="42" t="s">
        <v>7</v>
      </c>
      <c r="D109" s="43"/>
      <c r="E109" s="42" t="s">
        <v>9</v>
      </c>
      <c r="F109" s="43"/>
      <c r="G109" s="43"/>
      <c r="H109" s="43"/>
      <c r="I109" s="44"/>
      <c r="J109" s="45" t="s">
        <v>14</v>
      </c>
      <c r="K109" s="64"/>
      <c r="L109" s="2">
        <f t="shared" si="1"/>
        <v>97</v>
      </c>
    </row>
    <row r="110" spans="1:14" ht="3.75" customHeight="1">
      <c r="A110" s="60"/>
      <c r="B110" s="46"/>
      <c r="C110" s="15"/>
      <c r="D110" s="15"/>
      <c r="E110" s="16"/>
      <c r="F110" s="15"/>
      <c r="G110" s="15"/>
      <c r="H110" s="15"/>
      <c r="I110" s="17"/>
      <c r="J110" s="47"/>
      <c r="K110" s="64"/>
      <c r="L110" s="2">
        <f t="shared" si="1"/>
        <v>98</v>
      </c>
    </row>
    <row r="111" spans="1:14">
      <c r="A111" s="60"/>
      <c r="B111" s="48" t="s">
        <v>3</v>
      </c>
      <c r="C111" s="15">
        <f>C15+C20+C25+C30+C38+C43+C48+C56+C61+C66+C74+C79+C84+C92+C97+C102</f>
        <v>6476.3960000000015</v>
      </c>
      <c r="D111" s="15"/>
      <c r="E111" s="15">
        <f>E15+E20+E25+E30+E38+E43+E48+E56+E61+E66+E74+E79+E84+E92+E97+E102</f>
        <v>603911.33790470485</v>
      </c>
      <c r="F111" s="15"/>
      <c r="G111" s="15"/>
      <c r="H111" s="15"/>
      <c r="I111" s="17"/>
      <c r="J111" s="47">
        <f>J15+J20+J25+J30+J38+J43+J48+J56+J61+J66+J74+J79+J84+J92+J97+J102</f>
        <v>477341.13790583605</v>
      </c>
      <c r="K111" s="64"/>
      <c r="L111" s="2">
        <f t="shared" si="1"/>
        <v>99</v>
      </c>
    </row>
    <row r="112" spans="1:14">
      <c r="A112" s="60"/>
      <c r="B112" s="49" t="s">
        <v>4</v>
      </c>
      <c r="C112" s="43">
        <f>C16+C21+C26+C31+C39+C44+C49+C57+C62+C67+C75+C80+C85+C93+C98+C103</f>
        <v>364.35</v>
      </c>
      <c r="D112" s="43"/>
      <c r="E112" s="43">
        <f>E16+E21+E26+E31+E39+E44+E49+E57+E62+E67+E75+E80+E85+E93+E98+E103</f>
        <v>31935.73575</v>
      </c>
      <c r="F112" s="43"/>
      <c r="G112" s="43"/>
      <c r="H112" s="43"/>
      <c r="I112" s="44"/>
      <c r="J112" s="50">
        <f>J16+J21+J26+J31+J39+J44+J49+J57+J62+J67+J75+J80+J85+J93+J98+J103</f>
        <v>26016.340425843806</v>
      </c>
      <c r="K112" s="64"/>
      <c r="L112" s="2">
        <f t="shared" si="1"/>
        <v>100</v>
      </c>
    </row>
    <row r="113" spans="1:15" ht="14.25" thickBot="1">
      <c r="A113" s="60"/>
      <c r="B113" s="51" t="s">
        <v>42</v>
      </c>
      <c r="C113" s="52">
        <f>C111+C112</f>
        <v>6840.7460000000019</v>
      </c>
      <c r="D113" s="52"/>
      <c r="E113" s="53">
        <f>E111+E112</f>
        <v>635847.07365470484</v>
      </c>
      <c r="F113" s="52"/>
      <c r="G113" s="52"/>
      <c r="H113" s="52"/>
      <c r="I113" s="54"/>
      <c r="J113" s="55">
        <f>J111+J112</f>
        <v>503357.47833167983</v>
      </c>
      <c r="K113" s="64"/>
      <c r="L113" s="2">
        <f t="shared" si="1"/>
        <v>101</v>
      </c>
      <c r="O113" s="165"/>
    </row>
    <row r="114" spans="1:15" ht="9.75" customHeight="1" thickBot="1">
      <c r="A114" s="65"/>
      <c r="B114" s="71"/>
      <c r="C114" s="72"/>
      <c r="D114" s="72"/>
      <c r="E114" s="73"/>
      <c r="F114" s="72"/>
      <c r="G114" s="72"/>
      <c r="H114" s="72"/>
      <c r="I114" s="74"/>
      <c r="J114" s="73"/>
      <c r="K114" s="66"/>
      <c r="L114" s="2">
        <f t="shared" si="1"/>
        <v>102</v>
      </c>
    </row>
    <row r="115" spans="1:15" ht="14.25" thickBot="1">
      <c r="C115" s="3"/>
      <c r="D115" s="3"/>
      <c r="E115" s="5"/>
      <c r="F115" s="3"/>
      <c r="G115" s="3"/>
      <c r="H115" s="3"/>
      <c r="I115" s="4"/>
      <c r="J115" s="5"/>
      <c r="L115" s="2">
        <f t="shared" si="1"/>
        <v>103</v>
      </c>
    </row>
    <row r="116" spans="1:15" s="1" customFormat="1" ht="48" customHeight="1">
      <c r="A116" s="57"/>
      <c r="B116" s="56" t="s">
        <v>43</v>
      </c>
      <c r="C116" s="58" t="s">
        <v>44</v>
      </c>
      <c r="D116" s="58" t="s">
        <v>45</v>
      </c>
      <c r="E116" s="58" t="s">
        <v>9</v>
      </c>
      <c r="F116" s="58" t="s">
        <v>10</v>
      </c>
      <c r="G116" s="58" t="s">
        <v>11</v>
      </c>
      <c r="H116" s="58" t="s">
        <v>12</v>
      </c>
      <c r="I116" s="58" t="s">
        <v>13</v>
      </c>
      <c r="J116" s="58" t="s">
        <v>14</v>
      </c>
      <c r="K116" s="59"/>
      <c r="L116" s="2">
        <f t="shared" si="1"/>
        <v>104</v>
      </c>
    </row>
    <row r="117" spans="1:15" ht="6" customHeight="1" thickBot="1">
      <c r="A117" s="60"/>
      <c r="B117" s="107"/>
      <c r="C117" s="108"/>
      <c r="D117" s="108"/>
      <c r="E117" s="109"/>
      <c r="F117" s="109"/>
      <c r="G117" s="109"/>
      <c r="H117" s="109"/>
      <c r="I117" s="109"/>
      <c r="J117" s="109"/>
      <c r="K117" s="64"/>
      <c r="L117" s="2">
        <f t="shared" si="1"/>
        <v>105</v>
      </c>
    </row>
    <row r="118" spans="1:15" ht="14.25" outlineLevel="1" thickTop="1">
      <c r="A118" s="60"/>
      <c r="B118" s="8" t="s">
        <v>46</v>
      </c>
      <c r="C118" s="9"/>
      <c r="D118" s="9"/>
      <c r="E118" s="10"/>
      <c r="F118" s="10"/>
      <c r="G118" s="10"/>
      <c r="H118" s="10"/>
      <c r="I118" s="10"/>
      <c r="J118" s="11"/>
      <c r="K118" s="64"/>
      <c r="L118" s="2">
        <f t="shared" si="1"/>
        <v>106</v>
      </c>
    </row>
    <row r="119" spans="1:15" outlineLevel="2">
      <c r="A119" s="60"/>
      <c r="B119" s="12" t="s">
        <v>47</v>
      </c>
      <c r="C119" s="7"/>
      <c r="D119" s="7"/>
      <c r="E119" s="7"/>
      <c r="F119" s="7"/>
      <c r="G119" s="7"/>
      <c r="H119" s="7"/>
      <c r="I119" s="7"/>
      <c r="J119" s="13"/>
      <c r="K119" s="64"/>
      <c r="L119" s="2">
        <f t="shared" si="1"/>
        <v>107</v>
      </c>
    </row>
    <row r="120" spans="1:15" outlineLevel="2">
      <c r="A120" s="60"/>
      <c r="B120" s="14" t="s">
        <v>48</v>
      </c>
      <c r="C120" s="15"/>
      <c r="D120" s="15"/>
      <c r="E120" s="16"/>
      <c r="F120" s="15"/>
      <c r="G120" s="15"/>
      <c r="H120" s="15"/>
      <c r="I120" s="17"/>
      <c r="J120" s="18"/>
      <c r="K120" s="64"/>
      <c r="L120" s="2">
        <f t="shared" si="1"/>
        <v>108</v>
      </c>
    </row>
    <row r="121" spans="1:15" outlineLevel="2">
      <c r="A121" s="60"/>
      <c r="B121" s="75" t="s">
        <v>3</v>
      </c>
      <c r="C121" s="120">
        <v>15385</v>
      </c>
      <c r="D121" s="115">
        <v>954</v>
      </c>
      <c r="E121" s="16">
        <f>C121*D121/1000</f>
        <v>14677.29</v>
      </c>
      <c r="F121" s="115">
        <v>37.58</v>
      </c>
      <c r="G121" s="115">
        <v>125</v>
      </c>
      <c r="H121" s="115">
        <v>5</v>
      </c>
      <c r="I121" s="17">
        <f>H121/G121</f>
        <v>0.04</v>
      </c>
      <c r="J121" s="18">
        <f>IF((G121-F121)/G121&gt;I121,(G121-F121)/G121,I121)*D121*C121/1000</f>
        <v>10264.709534399999</v>
      </c>
      <c r="K121" s="64"/>
      <c r="L121" s="2">
        <f t="shared" si="1"/>
        <v>109</v>
      </c>
      <c r="N121" s="2">
        <v>1</v>
      </c>
    </row>
    <row r="122" spans="1:15" outlineLevel="2">
      <c r="A122" s="60"/>
      <c r="B122" s="75" t="s">
        <v>4</v>
      </c>
      <c r="C122" s="120">
        <v>1562</v>
      </c>
      <c r="D122" s="115">
        <f>$D$121</f>
        <v>954</v>
      </c>
      <c r="E122" s="16">
        <f>C122*D122/1000</f>
        <v>1490.1479999999999</v>
      </c>
      <c r="F122" s="115">
        <v>32.65</v>
      </c>
      <c r="G122" s="115">
        <v>125</v>
      </c>
      <c r="H122" s="115">
        <v>5</v>
      </c>
      <c r="I122" s="17">
        <f>H122/G122</f>
        <v>0.04</v>
      </c>
      <c r="J122" s="18">
        <f>IF((G122-F122)/G122&gt;I122,(G122-F122)/G122,I122)*D122*C122/1000</f>
        <v>1100.9213423999997</v>
      </c>
      <c r="K122" s="64"/>
      <c r="L122" s="2">
        <f t="shared" si="1"/>
        <v>110</v>
      </c>
      <c r="N122" s="2">
        <f>N121+1</f>
        <v>2</v>
      </c>
    </row>
    <row r="123" spans="1:15" outlineLevel="2">
      <c r="A123" s="60"/>
      <c r="B123" s="14" t="s">
        <v>49</v>
      </c>
      <c r="C123" s="120"/>
      <c r="D123" s="115"/>
      <c r="E123" s="16"/>
      <c r="F123" s="115"/>
      <c r="G123" s="115"/>
      <c r="H123" s="115"/>
      <c r="I123" s="17"/>
      <c r="J123" s="18"/>
      <c r="K123" s="64"/>
      <c r="L123" s="2">
        <f t="shared" si="1"/>
        <v>111</v>
      </c>
      <c r="N123" s="2">
        <f t="shared" ref="N123:N186" si="2">N122+1</f>
        <v>3</v>
      </c>
    </row>
    <row r="124" spans="1:15" outlineLevel="2">
      <c r="A124" s="60"/>
      <c r="B124" s="75" t="s">
        <v>3</v>
      </c>
      <c r="C124" s="120">
        <v>113800</v>
      </c>
      <c r="D124" s="115">
        <f>$D$121</f>
        <v>954</v>
      </c>
      <c r="E124" s="16">
        <f>C124*D124/1000</f>
        <v>108565.2</v>
      </c>
      <c r="F124" s="115">
        <v>39.86</v>
      </c>
      <c r="G124" s="115">
        <v>65</v>
      </c>
      <c r="H124" s="115">
        <f>I124*G124</f>
        <v>44.2</v>
      </c>
      <c r="I124" s="17">
        <v>0.68</v>
      </c>
      <c r="J124" s="18">
        <f>IF(F124&lt;G124,(I124-1)/G124*F124+1,I124)*D124*C124/1000</f>
        <v>87261.033245538478</v>
      </c>
      <c r="K124" s="64"/>
      <c r="L124" s="2">
        <f t="shared" si="1"/>
        <v>112</v>
      </c>
      <c r="N124" s="2">
        <f t="shared" si="2"/>
        <v>4</v>
      </c>
    </row>
    <row r="125" spans="1:15" outlineLevel="2">
      <c r="A125" s="60"/>
      <c r="B125" s="75" t="s">
        <v>4</v>
      </c>
      <c r="C125" s="120">
        <v>1257</v>
      </c>
      <c r="D125" s="115">
        <f>$D$121</f>
        <v>954</v>
      </c>
      <c r="E125" s="16">
        <f>C125*D125/1000</f>
        <v>1199.1780000000001</v>
      </c>
      <c r="F125" s="115">
        <v>31.66</v>
      </c>
      <c r="G125" s="115">
        <v>70</v>
      </c>
      <c r="H125" s="115">
        <v>5</v>
      </c>
      <c r="I125" s="17">
        <f>H125/G125</f>
        <v>7.1428571428571425E-2</v>
      </c>
      <c r="J125" s="18">
        <f>IF((G125-F125)/G125&gt;I125,(G125-F125)/G125,I125)*D125*C125/1000</f>
        <v>656.80692171428564</v>
      </c>
      <c r="K125" s="64"/>
      <c r="L125" s="2">
        <f t="shared" si="1"/>
        <v>113</v>
      </c>
      <c r="N125" s="2">
        <f t="shared" si="2"/>
        <v>5</v>
      </c>
    </row>
    <row r="126" spans="1:15" outlineLevel="2">
      <c r="A126" s="60"/>
      <c r="B126" s="14" t="s">
        <v>50</v>
      </c>
      <c r="C126" s="120"/>
      <c r="D126" s="115"/>
      <c r="E126" s="16"/>
      <c r="F126" s="115"/>
      <c r="G126" s="115"/>
      <c r="H126" s="115"/>
      <c r="I126" s="17"/>
      <c r="J126" s="18"/>
      <c r="K126" s="64"/>
      <c r="L126" s="2">
        <f t="shared" si="1"/>
        <v>114</v>
      </c>
      <c r="N126" s="2">
        <f t="shared" si="2"/>
        <v>6</v>
      </c>
    </row>
    <row r="127" spans="1:15" outlineLevel="2">
      <c r="A127" s="60"/>
      <c r="B127" s="75" t="s">
        <v>3</v>
      </c>
      <c r="C127" s="120">
        <v>36547</v>
      </c>
      <c r="D127" s="115">
        <f>$D$121</f>
        <v>954</v>
      </c>
      <c r="E127" s="16">
        <f>C127*D127/1000</f>
        <v>34865.838000000003</v>
      </c>
      <c r="F127" s="115">
        <v>13.753</v>
      </c>
      <c r="G127" s="115">
        <v>70</v>
      </c>
      <c r="H127" s="115">
        <v>5</v>
      </c>
      <c r="I127" s="17">
        <f>H127/G127</f>
        <v>7.1428571428571425E-2</v>
      </c>
      <c r="J127" s="18">
        <f>IF((G127-F127)/G127&gt;I127,(G127-F127)/G127,I127)*D127*C127/1000</f>
        <v>28015.696999800006</v>
      </c>
      <c r="K127" s="64"/>
      <c r="L127" s="2">
        <f t="shared" si="1"/>
        <v>115</v>
      </c>
      <c r="N127" s="2">
        <f t="shared" si="2"/>
        <v>7</v>
      </c>
    </row>
    <row r="128" spans="1:15" outlineLevel="2">
      <c r="A128" s="60"/>
      <c r="B128" s="75" t="s">
        <v>4</v>
      </c>
      <c r="C128" s="120">
        <v>1036</v>
      </c>
      <c r="D128" s="115">
        <f>$D$121</f>
        <v>954</v>
      </c>
      <c r="E128" s="16">
        <f>C128*D128/1000</f>
        <v>988.34400000000005</v>
      </c>
      <c r="F128" s="115">
        <v>11.95</v>
      </c>
      <c r="G128" s="115">
        <v>65</v>
      </c>
      <c r="H128" s="115">
        <f>I128*G128</f>
        <v>44.2</v>
      </c>
      <c r="I128" s="17">
        <v>0.68</v>
      </c>
      <c r="J128" s="18">
        <f>IF((G128-F128)/G128&gt;I128,(G128-F128)/G128,I128)*D128*C128/1000</f>
        <v>806.64075692307676</v>
      </c>
      <c r="K128" s="64"/>
      <c r="L128" s="2">
        <f t="shared" si="1"/>
        <v>116</v>
      </c>
      <c r="N128" s="2">
        <f t="shared" si="2"/>
        <v>8</v>
      </c>
    </row>
    <row r="129" spans="1:14" outlineLevel="1">
      <c r="A129" s="60"/>
      <c r="B129" s="19" t="s">
        <v>51</v>
      </c>
      <c r="C129" s="21">
        <f>SUM(C120:C128)</f>
        <v>169587</v>
      </c>
      <c r="D129" s="20">
        <f>((D121*$C121)+(D122*$C122)+(D124*$C124)+(D125*$C125)+(D127*$C127)+(D128*$C128))/$C129</f>
        <v>954</v>
      </c>
      <c r="E129" s="21">
        <f>SUM(E120:E128)</f>
        <v>161785.99799999999</v>
      </c>
      <c r="F129" s="20">
        <f>((F121*$C121)+(F122*$C122)+(F124*$C124)+(F125*$C125)+(F127*$C127)+(F128*$C128))/$C129</f>
        <v>33.729255845082463</v>
      </c>
      <c r="G129" s="20">
        <f>((G121*$C121)+(G122*$C122)+(G124*$C124)+(G125*$C125)+(G127*$C127)+(G128*$C128))/$C129</f>
        <v>72.110450683130196</v>
      </c>
      <c r="H129" s="20">
        <f>((H121*$C121)+(H122*$C122)+(H124*$C124)+(H125*$C125)+(H127*$C127)+(H128*$C128))/$C129</f>
        <v>31.544317665858824</v>
      </c>
      <c r="I129" s="116">
        <f>((I121*$C121)+(I122*$C122)+(I124*$C124)+(I125*$C125)+(I127*$C127)+(I128*$C128))/$C129</f>
        <v>0.4803826101899657</v>
      </c>
      <c r="J129" s="22">
        <f>SUM(J120:J128)</f>
        <v>128105.80880077586</v>
      </c>
      <c r="K129" s="64"/>
      <c r="L129" s="2">
        <f t="shared" si="1"/>
        <v>117</v>
      </c>
      <c r="N129" s="2">
        <f t="shared" si="2"/>
        <v>9</v>
      </c>
    </row>
    <row r="130" spans="1:14" ht="6" customHeight="1" outlineLevel="1">
      <c r="A130" s="60"/>
      <c r="B130" s="14"/>
      <c r="C130" s="15"/>
      <c r="D130" s="15"/>
      <c r="E130" s="16"/>
      <c r="F130" s="15"/>
      <c r="G130" s="15"/>
      <c r="H130" s="15"/>
      <c r="I130" s="17"/>
      <c r="J130" s="18"/>
      <c r="K130" s="64"/>
      <c r="L130" s="2">
        <f t="shared" si="1"/>
        <v>118</v>
      </c>
      <c r="N130" s="2">
        <f t="shared" si="2"/>
        <v>10</v>
      </c>
    </row>
    <row r="131" spans="1:14" outlineLevel="2">
      <c r="A131" s="60"/>
      <c r="B131" s="23" t="s">
        <v>52</v>
      </c>
      <c r="C131" s="15"/>
      <c r="D131" s="15"/>
      <c r="E131" s="16"/>
      <c r="F131" s="15"/>
      <c r="G131" s="15"/>
      <c r="H131" s="15"/>
      <c r="I131" s="17"/>
      <c r="J131" s="18"/>
      <c r="K131" s="64"/>
      <c r="L131" s="2">
        <f t="shared" si="1"/>
        <v>119</v>
      </c>
      <c r="N131" s="2">
        <f t="shared" si="2"/>
        <v>11</v>
      </c>
    </row>
    <row r="132" spans="1:14" outlineLevel="2">
      <c r="A132" s="60"/>
      <c r="B132" s="14" t="s">
        <v>48</v>
      </c>
      <c r="C132" s="15"/>
      <c r="D132" s="15"/>
      <c r="E132" s="16"/>
      <c r="F132" s="15"/>
      <c r="G132" s="15"/>
      <c r="H132" s="15"/>
      <c r="I132" s="17"/>
      <c r="J132" s="18"/>
      <c r="K132" s="64"/>
      <c r="L132" s="2">
        <f t="shared" si="1"/>
        <v>120</v>
      </c>
      <c r="N132" s="2">
        <f t="shared" si="2"/>
        <v>12</v>
      </c>
    </row>
    <row r="133" spans="1:14" outlineLevel="2">
      <c r="A133" s="60"/>
      <c r="B133" s="75" t="s">
        <v>3</v>
      </c>
      <c r="C133" s="120">
        <v>344</v>
      </c>
      <c r="D133" s="115">
        <v>2000</v>
      </c>
      <c r="E133" s="16">
        <f>C133*D133/1000</f>
        <v>688</v>
      </c>
      <c r="F133" s="115">
        <v>37.799999999999997</v>
      </c>
      <c r="G133" s="115">
        <v>125</v>
      </c>
      <c r="H133" s="115">
        <v>5</v>
      </c>
      <c r="I133" s="17">
        <f>H133/G133</f>
        <v>0.04</v>
      </c>
      <c r="J133" s="18">
        <f>IF((G133-F133)/G133&gt;I133,(G133-F133)/G133,I133)*D133*C133/1000</f>
        <v>479.94880000000001</v>
      </c>
      <c r="K133" s="64"/>
      <c r="L133" s="2">
        <f t="shared" si="1"/>
        <v>121</v>
      </c>
      <c r="N133" s="2">
        <f t="shared" si="2"/>
        <v>13</v>
      </c>
    </row>
    <row r="134" spans="1:14" outlineLevel="2">
      <c r="A134" s="60"/>
      <c r="B134" s="75" t="s">
        <v>4</v>
      </c>
      <c r="C134" s="120">
        <v>83</v>
      </c>
      <c r="D134" s="115">
        <f>D133</f>
        <v>2000</v>
      </c>
      <c r="E134" s="16">
        <f>C134*D134/1000</f>
        <v>166</v>
      </c>
      <c r="F134" s="115">
        <v>33</v>
      </c>
      <c r="G134" s="115">
        <v>125</v>
      </c>
      <c r="H134" s="115">
        <v>5</v>
      </c>
      <c r="I134" s="17">
        <f>H134/G134</f>
        <v>0.04</v>
      </c>
      <c r="J134" s="18">
        <f>IF((G134-F134)/G134&gt;I134,(G134-F134)/G134,I134)*D134*C134/1000</f>
        <v>122.176</v>
      </c>
      <c r="K134" s="64"/>
      <c r="L134" s="2">
        <f t="shared" si="1"/>
        <v>122</v>
      </c>
      <c r="N134" s="2">
        <f t="shared" si="2"/>
        <v>14</v>
      </c>
    </row>
    <row r="135" spans="1:14" outlineLevel="2">
      <c r="A135" s="60"/>
      <c r="B135" s="14" t="s">
        <v>49</v>
      </c>
      <c r="C135" s="120"/>
      <c r="D135" s="115"/>
      <c r="E135" s="16"/>
      <c r="F135" s="115"/>
      <c r="G135" s="115"/>
      <c r="H135" s="115"/>
      <c r="I135" s="17"/>
      <c r="J135" s="18"/>
      <c r="K135" s="64"/>
      <c r="L135" s="2">
        <f t="shared" si="1"/>
        <v>123</v>
      </c>
      <c r="N135" s="2">
        <f t="shared" si="2"/>
        <v>15</v>
      </c>
    </row>
    <row r="136" spans="1:14" outlineLevel="2">
      <c r="A136" s="60"/>
      <c r="B136" s="75" t="s">
        <v>3</v>
      </c>
      <c r="C136" s="120">
        <v>2544</v>
      </c>
      <c r="D136" s="115">
        <f>D133</f>
        <v>2000</v>
      </c>
      <c r="E136" s="16">
        <f>C136*D136/1000</f>
        <v>5088</v>
      </c>
      <c r="F136" s="115">
        <v>39.93</v>
      </c>
      <c r="G136" s="115">
        <v>65</v>
      </c>
      <c r="H136" s="115">
        <f>I136*G136</f>
        <v>44.2</v>
      </c>
      <c r="I136" s="17">
        <v>0.68</v>
      </c>
      <c r="J136" s="18">
        <f>IF(F136&lt;G136,(I136-1)/G136*F136+1,I136)*D136*C136/1000</f>
        <v>4087.8087876923078</v>
      </c>
      <c r="K136" s="64"/>
      <c r="L136" s="2">
        <f t="shared" si="1"/>
        <v>124</v>
      </c>
      <c r="N136" s="2">
        <f t="shared" si="2"/>
        <v>16</v>
      </c>
    </row>
    <row r="137" spans="1:14" outlineLevel="2">
      <c r="A137" s="60"/>
      <c r="B137" s="75" t="s">
        <v>4</v>
      </c>
      <c r="C137" s="120">
        <v>49</v>
      </c>
      <c r="D137" s="115">
        <f>D133</f>
        <v>2000</v>
      </c>
      <c r="E137" s="16">
        <f>C137*D137/1000</f>
        <v>98</v>
      </c>
      <c r="F137" s="115">
        <v>36</v>
      </c>
      <c r="G137" s="115">
        <v>70</v>
      </c>
      <c r="H137" s="115">
        <v>5</v>
      </c>
      <c r="I137" s="17">
        <f>H137/G137</f>
        <v>7.1428571428571425E-2</v>
      </c>
      <c r="J137" s="18">
        <f>IF((G137-F137)/G137&gt;I137,(G137-F137)/G137,I137)*D137*C137/1000</f>
        <v>47.6</v>
      </c>
      <c r="K137" s="64"/>
      <c r="L137" s="2">
        <f t="shared" si="1"/>
        <v>125</v>
      </c>
      <c r="N137" s="2">
        <f t="shared" si="2"/>
        <v>17</v>
      </c>
    </row>
    <row r="138" spans="1:14" outlineLevel="2">
      <c r="A138" s="60"/>
      <c r="B138" s="14" t="s">
        <v>50</v>
      </c>
      <c r="C138" s="120"/>
      <c r="D138" s="115"/>
      <c r="E138" s="16"/>
      <c r="F138" s="115"/>
      <c r="G138" s="115"/>
      <c r="H138" s="115"/>
      <c r="I138" s="17"/>
      <c r="J138" s="18"/>
      <c r="K138" s="64"/>
      <c r="L138" s="2">
        <f t="shared" si="1"/>
        <v>126</v>
      </c>
      <c r="N138" s="2">
        <f t="shared" si="2"/>
        <v>18</v>
      </c>
    </row>
    <row r="139" spans="1:14" outlineLevel="2">
      <c r="A139" s="60"/>
      <c r="B139" s="75" t="s">
        <v>3</v>
      </c>
      <c r="C139" s="120">
        <v>817</v>
      </c>
      <c r="D139" s="115">
        <f>D133</f>
        <v>2000</v>
      </c>
      <c r="E139" s="16">
        <f>C139*D139/1000</f>
        <v>1634</v>
      </c>
      <c r="F139" s="115">
        <v>13.78</v>
      </c>
      <c r="G139" s="115">
        <v>70</v>
      </c>
      <c r="H139" s="115">
        <v>5</v>
      </c>
      <c r="I139" s="17">
        <f>H139/G139</f>
        <v>7.1428571428571425E-2</v>
      </c>
      <c r="J139" s="18">
        <f>IF((G139-F139)/G139&gt;I139,(G139-F139)/G139,I139)*D139*C139/1000</f>
        <v>1312.3354285714283</v>
      </c>
      <c r="K139" s="64"/>
      <c r="L139" s="2">
        <f t="shared" si="1"/>
        <v>127</v>
      </c>
      <c r="N139" s="2">
        <f t="shared" si="2"/>
        <v>19</v>
      </c>
    </row>
    <row r="140" spans="1:14" outlineLevel="2">
      <c r="A140" s="60"/>
      <c r="B140" s="75" t="s">
        <v>4</v>
      </c>
      <c r="C140" s="120">
        <v>52</v>
      </c>
      <c r="D140" s="115">
        <f>D133</f>
        <v>2000</v>
      </c>
      <c r="E140" s="16">
        <f>C140*D140/1000</f>
        <v>104</v>
      </c>
      <c r="F140" s="115">
        <v>13.4</v>
      </c>
      <c r="G140" s="115">
        <v>65</v>
      </c>
      <c r="H140" s="115">
        <f>I140*G140</f>
        <v>44.2</v>
      </c>
      <c r="I140" s="17">
        <v>0.68</v>
      </c>
      <c r="J140" s="18">
        <f>IF((G140-F140)/G140&gt;I140,(G140-F140)/G140,I140)*D140*C140/1000</f>
        <v>82.56</v>
      </c>
      <c r="K140" s="64"/>
      <c r="L140" s="2">
        <f t="shared" si="1"/>
        <v>128</v>
      </c>
      <c r="N140" s="2">
        <f t="shared" si="2"/>
        <v>20</v>
      </c>
    </row>
    <row r="141" spans="1:14" outlineLevel="1">
      <c r="A141" s="60"/>
      <c r="B141" s="19" t="s">
        <v>53</v>
      </c>
      <c r="C141" s="21">
        <f>SUM(C133:C140)</f>
        <v>3889</v>
      </c>
      <c r="D141" s="20">
        <f>((D133*$C133)+(D134*$C134)+(D136*$C136)+(D137*$C137)+(D139*$C139)+(D140*$C140))/$C141</f>
        <v>2000</v>
      </c>
      <c r="E141" s="21">
        <f>SUM(E132:E140)</f>
        <v>7778</v>
      </c>
      <c r="F141" s="20">
        <f>((F133*$C133)+(F134*$C134)+(F136*$C136)+(F137*$C137)+(F139*$C139)+(F140*$C140))/$C141</f>
        <v>33.695854975572125</v>
      </c>
      <c r="G141" s="20">
        <f>((G133*$C133)+(G134*$C134)+(G136*$C136)+(G137*$C137)+(G139*$C139)+(G140*$C140))/$C141</f>
        <v>72.701208536898946</v>
      </c>
      <c r="H141" s="20">
        <f>((H133*$C133)+(H134*$C134)+(H136*$C136)+(H137*$C137)+(H139*$C139)+(H140*$C140))/$C141</f>
        <v>31.166932373360762</v>
      </c>
      <c r="I141" s="116">
        <f>((I133*$C133)+(I134*$C134)+(I136*$C136)+(I137*$C137)+(I139*$C139)+(I140*$C140))/$C141</f>
        <v>0.47421371634279835</v>
      </c>
      <c r="J141" s="22">
        <f>SUM(J132:J140)</f>
        <v>6132.4290162637371</v>
      </c>
      <c r="K141" s="64"/>
      <c r="L141" s="2">
        <f t="shared" si="1"/>
        <v>129</v>
      </c>
      <c r="N141" s="2">
        <f t="shared" si="2"/>
        <v>21</v>
      </c>
    </row>
    <row r="142" spans="1:14" ht="6" customHeight="1" outlineLevel="1">
      <c r="A142" s="60"/>
      <c r="B142" s="14"/>
      <c r="C142" s="15"/>
      <c r="D142" s="15"/>
      <c r="E142" s="16"/>
      <c r="F142" s="15"/>
      <c r="G142" s="15"/>
      <c r="H142" s="15"/>
      <c r="I142" s="17"/>
      <c r="J142" s="18"/>
      <c r="K142" s="64"/>
      <c r="L142" s="2">
        <f t="shared" si="1"/>
        <v>130</v>
      </c>
      <c r="N142" s="2">
        <f t="shared" si="2"/>
        <v>22</v>
      </c>
    </row>
    <row r="143" spans="1:14" outlineLevel="2">
      <c r="A143" s="60"/>
      <c r="B143" s="23" t="s">
        <v>54</v>
      </c>
      <c r="C143" s="15"/>
      <c r="D143" s="15"/>
      <c r="E143" s="16"/>
      <c r="F143" s="15"/>
      <c r="G143" s="15"/>
      <c r="H143" s="15"/>
      <c r="I143" s="17"/>
      <c r="J143" s="18"/>
      <c r="K143" s="64"/>
      <c r="L143" s="2">
        <f t="shared" ref="L143:L206" si="3">L142+1</f>
        <v>131</v>
      </c>
      <c r="N143" s="2">
        <f t="shared" si="2"/>
        <v>23</v>
      </c>
    </row>
    <row r="144" spans="1:14" outlineLevel="2">
      <c r="A144" s="60"/>
      <c r="B144" s="14" t="s">
        <v>48</v>
      </c>
      <c r="C144" s="15"/>
      <c r="D144" s="15"/>
      <c r="E144" s="16"/>
      <c r="F144" s="15"/>
      <c r="G144" s="15"/>
      <c r="H144" s="15"/>
      <c r="I144" s="17"/>
      <c r="J144" s="18"/>
      <c r="K144" s="64"/>
      <c r="L144" s="2">
        <f t="shared" si="3"/>
        <v>132</v>
      </c>
      <c r="N144" s="2">
        <f t="shared" si="2"/>
        <v>24</v>
      </c>
    </row>
    <row r="145" spans="1:14" outlineLevel="2">
      <c r="A145" s="60"/>
      <c r="B145" s="75" t="s">
        <v>3</v>
      </c>
      <c r="C145" s="120">
        <v>52</v>
      </c>
      <c r="D145" s="115">
        <v>5000</v>
      </c>
      <c r="E145" s="16">
        <f>C145*D145/1000</f>
        <v>260</v>
      </c>
      <c r="F145" s="115">
        <v>37</v>
      </c>
      <c r="G145" s="115">
        <v>125</v>
      </c>
      <c r="H145" s="115">
        <v>5</v>
      </c>
      <c r="I145" s="17">
        <f>H145/G145</f>
        <v>0.04</v>
      </c>
      <c r="J145" s="18">
        <f>IF((G145-F145)/G145&gt;I145,(G145-F145)/G145,I145)*D145*C145/1000</f>
        <v>183.04</v>
      </c>
      <c r="K145" s="64"/>
      <c r="L145" s="2">
        <f t="shared" si="3"/>
        <v>133</v>
      </c>
      <c r="N145" s="2">
        <f t="shared" si="2"/>
        <v>25</v>
      </c>
    </row>
    <row r="146" spans="1:14" outlineLevel="2">
      <c r="A146" s="60"/>
      <c r="B146" s="75" t="s">
        <v>4</v>
      </c>
      <c r="C146" s="120">
        <v>19</v>
      </c>
      <c r="D146" s="115">
        <f>D145</f>
        <v>5000</v>
      </c>
      <c r="E146" s="16">
        <f>C146*D146/1000</f>
        <v>95</v>
      </c>
      <c r="F146" s="115">
        <v>31</v>
      </c>
      <c r="G146" s="115">
        <v>125</v>
      </c>
      <c r="H146" s="115">
        <v>5</v>
      </c>
      <c r="I146" s="17">
        <f>H146/G146</f>
        <v>0.04</v>
      </c>
      <c r="J146" s="18">
        <f>IF((G146-F146)/G146&gt;I146,(G146-F146)/G146,I146)*D146*C146/1000</f>
        <v>71.44</v>
      </c>
      <c r="K146" s="64"/>
      <c r="L146" s="2">
        <f t="shared" si="3"/>
        <v>134</v>
      </c>
      <c r="N146" s="2">
        <f t="shared" si="2"/>
        <v>26</v>
      </c>
    </row>
    <row r="147" spans="1:14" outlineLevel="2">
      <c r="A147" s="60"/>
      <c r="B147" s="14" t="s">
        <v>49</v>
      </c>
      <c r="C147" s="120"/>
      <c r="D147" s="115"/>
      <c r="E147" s="16"/>
      <c r="F147" s="115"/>
      <c r="G147" s="115"/>
      <c r="H147" s="115"/>
      <c r="I147" s="17"/>
      <c r="J147" s="18"/>
      <c r="K147" s="64"/>
      <c r="L147" s="2">
        <f t="shared" si="3"/>
        <v>135</v>
      </c>
      <c r="N147" s="2">
        <f t="shared" si="2"/>
        <v>27</v>
      </c>
    </row>
    <row r="148" spans="1:14" outlineLevel="2">
      <c r="A148" s="60"/>
      <c r="B148" s="75" t="s">
        <v>3</v>
      </c>
      <c r="C148" s="120">
        <v>0</v>
      </c>
      <c r="D148" s="115">
        <f>D145</f>
        <v>5000</v>
      </c>
      <c r="E148" s="16">
        <f>C148*D148/1000</f>
        <v>0</v>
      </c>
      <c r="F148" s="115">
        <v>0</v>
      </c>
      <c r="G148" s="115">
        <v>65</v>
      </c>
      <c r="H148" s="115">
        <f>I148*G148</f>
        <v>44.2</v>
      </c>
      <c r="I148" s="17">
        <v>0.68</v>
      </c>
      <c r="J148" s="18">
        <f>IF(F148&lt;G148,(I148-1)/G148*F148+1,I148)*D148*C148/1000</f>
        <v>0</v>
      </c>
      <c r="K148" s="64"/>
      <c r="L148" s="2">
        <f t="shared" si="3"/>
        <v>136</v>
      </c>
      <c r="N148" s="2">
        <f t="shared" si="2"/>
        <v>28</v>
      </c>
    </row>
    <row r="149" spans="1:14" outlineLevel="2">
      <c r="A149" s="60"/>
      <c r="B149" s="75" t="s">
        <v>4</v>
      </c>
      <c r="C149" s="120">
        <v>0</v>
      </c>
      <c r="D149" s="115">
        <f>D145</f>
        <v>5000</v>
      </c>
      <c r="E149" s="16">
        <f>C149*D149/1000</f>
        <v>0</v>
      </c>
      <c r="F149" s="115"/>
      <c r="G149" s="115">
        <v>70</v>
      </c>
      <c r="H149" s="115">
        <v>5</v>
      </c>
      <c r="I149" s="17">
        <f>H149/G149</f>
        <v>7.1428571428571425E-2</v>
      </c>
      <c r="J149" s="18">
        <f>IF((G149-F149)/G149&gt;I149,(G149-F149)/G149,I149)*D149*C149/1000</f>
        <v>0</v>
      </c>
      <c r="K149" s="64"/>
      <c r="L149" s="2">
        <f t="shared" si="3"/>
        <v>137</v>
      </c>
      <c r="N149" s="2">
        <f t="shared" si="2"/>
        <v>29</v>
      </c>
    </row>
    <row r="150" spans="1:14" outlineLevel="2">
      <c r="A150" s="60"/>
      <c r="B150" s="14" t="s">
        <v>50</v>
      </c>
      <c r="C150" s="120"/>
      <c r="D150" s="115"/>
      <c r="E150" s="16"/>
      <c r="F150" s="115"/>
      <c r="G150" s="115"/>
      <c r="H150" s="115"/>
      <c r="I150" s="17"/>
      <c r="J150" s="18"/>
      <c r="K150" s="64"/>
      <c r="L150" s="2">
        <f t="shared" si="3"/>
        <v>138</v>
      </c>
      <c r="N150" s="2">
        <f t="shared" si="2"/>
        <v>30</v>
      </c>
    </row>
    <row r="151" spans="1:14" outlineLevel="2">
      <c r="A151" s="60"/>
      <c r="B151" s="75" t="s">
        <v>3</v>
      </c>
      <c r="C151" s="120">
        <v>125</v>
      </c>
      <c r="D151" s="115">
        <f>D145</f>
        <v>5000</v>
      </c>
      <c r="E151" s="16">
        <f>C151*D151/1000</f>
        <v>625</v>
      </c>
      <c r="F151" s="115">
        <v>14</v>
      </c>
      <c r="G151" s="115">
        <v>70</v>
      </c>
      <c r="H151" s="115">
        <v>5</v>
      </c>
      <c r="I151" s="17">
        <f>H151/G151</f>
        <v>7.1428571428571425E-2</v>
      </c>
      <c r="J151" s="18">
        <f>IF((G151-F151)/G151&gt;I151,(G151-F151)/G151,I151)*D151*C151/1000</f>
        <v>500</v>
      </c>
      <c r="K151" s="64"/>
      <c r="L151" s="2">
        <f t="shared" si="3"/>
        <v>139</v>
      </c>
      <c r="N151" s="2">
        <f t="shared" si="2"/>
        <v>31</v>
      </c>
    </row>
    <row r="152" spans="1:14" outlineLevel="2">
      <c r="A152" s="60"/>
      <c r="B152" s="75" t="s">
        <v>4</v>
      </c>
      <c r="C152" s="120">
        <v>13</v>
      </c>
      <c r="D152" s="115">
        <f>D145</f>
        <v>5000</v>
      </c>
      <c r="E152" s="16">
        <f>C152*D152/1000</f>
        <v>65</v>
      </c>
      <c r="F152" s="115">
        <v>12</v>
      </c>
      <c r="G152" s="115">
        <v>65</v>
      </c>
      <c r="H152" s="115">
        <f>I152*G152</f>
        <v>44.2</v>
      </c>
      <c r="I152" s="17">
        <v>0.68</v>
      </c>
      <c r="J152" s="18">
        <f>IF((G152-F152)/G152&gt;I152,(G152-F152)/G152,I152)*D152*C152/1000</f>
        <v>53</v>
      </c>
      <c r="K152" s="64"/>
      <c r="L152" s="2">
        <f t="shared" si="3"/>
        <v>140</v>
      </c>
      <c r="N152" s="2">
        <f t="shared" si="2"/>
        <v>32</v>
      </c>
    </row>
    <row r="153" spans="1:14" outlineLevel="1">
      <c r="A153" s="60"/>
      <c r="B153" s="19" t="s">
        <v>55</v>
      </c>
      <c r="C153" s="21">
        <f>SUM(C145:C152)</f>
        <v>209</v>
      </c>
      <c r="D153" s="20">
        <f>((D145*$C145)+(D146*$C146)+(D148*$C148)+(D149*$C149)+(D151*$C151)+(D152*$C152))/$C153</f>
        <v>5000</v>
      </c>
      <c r="E153" s="21">
        <f>SUM(E144:E152)</f>
        <v>1045</v>
      </c>
      <c r="F153" s="20">
        <f>((F145*$C145)+(F146*$C146)+(F148*$C148)+(F149*$C149)+(F151*$C151)+(F152*$C152))/$C153</f>
        <v>21.14354066985646</v>
      </c>
      <c r="G153" s="20">
        <f>((G145*$C145)+(G146*$C146)+(G148*$C148)+(G149*$C149)+(G151*$C151)+(G152*$C152))/$C153</f>
        <v>88.373205741626791</v>
      </c>
      <c r="H153" s="20">
        <f>((H145*$C145)+(H146*$C146)+(H148*$C148)+(H149*$C149)+(H151*$C151)+(H152*$C152))/$C153</f>
        <v>7.4382775119617222</v>
      </c>
      <c r="I153" s="116">
        <f>((I145*$C145)+(I146*$C146)+(I148*$C148)+(I149*$C149)+(I151*$C151)+(I152*$C152))/$C153</f>
        <v>9.8605604921394405E-2</v>
      </c>
      <c r="J153" s="22">
        <f>SUM(J144:J152)</f>
        <v>807.48</v>
      </c>
      <c r="K153" s="64"/>
      <c r="L153" s="2">
        <f t="shared" si="3"/>
        <v>141</v>
      </c>
      <c r="N153" s="2">
        <f t="shared" si="2"/>
        <v>33</v>
      </c>
    </row>
    <row r="154" spans="1:14" ht="6" customHeight="1" outlineLevel="1">
      <c r="A154" s="60"/>
      <c r="B154" s="14"/>
      <c r="C154" s="15"/>
      <c r="D154" s="15"/>
      <c r="E154" s="16"/>
      <c r="F154" s="15"/>
      <c r="G154" s="15"/>
      <c r="H154" s="15"/>
      <c r="I154" s="17"/>
      <c r="J154" s="18"/>
      <c r="K154" s="64"/>
      <c r="L154" s="2">
        <f t="shared" si="3"/>
        <v>142</v>
      </c>
      <c r="N154" s="2">
        <f t="shared" si="2"/>
        <v>34</v>
      </c>
    </row>
    <row r="155" spans="1:14" outlineLevel="2">
      <c r="A155" s="60"/>
      <c r="B155" s="23" t="s">
        <v>56</v>
      </c>
      <c r="C155" s="15"/>
      <c r="D155" s="15"/>
      <c r="E155" s="16"/>
      <c r="F155" s="15"/>
      <c r="G155" s="15"/>
      <c r="H155" s="15"/>
      <c r="I155" s="17"/>
      <c r="J155" s="18"/>
      <c r="K155" s="64"/>
      <c r="L155" s="2">
        <f t="shared" si="3"/>
        <v>143</v>
      </c>
      <c r="N155" s="2">
        <f t="shared" si="2"/>
        <v>35</v>
      </c>
    </row>
    <row r="156" spans="1:14" outlineLevel="2">
      <c r="A156" s="60"/>
      <c r="B156" s="14" t="s">
        <v>48</v>
      </c>
      <c r="C156" s="15"/>
      <c r="D156" s="15"/>
      <c r="E156" s="16"/>
      <c r="F156" s="15"/>
      <c r="G156" s="15"/>
      <c r="H156" s="15"/>
      <c r="I156" s="17"/>
      <c r="J156" s="18"/>
      <c r="K156" s="64"/>
      <c r="L156" s="2">
        <f t="shared" si="3"/>
        <v>144</v>
      </c>
      <c r="N156" s="2">
        <f t="shared" si="2"/>
        <v>36</v>
      </c>
    </row>
    <row r="157" spans="1:14" outlineLevel="2">
      <c r="A157" s="60"/>
      <c r="B157" s="75" t="s">
        <v>3</v>
      </c>
      <c r="C157" s="120">
        <v>2</v>
      </c>
      <c r="D157" s="115">
        <v>15000</v>
      </c>
      <c r="E157" s="16">
        <f>C157*D157/1000</f>
        <v>30</v>
      </c>
      <c r="F157" s="115">
        <v>35</v>
      </c>
      <c r="G157" s="115">
        <v>125</v>
      </c>
      <c r="H157" s="115">
        <v>5</v>
      </c>
      <c r="I157" s="17">
        <f>H157/G157</f>
        <v>0.04</v>
      </c>
      <c r="J157" s="18">
        <f>IF((G157-F157)/G157&gt;I157,(G157-F157)/G157,I157)*D157*C157/1000</f>
        <v>21.6</v>
      </c>
      <c r="K157" s="64"/>
      <c r="L157" s="2">
        <f t="shared" si="3"/>
        <v>145</v>
      </c>
      <c r="N157" s="2">
        <f t="shared" si="2"/>
        <v>37</v>
      </c>
    </row>
    <row r="158" spans="1:14" outlineLevel="2">
      <c r="A158" s="60"/>
      <c r="B158" s="75" t="s">
        <v>4</v>
      </c>
      <c r="C158" s="120">
        <v>0</v>
      </c>
      <c r="D158" s="115">
        <f>D157</f>
        <v>15000</v>
      </c>
      <c r="E158" s="16">
        <f>C158*D158/1000</f>
        <v>0</v>
      </c>
      <c r="F158" s="115">
        <v>0</v>
      </c>
      <c r="G158" s="115">
        <v>125</v>
      </c>
      <c r="H158" s="115">
        <v>5</v>
      </c>
      <c r="I158" s="17">
        <f>H158/G158</f>
        <v>0.04</v>
      </c>
      <c r="J158" s="18">
        <f>IF((G158-F158)/G158&gt;I158,(G158-F158)/G158,I158)*D158*C158/1000</f>
        <v>0</v>
      </c>
      <c r="K158" s="64"/>
      <c r="L158" s="2">
        <f t="shared" si="3"/>
        <v>146</v>
      </c>
      <c r="N158" s="2">
        <f t="shared" si="2"/>
        <v>38</v>
      </c>
    </row>
    <row r="159" spans="1:14" outlineLevel="2">
      <c r="A159" s="60"/>
      <c r="B159" s="14" t="s">
        <v>49</v>
      </c>
      <c r="C159" s="120"/>
      <c r="D159" s="115"/>
      <c r="E159" s="16"/>
      <c r="F159" s="115"/>
      <c r="G159" s="115"/>
      <c r="H159" s="115"/>
      <c r="I159" s="17"/>
      <c r="J159" s="18"/>
      <c r="K159" s="64"/>
      <c r="L159" s="2">
        <f t="shared" si="3"/>
        <v>147</v>
      </c>
      <c r="N159" s="2">
        <f t="shared" si="2"/>
        <v>39</v>
      </c>
    </row>
    <row r="160" spans="1:14" outlineLevel="2">
      <c r="A160" s="60"/>
      <c r="B160" s="75" t="s">
        <v>3</v>
      </c>
      <c r="C160" s="120">
        <v>0</v>
      </c>
      <c r="D160" s="115">
        <f>D157</f>
        <v>15000</v>
      </c>
      <c r="E160" s="16">
        <f>C160*D160/1000</f>
        <v>0</v>
      </c>
      <c r="F160" s="115">
        <v>0</v>
      </c>
      <c r="G160" s="115">
        <v>65</v>
      </c>
      <c r="H160" s="115">
        <f>I160*G160</f>
        <v>44.2</v>
      </c>
      <c r="I160" s="17">
        <v>0.68</v>
      </c>
      <c r="J160" s="18">
        <f>IF(F160&lt;G160,(I160-1)/G160*F160+1,I160)*D160*C160/1000</f>
        <v>0</v>
      </c>
      <c r="K160" s="64"/>
      <c r="L160" s="2">
        <f t="shared" si="3"/>
        <v>148</v>
      </c>
      <c r="N160" s="2">
        <f t="shared" si="2"/>
        <v>40</v>
      </c>
    </row>
    <row r="161" spans="1:14" outlineLevel="2">
      <c r="A161" s="60"/>
      <c r="B161" s="75" t="s">
        <v>4</v>
      </c>
      <c r="C161" s="120">
        <v>0</v>
      </c>
      <c r="D161" s="115">
        <f>D157</f>
        <v>15000</v>
      </c>
      <c r="E161" s="16">
        <f>C161*D161/1000</f>
        <v>0</v>
      </c>
      <c r="F161" s="115">
        <v>0</v>
      </c>
      <c r="G161" s="115">
        <v>70</v>
      </c>
      <c r="H161" s="115">
        <v>5</v>
      </c>
      <c r="I161" s="17">
        <f>H161/G161</f>
        <v>7.1428571428571425E-2</v>
      </c>
      <c r="J161" s="18">
        <f>IF((G161-F161)/G161&gt;I161,(G161-F161)/G161,I161)*D161*C161/1000</f>
        <v>0</v>
      </c>
      <c r="K161" s="64"/>
      <c r="L161" s="2">
        <f t="shared" si="3"/>
        <v>149</v>
      </c>
      <c r="N161" s="2">
        <f t="shared" si="2"/>
        <v>41</v>
      </c>
    </row>
    <row r="162" spans="1:14" outlineLevel="2">
      <c r="A162" s="60"/>
      <c r="B162" s="14" t="s">
        <v>50</v>
      </c>
      <c r="C162" s="120"/>
      <c r="D162" s="115"/>
      <c r="E162" s="16"/>
      <c r="F162" s="115"/>
      <c r="G162" s="115"/>
      <c r="H162" s="115"/>
      <c r="I162" s="17"/>
      <c r="J162" s="18"/>
      <c r="K162" s="64"/>
      <c r="L162" s="2">
        <f t="shared" si="3"/>
        <v>150</v>
      </c>
      <c r="N162" s="2">
        <f t="shared" si="2"/>
        <v>42</v>
      </c>
    </row>
    <row r="163" spans="1:14" outlineLevel="2">
      <c r="A163" s="60"/>
      <c r="B163" s="75" t="s">
        <v>3</v>
      </c>
      <c r="C163" s="120">
        <v>5</v>
      </c>
      <c r="D163" s="115">
        <f>D157</f>
        <v>15000</v>
      </c>
      <c r="E163" s="16">
        <f>C163*D163/1000</f>
        <v>75</v>
      </c>
      <c r="F163" s="115">
        <v>15</v>
      </c>
      <c r="G163" s="115">
        <v>70</v>
      </c>
      <c r="H163" s="115">
        <v>5</v>
      </c>
      <c r="I163" s="17">
        <f>H163/G163</f>
        <v>7.1428571428571425E-2</v>
      </c>
      <c r="J163" s="18">
        <f>IF((G163-F163)/G163&gt;I163,(G163-F163)/G163,I163)*D163*C163/1000</f>
        <v>58.928571428571438</v>
      </c>
      <c r="K163" s="64"/>
      <c r="L163" s="2">
        <f t="shared" si="3"/>
        <v>151</v>
      </c>
      <c r="N163" s="2">
        <f t="shared" si="2"/>
        <v>43</v>
      </c>
    </row>
    <row r="164" spans="1:14" outlineLevel="2">
      <c r="A164" s="60"/>
      <c r="B164" s="75" t="s">
        <v>4</v>
      </c>
      <c r="C164" s="120">
        <v>0</v>
      </c>
      <c r="D164" s="115">
        <f>D157</f>
        <v>15000</v>
      </c>
      <c r="E164" s="16">
        <f>C164*D164/1000</f>
        <v>0</v>
      </c>
      <c r="F164" s="115">
        <v>0</v>
      </c>
      <c r="G164" s="115">
        <v>65</v>
      </c>
      <c r="H164" s="115">
        <f>I164*G164</f>
        <v>44.2</v>
      </c>
      <c r="I164" s="17">
        <v>0.68</v>
      </c>
      <c r="J164" s="18">
        <f>IF((G164-F164)/G164&gt;I164,(G164-F164)/G164,I164)*D164*C164/1000</f>
        <v>0</v>
      </c>
      <c r="K164" s="64"/>
      <c r="L164" s="2">
        <f t="shared" si="3"/>
        <v>152</v>
      </c>
      <c r="N164" s="2">
        <f t="shared" si="2"/>
        <v>44</v>
      </c>
    </row>
    <row r="165" spans="1:14" outlineLevel="1">
      <c r="A165" s="60"/>
      <c r="B165" s="19" t="s">
        <v>57</v>
      </c>
      <c r="C165" s="21">
        <f>SUM(C157:C164)</f>
        <v>7</v>
      </c>
      <c r="D165" s="20">
        <f>((D157*$C157)+(D158*$C158)+(D160*$C160)+(D161*$C161)+(D163*$C163)+(D164*$C164))/$C165</f>
        <v>15000</v>
      </c>
      <c r="E165" s="21">
        <f>SUM(E156:E164)</f>
        <v>105</v>
      </c>
      <c r="F165" s="20">
        <f>((F157*$C157)+(F158*$C158)+(F160*$C160)+(F161*$C161)+(F163*$C163)+(F164*$C164))/$C165</f>
        <v>20.714285714285715</v>
      </c>
      <c r="G165" s="20">
        <f>((G157*$C157)+(G158*$C158)+(G160*$C160)+(G161*$C161)+(G163*$C163)+(G164*$C164))/$C165</f>
        <v>85.714285714285708</v>
      </c>
      <c r="H165" s="20">
        <f>((H157*$C157)+(H158*$C158)+(H160*$C160)+(H161*$C161)+(H163*$C163)+(H164*$C164))/$C165</f>
        <v>5</v>
      </c>
      <c r="I165" s="116">
        <f>((I157*$C157)+(I158*$C158)+(I160*$C160)+(I161*$C161)+(I163*$C163)+(I164*$C164))/$C165</f>
        <v>6.2448979591836727E-2</v>
      </c>
      <c r="J165" s="22">
        <f>SUM(J156:J164)</f>
        <v>80.528571428571439</v>
      </c>
      <c r="K165" s="64"/>
      <c r="L165" s="2">
        <f t="shared" si="3"/>
        <v>153</v>
      </c>
      <c r="N165" s="2">
        <f t="shared" si="2"/>
        <v>45</v>
      </c>
    </row>
    <row r="166" spans="1:14" ht="6" customHeight="1" outlineLevel="1">
      <c r="A166" s="60"/>
      <c r="B166" s="14"/>
      <c r="C166" s="15"/>
      <c r="D166" s="15"/>
      <c r="E166" s="16"/>
      <c r="F166" s="15"/>
      <c r="G166" s="15"/>
      <c r="H166" s="15"/>
      <c r="I166" s="17"/>
      <c r="J166" s="18"/>
      <c r="K166" s="64"/>
      <c r="L166" s="2">
        <f t="shared" si="3"/>
        <v>154</v>
      </c>
      <c r="N166" s="2">
        <f t="shared" si="2"/>
        <v>46</v>
      </c>
    </row>
    <row r="167" spans="1:14" outlineLevel="2">
      <c r="A167" s="60"/>
      <c r="B167" s="23" t="s">
        <v>58</v>
      </c>
      <c r="C167" s="15"/>
      <c r="D167" s="15"/>
      <c r="E167" s="16"/>
      <c r="F167" s="15"/>
      <c r="G167" s="15"/>
      <c r="H167" s="15"/>
      <c r="I167" s="17"/>
      <c r="J167" s="18"/>
      <c r="K167" s="64"/>
      <c r="L167" s="2">
        <f t="shared" si="3"/>
        <v>155</v>
      </c>
      <c r="N167" s="2">
        <f t="shared" si="2"/>
        <v>47</v>
      </c>
    </row>
    <row r="168" spans="1:14" outlineLevel="2">
      <c r="A168" s="60"/>
      <c r="B168" s="14" t="s">
        <v>48</v>
      </c>
      <c r="C168" s="15"/>
      <c r="D168" s="15"/>
      <c r="E168" s="16"/>
      <c r="F168" s="15"/>
      <c r="G168" s="15"/>
      <c r="H168" s="15"/>
      <c r="I168" s="17"/>
      <c r="J168" s="18"/>
      <c r="K168" s="64"/>
      <c r="L168" s="2">
        <f t="shared" si="3"/>
        <v>156</v>
      </c>
      <c r="N168" s="2">
        <f t="shared" si="2"/>
        <v>48</v>
      </c>
    </row>
    <row r="169" spans="1:14" outlineLevel="2">
      <c r="A169" s="60"/>
      <c r="B169" s="75" t="s">
        <v>3</v>
      </c>
      <c r="C169" s="120">
        <v>0</v>
      </c>
      <c r="D169" s="115">
        <v>30000</v>
      </c>
      <c r="E169" s="16">
        <f>C169*D169/1000</f>
        <v>0</v>
      </c>
      <c r="F169" s="115">
        <v>0</v>
      </c>
      <c r="G169" s="115">
        <v>125</v>
      </c>
      <c r="H169" s="115">
        <v>5</v>
      </c>
      <c r="I169" s="17">
        <f>H169/G169</f>
        <v>0.04</v>
      </c>
      <c r="J169" s="18">
        <f>IF((G169-F169)/G169&gt;I169,(G169-F169)/G169,I169)*D169*C169/1000</f>
        <v>0</v>
      </c>
      <c r="K169" s="64"/>
      <c r="L169" s="2">
        <f t="shared" si="3"/>
        <v>157</v>
      </c>
      <c r="N169" s="2">
        <f t="shared" si="2"/>
        <v>49</v>
      </c>
    </row>
    <row r="170" spans="1:14" outlineLevel="2">
      <c r="A170" s="60"/>
      <c r="B170" s="75" t="s">
        <v>4</v>
      </c>
      <c r="C170" s="120">
        <v>0</v>
      </c>
      <c r="D170" s="115">
        <f>D169</f>
        <v>30000</v>
      </c>
      <c r="E170" s="16">
        <f>C170*D170/1000</f>
        <v>0</v>
      </c>
      <c r="F170" s="115">
        <v>0</v>
      </c>
      <c r="G170" s="115">
        <v>125</v>
      </c>
      <c r="H170" s="115">
        <v>5</v>
      </c>
      <c r="I170" s="17">
        <f>H170/G170</f>
        <v>0.04</v>
      </c>
      <c r="J170" s="18">
        <f>IF((G170-F170)/G170&gt;I170,(G170-F170)/G170,I170)*D170*C170/1000</f>
        <v>0</v>
      </c>
      <c r="K170" s="64"/>
      <c r="L170" s="2">
        <f t="shared" si="3"/>
        <v>158</v>
      </c>
      <c r="N170" s="2">
        <f t="shared" si="2"/>
        <v>50</v>
      </c>
    </row>
    <row r="171" spans="1:14" outlineLevel="2">
      <c r="A171" s="60"/>
      <c r="B171" s="14" t="s">
        <v>49</v>
      </c>
      <c r="C171" s="120"/>
      <c r="D171" s="115"/>
      <c r="E171" s="16"/>
      <c r="F171" s="115"/>
      <c r="G171" s="115"/>
      <c r="H171" s="115"/>
      <c r="I171" s="17"/>
      <c r="J171" s="18"/>
      <c r="K171" s="64"/>
      <c r="L171" s="2">
        <f t="shared" si="3"/>
        <v>159</v>
      </c>
      <c r="N171" s="2">
        <f t="shared" si="2"/>
        <v>51</v>
      </c>
    </row>
    <row r="172" spans="1:14" outlineLevel="2">
      <c r="A172" s="60"/>
      <c r="B172" s="75" t="s">
        <v>3</v>
      </c>
      <c r="C172" s="120">
        <v>0</v>
      </c>
      <c r="D172" s="115">
        <f>D169</f>
        <v>30000</v>
      </c>
      <c r="E172" s="16">
        <f>C172*D172/1000</f>
        <v>0</v>
      </c>
      <c r="F172" s="115">
        <v>0</v>
      </c>
      <c r="G172" s="115">
        <v>65</v>
      </c>
      <c r="H172" s="115">
        <f>I172*G172</f>
        <v>44.2</v>
      </c>
      <c r="I172" s="17">
        <v>0.68</v>
      </c>
      <c r="J172" s="18">
        <f>IF(F172&lt;G172,(I172-1)/G172*F172+1,I172)*D172*C172/1000</f>
        <v>0</v>
      </c>
      <c r="K172" s="64"/>
      <c r="L172" s="2">
        <f t="shared" si="3"/>
        <v>160</v>
      </c>
      <c r="N172" s="2">
        <f t="shared" si="2"/>
        <v>52</v>
      </c>
    </row>
    <row r="173" spans="1:14" outlineLevel="2">
      <c r="A173" s="60"/>
      <c r="B173" s="75" t="s">
        <v>4</v>
      </c>
      <c r="C173" s="120">
        <v>0</v>
      </c>
      <c r="D173" s="115">
        <f>D169</f>
        <v>30000</v>
      </c>
      <c r="E173" s="16">
        <f>C173*D173/1000</f>
        <v>0</v>
      </c>
      <c r="F173" s="115">
        <v>0</v>
      </c>
      <c r="G173" s="115">
        <v>70</v>
      </c>
      <c r="H173" s="115">
        <v>5</v>
      </c>
      <c r="I173" s="17">
        <f>H173/G173</f>
        <v>7.1428571428571425E-2</v>
      </c>
      <c r="J173" s="18">
        <f>IF((G173-F173)/G173&gt;I173,(G173-F173)/G173,I173)*D173*C173/1000</f>
        <v>0</v>
      </c>
      <c r="K173" s="64"/>
      <c r="L173" s="2">
        <f t="shared" si="3"/>
        <v>161</v>
      </c>
      <c r="N173" s="2">
        <f t="shared" si="2"/>
        <v>53</v>
      </c>
    </row>
    <row r="174" spans="1:14" outlineLevel="2">
      <c r="A174" s="60"/>
      <c r="B174" s="14" t="s">
        <v>50</v>
      </c>
      <c r="C174" s="120"/>
      <c r="D174" s="115"/>
      <c r="E174" s="16"/>
      <c r="F174" s="115"/>
      <c r="G174" s="115"/>
      <c r="H174" s="115"/>
      <c r="I174" s="17"/>
      <c r="J174" s="18"/>
      <c r="K174" s="64"/>
      <c r="L174" s="2">
        <f t="shared" si="3"/>
        <v>162</v>
      </c>
      <c r="N174" s="2">
        <f t="shared" si="2"/>
        <v>54</v>
      </c>
    </row>
    <row r="175" spans="1:14" outlineLevel="2">
      <c r="A175" s="60"/>
      <c r="B175" s="75" t="s">
        <v>3</v>
      </c>
      <c r="C175" s="120">
        <v>0</v>
      </c>
      <c r="D175" s="115">
        <f>D169</f>
        <v>30000</v>
      </c>
      <c r="E175" s="16">
        <f>C175*D175/1000</f>
        <v>0</v>
      </c>
      <c r="F175" s="115">
        <v>0</v>
      </c>
      <c r="G175" s="115">
        <v>70</v>
      </c>
      <c r="H175" s="115">
        <v>5</v>
      </c>
      <c r="I175" s="17">
        <f>H175/G175</f>
        <v>7.1428571428571425E-2</v>
      </c>
      <c r="J175" s="18">
        <f>IF((G175-F175)/G175&gt;I175,(G175-F175)/G175,I175)*D175*C175/1000</f>
        <v>0</v>
      </c>
      <c r="K175" s="64"/>
      <c r="L175" s="2">
        <f t="shared" si="3"/>
        <v>163</v>
      </c>
      <c r="N175" s="2">
        <f t="shared" si="2"/>
        <v>55</v>
      </c>
    </row>
    <row r="176" spans="1:14" outlineLevel="2">
      <c r="A176" s="60"/>
      <c r="B176" s="75" t="s">
        <v>4</v>
      </c>
      <c r="C176" s="120">
        <v>0</v>
      </c>
      <c r="D176" s="115">
        <f>D169</f>
        <v>30000</v>
      </c>
      <c r="E176" s="16">
        <f>C176*D176/1000</f>
        <v>0</v>
      </c>
      <c r="F176" s="115">
        <v>0</v>
      </c>
      <c r="G176" s="115">
        <v>65</v>
      </c>
      <c r="H176" s="115">
        <f>I176*G176</f>
        <v>44.2</v>
      </c>
      <c r="I176" s="17">
        <v>0.68</v>
      </c>
      <c r="J176" s="18">
        <f>IF((G176-F176)/G176&gt;I176,(G176-F176)/G176,I176)*D176*C176/1000</f>
        <v>0</v>
      </c>
      <c r="K176" s="64"/>
      <c r="L176" s="2">
        <f t="shared" si="3"/>
        <v>164</v>
      </c>
      <c r="N176" s="2">
        <f t="shared" si="2"/>
        <v>56</v>
      </c>
    </row>
    <row r="177" spans="1:14" outlineLevel="1">
      <c r="A177" s="60"/>
      <c r="B177" s="19" t="s">
        <v>59</v>
      </c>
      <c r="C177" s="21">
        <f>SUM(C169:C176)</f>
        <v>0</v>
      </c>
      <c r="D177" s="20">
        <v>30000</v>
      </c>
      <c r="E177" s="21">
        <f>SUM(E168:E176)</f>
        <v>0</v>
      </c>
      <c r="F177" s="20">
        <v>0</v>
      </c>
      <c r="G177" s="20">
        <v>0</v>
      </c>
      <c r="H177" s="20">
        <v>0</v>
      </c>
      <c r="I177" s="116">
        <v>0</v>
      </c>
      <c r="J177" s="22">
        <f>SUM(J168:J176)</f>
        <v>0</v>
      </c>
      <c r="K177" s="64"/>
      <c r="L177" s="2">
        <f t="shared" si="3"/>
        <v>165</v>
      </c>
      <c r="N177" s="2">
        <f t="shared" si="2"/>
        <v>57</v>
      </c>
    </row>
    <row r="178" spans="1:14" ht="6" customHeight="1" outlineLevel="1">
      <c r="A178" s="60"/>
      <c r="B178" s="14"/>
      <c r="C178" s="15"/>
      <c r="D178" s="15"/>
      <c r="E178" s="16"/>
      <c r="F178" s="15"/>
      <c r="G178" s="15"/>
      <c r="H178" s="15"/>
      <c r="I178" s="17"/>
      <c r="J178" s="18"/>
      <c r="K178" s="64"/>
      <c r="L178" s="2">
        <f t="shared" si="3"/>
        <v>166</v>
      </c>
      <c r="N178" s="2">
        <f t="shared" si="2"/>
        <v>58</v>
      </c>
    </row>
    <row r="179" spans="1:14" ht="14.25" thickBot="1">
      <c r="A179" s="60"/>
      <c r="B179" s="24" t="s">
        <v>60</v>
      </c>
      <c r="C179" s="26">
        <f>C177+C165+C153+C141+C129</f>
        <v>173692</v>
      </c>
      <c r="D179" s="25">
        <f>((D129*$C129)+(D141*$C141)+(D153*$C153)+(D165*$C165)+(D177*$C177))/$C179</f>
        <v>982.85469681965776</v>
      </c>
      <c r="E179" s="26">
        <f>E177+E165+E153+E141+E129</f>
        <v>170713.99799999999</v>
      </c>
      <c r="F179" s="25">
        <f>((F129*$C129)+(F141*$C141)+(F153*$C153)+(F165*$C165)+(F177*$C177))/$C179</f>
        <v>33.712839342053748</v>
      </c>
      <c r="G179" s="25">
        <f>((G129*$C129)+(G141*$C141)+(G153*$C153)+(G165*$C165)+(G177*$C177))/$C179</f>
        <v>72.143794763143958</v>
      </c>
      <c r="H179" s="25">
        <f>((H129*$C129)+(H141*$C141)+(H153*$C153)+(H165*$C165)+(H177*$C177))/$C179</f>
        <v>31.505791861455911</v>
      </c>
      <c r="I179" s="117">
        <f>((I129*$C129)+(I141*$C141)+(I153*$C153)+(I165*$C165)+(I177*$C177))/$C179</f>
        <v>0.47976825974384874</v>
      </c>
      <c r="J179" s="28">
        <f>J177+J165+J153+J141+J129</f>
        <v>135126.24638846816</v>
      </c>
      <c r="K179" s="64"/>
      <c r="L179" s="2">
        <f t="shared" si="3"/>
        <v>167</v>
      </c>
      <c r="N179" s="2">
        <f t="shared" si="2"/>
        <v>59</v>
      </c>
    </row>
    <row r="180" spans="1:14" ht="15" thickTop="1" thickBot="1">
      <c r="A180" s="60"/>
      <c r="B180" s="110"/>
      <c r="C180" s="111"/>
      <c r="D180" s="111"/>
      <c r="E180" s="112"/>
      <c r="F180" s="111"/>
      <c r="G180" s="111"/>
      <c r="H180" s="111"/>
      <c r="I180" s="113"/>
      <c r="J180" s="112"/>
      <c r="K180" s="64"/>
      <c r="L180" s="2">
        <f t="shared" si="3"/>
        <v>168</v>
      </c>
      <c r="N180" s="2">
        <f t="shared" si="2"/>
        <v>60</v>
      </c>
    </row>
    <row r="181" spans="1:14" ht="14.25" outlineLevel="1" thickTop="1">
      <c r="A181" s="60"/>
      <c r="B181" s="8" t="s">
        <v>61</v>
      </c>
      <c r="C181" s="9"/>
      <c r="D181" s="9"/>
      <c r="E181" s="10"/>
      <c r="F181" s="10"/>
      <c r="G181" s="10"/>
      <c r="H181" s="10"/>
      <c r="I181" s="10"/>
      <c r="J181" s="11"/>
      <c r="K181" s="64"/>
      <c r="L181" s="2">
        <f t="shared" si="3"/>
        <v>169</v>
      </c>
      <c r="N181" s="2">
        <f t="shared" si="2"/>
        <v>61</v>
      </c>
    </row>
    <row r="182" spans="1:14" outlineLevel="2">
      <c r="A182" s="60"/>
      <c r="B182" s="12" t="s">
        <v>47</v>
      </c>
      <c r="C182" s="7"/>
      <c r="D182" s="7"/>
      <c r="E182" s="7"/>
      <c r="F182" s="7"/>
      <c r="G182" s="7"/>
      <c r="H182" s="7"/>
      <c r="I182" s="7"/>
      <c r="J182" s="13"/>
      <c r="K182" s="64"/>
      <c r="L182" s="2">
        <f t="shared" si="3"/>
        <v>170</v>
      </c>
      <c r="N182" s="2">
        <f t="shared" si="2"/>
        <v>62</v>
      </c>
    </row>
    <row r="183" spans="1:14" outlineLevel="2">
      <c r="A183" s="60"/>
      <c r="B183" s="14" t="s">
        <v>48</v>
      </c>
      <c r="C183" s="15"/>
      <c r="D183" s="15"/>
      <c r="E183" s="16"/>
      <c r="F183" s="15"/>
      <c r="G183" s="15"/>
      <c r="H183" s="15"/>
      <c r="I183" s="17"/>
      <c r="J183" s="18"/>
      <c r="K183" s="64"/>
      <c r="L183" s="2">
        <f t="shared" si="3"/>
        <v>171</v>
      </c>
      <c r="N183" s="2">
        <f t="shared" si="2"/>
        <v>63</v>
      </c>
    </row>
    <row r="184" spans="1:14" outlineLevel="2">
      <c r="A184" s="60"/>
      <c r="B184" s="75" t="s">
        <v>3</v>
      </c>
      <c r="C184" s="120">
        <v>18774</v>
      </c>
      <c r="D184" s="115">
        <v>954</v>
      </c>
      <c r="E184" s="16">
        <f>C184*D184/1000</f>
        <v>17910.396000000001</v>
      </c>
      <c r="F184" s="115">
        <v>17.27</v>
      </c>
      <c r="G184" s="115">
        <v>125</v>
      </c>
      <c r="H184" s="115">
        <v>5</v>
      </c>
      <c r="I184" s="17">
        <f>H184/G184</f>
        <v>0.04</v>
      </c>
      <c r="J184" s="18">
        <f>IF((G184-F184)/G184&gt;I184,(G184-F184)/G184,I184)*D184*C184/1000</f>
        <v>15435.895688640001</v>
      </c>
      <c r="K184" s="64"/>
      <c r="L184" s="2">
        <f t="shared" si="3"/>
        <v>172</v>
      </c>
      <c r="N184" s="2">
        <f t="shared" si="2"/>
        <v>64</v>
      </c>
    </row>
    <row r="185" spans="1:14" outlineLevel="2">
      <c r="A185" s="60"/>
      <c r="B185" s="75" t="s">
        <v>4</v>
      </c>
      <c r="C185" s="120">
        <v>2967</v>
      </c>
      <c r="D185" s="115">
        <f>$D$121</f>
        <v>954</v>
      </c>
      <c r="E185" s="16">
        <f>C185*D185/1000</f>
        <v>2830.518</v>
      </c>
      <c r="F185" s="115">
        <v>19.5</v>
      </c>
      <c r="G185" s="115">
        <v>125</v>
      </c>
      <c r="H185" s="115">
        <v>5</v>
      </c>
      <c r="I185" s="17">
        <f>H185/G185</f>
        <v>0.04</v>
      </c>
      <c r="J185" s="18">
        <f>IF((G185-F185)/G185&gt;I185,(G185-F185)/G185,I185)*D185*C185/1000</f>
        <v>2388.9571919999998</v>
      </c>
      <c r="K185" s="64"/>
      <c r="L185" s="2">
        <f t="shared" si="3"/>
        <v>173</v>
      </c>
      <c r="N185" s="2">
        <f t="shared" si="2"/>
        <v>65</v>
      </c>
    </row>
    <row r="186" spans="1:14" outlineLevel="2">
      <c r="A186" s="60"/>
      <c r="B186" s="14" t="s">
        <v>49</v>
      </c>
      <c r="C186" s="120"/>
      <c r="D186" s="115"/>
      <c r="E186" s="16"/>
      <c r="F186" s="115"/>
      <c r="G186" s="115"/>
      <c r="H186" s="115"/>
      <c r="I186" s="17"/>
      <c r="J186" s="18"/>
      <c r="K186" s="64"/>
      <c r="L186" s="2">
        <f t="shared" si="3"/>
        <v>174</v>
      </c>
      <c r="N186" s="2">
        <f t="shared" si="2"/>
        <v>66</v>
      </c>
    </row>
    <row r="187" spans="1:14" outlineLevel="2">
      <c r="A187" s="60"/>
      <c r="B187" s="75" t="s">
        <v>3</v>
      </c>
      <c r="C187" s="120">
        <v>5640</v>
      </c>
      <c r="D187" s="115">
        <f>$D$121</f>
        <v>954</v>
      </c>
      <c r="E187" s="16">
        <f>C187*D187/1000</f>
        <v>5380.56</v>
      </c>
      <c r="F187" s="115">
        <v>59.85</v>
      </c>
      <c r="G187" s="115">
        <v>65</v>
      </c>
      <c r="H187" s="115">
        <f>I187*G187</f>
        <v>44.2</v>
      </c>
      <c r="I187" s="17">
        <v>0.68</v>
      </c>
      <c r="J187" s="18">
        <f>IF(F187&lt;G187,(I187-1)/G187*F187+1,I187)*D187*C187/1000</f>
        <v>3795.1986904615387</v>
      </c>
      <c r="K187" s="64"/>
      <c r="L187" s="2">
        <f t="shared" si="3"/>
        <v>175</v>
      </c>
      <c r="N187" s="2">
        <f t="shared" ref="N187:N250" si="4">N186+1</f>
        <v>67</v>
      </c>
    </row>
    <row r="188" spans="1:14" outlineLevel="2">
      <c r="A188" s="60"/>
      <c r="B188" s="75" t="s">
        <v>4</v>
      </c>
      <c r="C188" s="120">
        <v>11</v>
      </c>
      <c r="D188" s="115">
        <f>$D$121</f>
        <v>954</v>
      </c>
      <c r="E188" s="16">
        <f>C188*D188/1000</f>
        <v>10.494</v>
      </c>
      <c r="F188" s="115">
        <v>35</v>
      </c>
      <c r="G188" s="115">
        <v>70</v>
      </c>
      <c r="H188" s="115">
        <v>5</v>
      </c>
      <c r="I188" s="17">
        <f>H188/G188</f>
        <v>7.1428571428571425E-2</v>
      </c>
      <c r="J188" s="18">
        <f>IF((G188-F188)/G188&gt;I188,(G188-F188)/G188,I188)*D188*C188/1000</f>
        <v>5.2469999999999999</v>
      </c>
      <c r="K188" s="64"/>
      <c r="L188" s="2">
        <f t="shared" si="3"/>
        <v>176</v>
      </c>
      <c r="N188" s="2">
        <f t="shared" si="4"/>
        <v>68</v>
      </c>
    </row>
    <row r="189" spans="1:14" outlineLevel="2">
      <c r="A189" s="60"/>
      <c r="B189" s="14" t="s">
        <v>50</v>
      </c>
      <c r="C189" s="120"/>
      <c r="D189" s="115"/>
      <c r="E189" s="16"/>
      <c r="F189" s="115"/>
      <c r="G189" s="115"/>
      <c r="H189" s="115"/>
      <c r="I189" s="17"/>
      <c r="J189" s="18"/>
      <c r="K189" s="64"/>
      <c r="L189" s="2">
        <f t="shared" si="3"/>
        <v>177</v>
      </c>
      <c r="N189" s="2">
        <f t="shared" si="4"/>
        <v>69</v>
      </c>
    </row>
    <row r="190" spans="1:14" outlineLevel="2">
      <c r="A190" s="60"/>
      <c r="B190" s="75" t="s">
        <v>3</v>
      </c>
      <c r="C190" s="120">
        <v>31365</v>
      </c>
      <c r="D190" s="115">
        <f>$D$121</f>
        <v>954</v>
      </c>
      <c r="E190" s="16">
        <f>C190*D190/1000</f>
        <v>29922.21</v>
      </c>
      <c r="F190" s="115">
        <v>11.208</v>
      </c>
      <c r="G190" s="115">
        <v>70</v>
      </c>
      <c r="H190" s="115">
        <v>5</v>
      </c>
      <c r="I190" s="17">
        <f>H190/G190</f>
        <v>7.1428571428571425E-2</v>
      </c>
      <c r="J190" s="18">
        <f>IF((G190-F190)/G190&gt;I190,(G190-F190)/G190,I190)*D190*C190/1000</f>
        <v>25131.236718857144</v>
      </c>
      <c r="K190" s="64"/>
      <c r="L190" s="2">
        <f t="shared" si="3"/>
        <v>178</v>
      </c>
      <c r="N190" s="2">
        <f t="shared" si="4"/>
        <v>70</v>
      </c>
    </row>
    <row r="191" spans="1:14" outlineLevel="2">
      <c r="A191" s="60"/>
      <c r="B191" s="75" t="s">
        <v>4</v>
      </c>
      <c r="C191" s="120">
        <v>602</v>
      </c>
      <c r="D191" s="115">
        <f>$D$121</f>
        <v>954</v>
      </c>
      <c r="E191" s="16">
        <f>C191*D191/1000</f>
        <v>574.30799999999999</v>
      </c>
      <c r="F191" s="115">
        <v>11.6</v>
      </c>
      <c r="G191" s="115">
        <v>65</v>
      </c>
      <c r="H191" s="115">
        <f>I191*G191</f>
        <v>44.2</v>
      </c>
      <c r="I191" s="17">
        <v>0.68</v>
      </c>
      <c r="J191" s="18">
        <f>IF((G191-F191)/G191&gt;I191,(G191-F191)/G191,I191)*D191*C191/1000</f>
        <v>471.81611076923076</v>
      </c>
      <c r="K191" s="64"/>
      <c r="L191" s="2">
        <f t="shared" si="3"/>
        <v>179</v>
      </c>
      <c r="N191" s="2">
        <f t="shared" si="4"/>
        <v>71</v>
      </c>
    </row>
    <row r="192" spans="1:14" outlineLevel="1">
      <c r="A192" s="60"/>
      <c r="B192" s="19" t="s">
        <v>62</v>
      </c>
      <c r="C192" s="21">
        <f>SUM(C183:C191)</f>
        <v>59359</v>
      </c>
      <c r="D192" s="20">
        <f>((D184*$C184)+(D185*$C185)+(D187*$C187)+(D188*$C188)+(D190*$C190)+(D191*$C191))/$C192</f>
        <v>954</v>
      </c>
      <c r="E192" s="21">
        <f>SUM(E183:E191)</f>
        <v>56628.485999999997</v>
      </c>
      <c r="F192" s="20">
        <f>((F184*$C184)+(F185*$C185)+(F187*$C187)+(F188*$C188)+(F190*$C190)+(F191*$C191))/$C192</f>
        <v>18.169857982782727</v>
      </c>
      <c r="G192" s="20">
        <f>((G184*$C184)+(G185*$C185)+(G187*$C187)+(G188*$C188)+(G190*$C190)+(G191*$C191))/$C192</f>
        <v>89.618676190636634</v>
      </c>
      <c r="H192" s="20">
        <f>((H184*$C184)+(H185*$C185)+(H187*$C187)+(H188*$C188)+(H190*$C190)+(H191*$C191))/$C192</f>
        <v>9.1221449148402094</v>
      </c>
      <c r="I192" s="116">
        <f>((I184*$C184)+(I185*$C185)+(I187*$C187)+(I188*$C188)+(I190*$C190)+(I191*$C191))/$C192</f>
        <v>0.12391284989879979</v>
      </c>
      <c r="J192" s="22">
        <f>SUM(J183:J191)</f>
        <v>47228.351400727915</v>
      </c>
      <c r="K192" s="64"/>
      <c r="L192" s="2">
        <f t="shared" si="3"/>
        <v>180</v>
      </c>
      <c r="N192" s="2">
        <f t="shared" si="4"/>
        <v>72</v>
      </c>
    </row>
    <row r="193" spans="1:14" ht="6" customHeight="1" outlineLevel="1">
      <c r="A193" s="60"/>
      <c r="B193" s="14"/>
      <c r="C193" s="15"/>
      <c r="D193" s="15"/>
      <c r="E193" s="16"/>
      <c r="F193" s="15"/>
      <c r="G193" s="15"/>
      <c r="H193" s="15"/>
      <c r="I193" s="17"/>
      <c r="J193" s="18"/>
      <c r="K193" s="64"/>
      <c r="L193" s="2">
        <f t="shared" si="3"/>
        <v>181</v>
      </c>
      <c r="N193" s="2">
        <f t="shared" si="4"/>
        <v>73</v>
      </c>
    </row>
    <row r="194" spans="1:14" outlineLevel="2">
      <c r="A194" s="60"/>
      <c r="B194" s="23" t="s">
        <v>52</v>
      </c>
      <c r="C194" s="15"/>
      <c r="D194" s="15"/>
      <c r="E194" s="16"/>
      <c r="F194" s="15"/>
      <c r="G194" s="15"/>
      <c r="H194" s="15"/>
      <c r="I194" s="17"/>
      <c r="J194" s="18"/>
      <c r="K194" s="64"/>
      <c r="L194" s="2">
        <f t="shared" si="3"/>
        <v>182</v>
      </c>
      <c r="N194" s="2">
        <f t="shared" si="4"/>
        <v>74</v>
      </c>
    </row>
    <row r="195" spans="1:14" outlineLevel="2">
      <c r="A195" s="60"/>
      <c r="B195" s="14" t="s">
        <v>48</v>
      </c>
      <c r="C195" s="15"/>
      <c r="D195" s="15"/>
      <c r="E195" s="16"/>
      <c r="F195" s="15"/>
      <c r="G195" s="15"/>
      <c r="H195" s="15"/>
      <c r="I195" s="17"/>
      <c r="J195" s="18"/>
      <c r="K195" s="64"/>
      <c r="L195" s="2">
        <f t="shared" si="3"/>
        <v>183</v>
      </c>
      <c r="N195" s="2">
        <f t="shared" si="4"/>
        <v>75</v>
      </c>
    </row>
    <row r="196" spans="1:14" outlineLevel="2">
      <c r="A196" s="60"/>
      <c r="B196" s="75" t="s">
        <v>3</v>
      </c>
      <c r="C196" s="120">
        <v>420</v>
      </c>
      <c r="D196" s="115">
        <v>2000</v>
      </c>
      <c r="E196" s="16">
        <f>C196*D196/1000</f>
        <v>840</v>
      </c>
      <c r="F196" s="115">
        <v>17.350000000000001</v>
      </c>
      <c r="G196" s="115">
        <v>125</v>
      </c>
      <c r="H196" s="115">
        <v>5</v>
      </c>
      <c r="I196" s="17">
        <f>H196/G196</f>
        <v>0.04</v>
      </c>
      <c r="J196" s="18">
        <f>IF((G196-F196)/G196&gt;I196,(G196-F196)/G196,I196)*D196*C196/1000</f>
        <v>723.40800000000002</v>
      </c>
      <c r="K196" s="64"/>
      <c r="L196" s="2">
        <f t="shared" si="3"/>
        <v>184</v>
      </c>
      <c r="N196" s="2">
        <f t="shared" si="4"/>
        <v>76</v>
      </c>
    </row>
    <row r="197" spans="1:14" outlineLevel="2">
      <c r="A197" s="60"/>
      <c r="B197" s="75" t="s">
        <v>4</v>
      </c>
      <c r="C197" s="120">
        <v>108</v>
      </c>
      <c r="D197" s="115">
        <f>D196</f>
        <v>2000</v>
      </c>
      <c r="E197" s="16">
        <f>C197*D197/1000</f>
        <v>216</v>
      </c>
      <c r="F197" s="115">
        <v>19.5</v>
      </c>
      <c r="G197" s="115">
        <v>125</v>
      </c>
      <c r="H197" s="115">
        <v>5</v>
      </c>
      <c r="I197" s="17">
        <f>H197/G197</f>
        <v>0.04</v>
      </c>
      <c r="J197" s="18">
        <f>IF((G197-F197)/G197&gt;I197,(G197-F197)/G197,I197)*D197*C197/1000</f>
        <v>182.304</v>
      </c>
      <c r="K197" s="64"/>
      <c r="L197" s="2">
        <f t="shared" si="3"/>
        <v>185</v>
      </c>
      <c r="N197" s="2">
        <f t="shared" si="4"/>
        <v>77</v>
      </c>
    </row>
    <row r="198" spans="1:14" outlineLevel="2">
      <c r="A198" s="60"/>
      <c r="B198" s="14" t="s">
        <v>49</v>
      </c>
      <c r="C198" s="120"/>
      <c r="D198" s="115"/>
      <c r="E198" s="16"/>
      <c r="F198" s="115"/>
      <c r="G198" s="115"/>
      <c r="H198" s="115"/>
      <c r="I198" s="17"/>
      <c r="J198" s="18"/>
      <c r="K198" s="64"/>
      <c r="L198" s="2">
        <f t="shared" si="3"/>
        <v>186</v>
      </c>
      <c r="N198" s="2">
        <f t="shared" si="4"/>
        <v>78</v>
      </c>
    </row>
    <row r="199" spans="1:14" outlineLevel="2">
      <c r="A199" s="60"/>
      <c r="B199" s="75" t="s">
        <v>3</v>
      </c>
      <c r="C199" s="120">
        <v>126</v>
      </c>
      <c r="D199" s="115">
        <f>D196</f>
        <v>2000</v>
      </c>
      <c r="E199" s="16">
        <f>C199*D199/1000</f>
        <v>252</v>
      </c>
      <c r="F199" s="115">
        <v>59.85</v>
      </c>
      <c r="G199" s="115">
        <v>65</v>
      </c>
      <c r="H199" s="115">
        <f>I199*G199</f>
        <v>44.2</v>
      </c>
      <c r="I199" s="17">
        <v>0.68</v>
      </c>
      <c r="J199" s="18">
        <f>IF(F199&lt;G199,(I199-1)/G199*F199+1,I199)*D199*C199/1000</f>
        <v>177.74916923076924</v>
      </c>
      <c r="K199" s="64"/>
      <c r="L199" s="2">
        <f t="shared" si="3"/>
        <v>187</v>
      </c>
      <c r="N199" s="2">
        <f t="shared" si="4"/>
        <v>79</v>
      </c>
    </row>
    <row r="200" spans="1:14" outlineLevel="2">
      <c r="A200" s="60"/>
      <c r="B200" s="75" t="s">
        <v>4</v>
      </c>
      <c r="C200" s="120">
        <v>0</v>
      </c>
      <c r="D200" s="115">
        <f>D196</f>
        <v>2000</v>
      </c>
      <c r="E200" s="16">
        <f>C200*D200/1000</f>
        <v>0</v>
      </c>
      <c r="F200" s="115">
        <v>0</v>
      </c>
      <c r="G200" s="115">
        <v>70</v>
      </c>
      <c r="H200" s="115">
        <v>5</v>
      </c>
      <c r="I200" s="17">
        <f>H200/G200</f>
        <v>7.1428571428571425E-2</v>
      </c>
      <c r="J200" s="18">
        <f>IF((G200-F200)/G200&gt;I200,(G200-F200)/G200,I200)*D200*C200/1000</f>
        <v>0</v>
      </c>
      <c r="K200" s="64"/>
      <c r="L200" s="2">
        <f t="shared" si="3"/>
        <v>188</v>
      </c>
      <c r="N200" s="2">
        <f t="shared" si="4"/>
        <v>80</v>
      </c>
    </row>
    <row r="201" spans="1:14" outlineLevel="2">
      <c r="A201" s="60"/>
      <c r="B201" s="14" t="s">
        <v>50</v>
      </c>
      <c r="C201" s="120"/>
      <c r="D201" s="115"/>
      <c r="E201" s="16"/>
      <c r="F201" s="115"/>
      <c r="G201" s="115"/>
      <c r="H201" s="115"/>
      <c r="I201" s="17"/>
      <c r="J201" s="18"/>
      <c r="K201" s="64"/>
      <c r="L201" s="2">
        <f t="shared" si="3"/>
        <v>189</v>
      </c>
      <c r="N201" s="2">
        <f t="shared" si="4"/>
        <v>81</v>
      </c>
    </row>
    <row r="202" spans="1:14" outlineLevel="2">
      <c r="A202" s="60"/>
      <c r="B202" s="75" t="s">
        <v>3</v>
      </c>
      <c r="C202" s="120">
        <v>701</v>
      </c>
      <c r="D202" s="115">
        <f>D196</f>
        <v>2000</v>
      </c>
      <c r="E202" s="16">
        <f>C202*D202/1000</f>
        <v>1402</v>
      </c>
      <c r="F202" s="115">
        <v>11.21</v>
      </c>
      <c r="G202" s="115">
        <v>70</v>
      </c>
      <c r="H202" s="115">
        <v>5</v>
      </c>
      <c r="I202" s="17">
        <f>H202/G202</f>
        <v>7.1428571428571425E-2</v>
      </c>
      <c r="J202" s="18">
        <f>IF((G202-F202)/G202&gt;I202,(G202-F202)/G202,I202)*D202*C202/1000</f>
        <v>1177.4797142857144</v>
      </c>
      <c r="K202" s="64"/>
      <c r="L202" s="2">
        <f t="shared" si="3"/>
        <v>190</v>
      </c>
      <c r="N202" s="2">
        <f t="shared" si="4"/>
        <v>82</v>
      </c>
    </row>
    <row r="203" spans="1:14" outlineLevel="2">
      <c r="A203" s="60"/>
      <c r="B203" s="75" t="s">
        <v>4</v>
      </c>
      <c r="C203" s="120">
        <v>22</v>
      </c>
      <c r="D203" s="115">
        <f>D196</f>
        <v>2000</v>
      </c>
      <c r="E203" s="16">
        <f>C203*D203/1000</f>
        <v>44</v>
      </c>
      <c r="F203" s="115">
        <v>11.6</v>
      </c>
      <c r="G203" s="115">
        <v>65</v>
      </c>
      <c r="H203" s="115">
        <f>I203*G203</f>
        <v>44.2</v>
      </c>
      <c r="I203" s="17">
        <v>0.68</v>
      </c>
      <c r="J203" s="18">
        <f>IF((G203-F203)/G203&gt;I203,(G203-F203)/G203,I203)*D203*C203/1000</f>
        <v>36.147692307692303</v>
      </c>
      <c r="K203" s="64"/>
      <c r="L203" s="2">
        <f t="shared" si="3"/>
        <v>191</v>
      </c>
      <c r="N203" s="2">
        <f t="shared" si="4"/>
        <v>83</v>
      </c>
    </row>
    <row r="204" spans="1:14" outlineLevel="1">
      <c r="A204" s="60"/>
      <c r="B204" s="19" t="s">
        <v>63</v>
      </c>
      <c r="C204" s="21">
        <f>SUM(C196:C203)</f>
        <v>1377</v>
      </c>
      <c r="D204" s="20">
        <f>((D196*$C196)+(D197*$C197)+(D199*$C199)+(D200*$C200)+(D202*$C202)+(D203*$C203))/$C204</f>
        <v>2000</v>
      </c>
      <c r="E204" s="21">
        <f>SUM(E195:E203)</f>
        <v>2754</v>
      </c>
      <c r="F204" s="20">
        <f>((F196*$C196)+(F197*$C197)+(F199*$C199)+(F200*$C200)+(F202*$C202)+(F203*$C203))/$C204</f>
        <v>18.189912854030499</v>
      </c>
      <c r="G204" s="20">
        <f>((G196*$C196)+(G197*$C197)+(G199*$C199)+(G200*$C200)+(G202*$C202)+(G203*$C203))/$C204</f>
        <v>90.551924473493102</v>
      </c>
      <c r="H204" s="20">
        <f>((H196*$C196)+(H197*$C197)+(H199*$C199)+(H200*$C200)+(H202*$C202)+(H203*$C203))/$C204</f>
        <v>9.2132171387073356</v>
      </c>
      <c r="I204" s="116">
        <f>((I196*$C196)+(I197*$C197)+(I199*$C199)+(I200*$C200)+(I202*$C202)+(I203*$C203))/$C204</f>
        <v>0.12478680361033302</v>
      </c>
      <c r="J204" s="22">
        <f>SUM(J195:J203)</f>
        <v>2297.0885758241761</v>
      </c>
      <c r="K204" s="64"/>
      <c r="L204" s="2">
        <f t="shared" si="3"/>
        <v>192</v>
      </c>
      <c r="N204" s="2">
        <f t="shared" si="4"/>
        <v>84</v>
      </c>
    </row>
    <row r="205" spans="1:14" ht="6" customHeight="1" outlineLevel="1">
      <c r="A205" s="60"/>
      <c r="B205" s="14"/>
      <c r="C205" s="15"/>
      <c r="D205" s="15"/>
      <c r="E205" s="16"/>
      <c r="F205" s="15"/>
      <c r="G205" s="15"/>
      <c r="H205" s="15"/>
      <c r="I205" s="17"/>
      <c r="J205" s="18"/>
      <c r="K205" s="64"/>
      <c r="L205" s="2">
        <f t="shared" si="3"/>
        <v>193</v>
      </c>
      <c r="N205" s="2">
        <f t="shared" si="4"/>
        <v>85</v>
      </c>
    </row>
    <row r="206" spans="1:14" outlineLevel="2">
      <c r="A206" s="60"/>
      <c r="B206" s="23" t="s">
        <v>54</v>
      </c>
      <c r="C206" s="15"/>
      <c r="D206" s="15"/>
      <c r="E206" s="16"/>
      <c r="F206" s="15"/>
      <c r="G206" s="15"/>
      <c r="H206" s="15"/>
      <c r="I206" s="17"/>
      <c r="J206" s="18"/>
      <c r="K206" s="64"/>
      <c r="L206" s="2">
        <f t="shared" si="3"/>
        <v>194</v>
      </c>
      <c r="N206" s="2">
        <f t="shared" si="4"/>
        <v>86</v>
      </c>
    </row>
    <row r="207" spans="1:14" outlineLevel="2">
      <c r="A207" s="60"/>
      <c r="B207" s="14" t="s">
        <v>48</v>
      </c>
      <c r="C207" s="15"/>
      <c r="D207" s="15"/>
      <c r="E207" s="16"/>
      <c r="F207" s="15"/>
      <c r="G207" s="15"/>
      <c r="H207" s="15"/>
      <c r="I207" s="17"/>
      <c r="J207" s="18"/>
      <c r="K207" s="64"/>
      <c r="L207" s="2">
        <f t="shared" ref="L207:L270" si="5">L206+1</f>
        <v>195</v>
      </c>
      <c r="N207" s="2">
        <f t="shared" si="4"/>
        <v>87</v>
      </c>
    </row>
    <row r="208" spans="1:14" outlineLevel="2">
      <c r="A208" s="60"/>
      <c r="B208" s="75" t="s">
        <v>3</v>
      </c>
      <c r="C208" s="120">
        <v>152</v>
      </c>
      <c r="D208" s="115">
        <v>5000</v>
      </c>
      <c r="E208" s="16">
        <f>C208*D208/1000</f>
        <v>760</v>
      </c>
      <c r="F208" s="115">
        <v>17.600000000000001</v>
      </c>
      <c r="G208" s="115">
        <v>125</v>
      </c>
      <c r="H208" s="115">
        <v>5</v>
      </c>
      <c r="I208" s="17">
        <f>H208/G208</f>
        <v>0.04</v>
      </c>
      <c r="J208" s="18">
        <f>IF((G208-F208)/G208&gt;I208,(G208-F208)/G208,I208)*D208*C208/1000</f>
        <v>652.99199999999996</v>
      </c>
      <c r="K208" s="64"/>
      <c r="L208" s="2">
        <f t="shared" si="5"/>
        <v>196</v>
      </c>
      <c r="N208" s="2">
        <f t="shared" si="4"/>
        <v>88</v>
      </c>
    </row>
    <row r="209" spans="1:14" outlineLevel="2">
      <c r="A209" s="60"/>
      <c r="B209" s="75" t="s">
        <v>4</v>
      </c>
      <c r="C209" s="120">
        <v>20</v>
      </c>
      <c r="D209" s="115">
        <f>D208</f>
        <v>5000</v>
      </c>
      <c r="E209" s="16">
        <f>C209*D209/1000</f>
        <v>100</v>
      </c>
      <c r="F209" s="115">
        <v>19.5</v>
      </c>
      <c r="G209" s="115">
        <v>125</v>
      </c>
      <c r="H209" s="115">
        <v>5</v>
      </c>
      <c r="I209" s="17">
        <f>H209/G209</f>
        <v>0.04</v>
      </c>
      <c r="J209" s="18">
        <f>IF((G209-F209)/G209&gt;I209,(G209-F209)/G209,I209)*D209*C209/1000</f>
        <v>84.4</v>
      </c>
      <c r="K209" s="64"/>
      <c r="L209" s="2">
        <f t="shared" si="5"/>
        <v>197</v>
      </c>
      <c r="N209" s="2">
        <f t="shared" si="4"/>
        <v>89</v>
      </c>
    </row>
    <row r="210" spans="1:14" outlineLevel="2">
      <c r="A210" s="60"/>
      <c r="B210" s="14" t="s">
        <v>49</v>
      </c>
      <c r="C210" s="120"/>
      <c r="D210" s="115"/>
      <c r="E210" s="16"/>
      <c r="F210" s="115"/>
      <c r="G210" s="115"/>
      <c r="H210" s="115"/>
      <c r="I210" s="17"/>
      <c r="J210" s="18"/>
      <c r="K210" s="64"/>
      <c r="L210" s="2">
        <f t="shared" si="5"/>
        <v>198</v>
      </c>
      <c r="N210" s="2">
        <f t="shared" si="4"/>
        <v>90</v>
      </c>
    </row>
    <row r="211" spans="1:14" outlineLevel="2">
      <c r="A211" s="60"/>
      <c r="B211" s="75" t="s">
        <v>3</v>
      </c>
      <c r="C211" s="120">
        <v>0</v>
      </c>
      <c r="D211" s="115">
        <f>D208</f>
        <v>5000</v>
      </c>
      <c r="E211" s="16">
        <f>C211*D211/1000</f>
        <v>0</v>
      </c>
      <c r="F211" s="115">
        <v>0</v>
      </c>
      <c r="G211" s="115">
        <v>65</v>
      </c>
      <c r="H211" s="115">
        <f>I211*G211</f>
        <v>44.2</v>
      </c>
      <c r="I211" s="17">
        <v>0.68</v>
      </c>
      <c r="J211" s="18">
        <f>IF(F211&lt;G211,(I211-1)/G211*F211+1,I211)*D211*C211/1000</f>
        <v>0</v>
      </c>
      <c r="K211" s="64"/>
      <c r="L211" s="2">
        <f t="shared" si="5"/>
        <v>199</v>
      </c>
      <c r="N211" s="2">
        <f t="shared" si="4"/>
        <v>91</v>
      </c>
    </row>
    <row r="212" spans="1:14" outlineLevel="2">
      <c r="A212" s="60"/>
      <c r="B212" s="75" t="s">
        <v>4</v>
      </c>
      <c r="C212" s="120">
        <v>0</v>
      </c>
      <c r="D212" s="115">
        <f>D208</f>
        <v>5000</v>
      </c>
      <c r="E212" s="16">
        <f>C212*D212/1000</f>
        <v>0</v>
      </c>
      <c r="F212" s="115">
        <v>0</v>
      </c>
      <c r="G212" s="115">
        <v>70</v>
      </c>
      <c r="H212" s="115">
        <v>5</v>
      </c>
      <c r="I212" s="17">
        <f>H212/G212</f>
        <v>7.1428571428571425E-2</v>
      </c>
      <c r="J212" s="18">
        <f>IF((G212-F212)/G212&gt;I212,(G212-F212)/G212,I212)*D212*C212/1000</f>
        <v>0</v>
      </c>
      <c r="K212" s="64"/>
      <c r="L212" s="2">
        <f t="shared" si="5"/>
        <v>200</v>
      </c>
      <c r="N212" s="2">
        <f t="shared" si="4"/>
        <v>92</v>
      </c>
    </row>
    <row r="213" spans="1:14" outlineLevel="2">
      <c r="A213" s="60"/>
      <c r="B213" s="14" t="s">
        <v>50</v>
      </c>
      <c r="C213" s="120"/>
      <c r="D213" s="115"/>
      <c r="E213" s="16"/>
      <c r="F213" s="115"/>
      <c r="G213" s="115"/>
      <c r="H213" s="115"/>
      <c r="I213" s="17"/>
      <c r="J213" s="18"/>
      <c r="K213" s="64"/>
      <c r="L213" s="2">
        <f t="shared" si="5"/>
        <v>201</v>
      </c>
      <c r="N213" s="2">
        <f t="shared" si="4"/>
        <v>93</v>
      </c>
    </row>
    <row r="214" spans="1:14" outlineLevel="2">
      <c r="A214" s="60"/>
      <c r="B214" s="75" t="s">
        <v>3</v>
      </c>
      <c r="C214" s="120">
        <v>253</v>
      </c>
      <c r="D214" s="115">
        <f>D208</f>
        <v>5000</v>
      </c>
      <c r="E214" s="16">
        <f>C214*D214/1000</f>
        <v>1265</v>
      </c>
      <c r="F214" s="115">
        <v>11.205</v>
      </c>
      <c r="G214" s="115">
        <v>70</v>
      </c>
      <c r="H214" s="115">
        <v>5</v>
      </c>
      <c r="I214" s="17">
        <f>H214/G214</f>
        <v>7.1428571428571425E-2</v>
      </c>
      <c r="J214" s="18">
        <f>IF((G214-F214)/G214&gt;I214,(G214-F214)/G214,I214)*D214*C214/1000</f>
        <v>1062.509642857143</v>
      </c>
      <c r="K214" s="64"/>
      <c r="L214" s="2">
        <f t="shared" si="5"/>
        <v>202</v>
      </c>
      <c r="N214" s="2">
        <f t="shared" si="4"/>
        <v>94</v>
      </c>
    </row>
    <row r="215" spans="1:14" outlineLevel="2">
      <c r="A215" s="60"/>
      <c r="B215" s="75" t="s">
        <v>4</v>
      </c>
      <c r="C215" s="120">
        <v>4</v>
      </c>
      <c r="D215" s="115">
        <f>D208</f>
        <v>5000</v>
      </c>
      <c r="E215" s="16">
        <f>C215*D215/1000</f>
        <v>20</v>
      </c>
      <c r="F215" s="115">
        <v>11.3</v>
      </c>
      <c r="G215" s="115">
        <v>65</v>
      </c>
      <c r="H215" s="115">
        <f>I215*G215</f>
        <v>44.2</v>
      </c>
      <c r="I215" s="17">
        <v>0.68</v>
      </c>
      <c r="J215" s="18">
        <f>IF((G215-F215)/G215&gt;I215,(G215-F215)/G215,I215)*D215*C215/1000</f>
        <v>16.523076923076925</v>
      </c>
      <c r="K215" s="64"/>
      <c r="L215" s="2">
        <f t="shared" si="5"/>
        <v>203</v>
      </c>
      <c r="N215" s="2">
        <f t="shared" si="4"/>
        <v>95</v>
      </c>
    </row>
    <row r="216" spans="1:14" outlineLevel="1">
      <c r="A216" s="60"/>
      <c r="B216" s="19" t="s">
        <v>64</v>
      </c>
      <c r="C216" s="21">
        <f>SUM(C208:C215)</f>
        <v>429</v>
      </c>
      <c r="D216" s="20">
        <f>((D208*$C208)+(D209*$C209)+(D211*$C211)+(D212*$C212)+(D214*$C214)+(D215*$C215))/$C216</f>
        <v>5000</v>
      </c>
      <c r="E216" s="21">
        <f>SUM(E207:E215)</f>
        <v>2145</v>
      </c>
      <c r="F216" s="20">
        <f>((F208*$C208)+(F209*$C209)+(F211*$C211)+(F212*$C212)+(F214*$C214)+(F215*$C215))/$C216</f>
        <v>13.858426573426573</v>
      </c>
      <c r="G216" s="20">
        <f>((G208*$C208)+(G209*$C209)+(G211*$C211)+(G212*$C212)+(G214*$C214)+(G215*$C215))/$C216</f>
        <v>92.004662004662009</v>
      </c>
      <c r="H216" s="20">
        <f>((H208*$C208)+(H209*$C209)+(H211*$C211)+(H212*$C212)+(H214*$C214)+(H215*$C215))/$C216</f>
        <v>5.3655011655011657</v>
      </c>
      <c r="I216" s="116">
        <f>((I208*$C208)+(I209*$C209)+(I211*$C211)+(I212*$C212)+(I214*$C214)+(I215*$C215))/$C216</f>
        <v>6.4502164502164491E-2</v>
      </c>
      <c r="J216" s="22">
        <f>SUM(J207:J215)</f>
        <v>1816.4247197802199</v>
      </c>
      <c r="K216" s="64"/>
      <c r="L216" s="2">
        <f t="shared" si="5"/>
        <v>204</v>
      </c>
      <c r="N216" s="2">
        <f t="shared" si="4"/>
        <v>96</v>
      </c>
    </row>
    <row r="217" spans="1:14" ht="6" customHeight="1" outlineLevel="1">
      <c r="A217" s="60"/>
      <c r="B217" s="14"/>
      <c r="C217" s="15"/>
      <c r="D217" s="15"/>
      <c r="E217" s="16"/>
      <c r="F217" s="15"/>
      <c r="G217" s="15"/>
      <c r="H217" s="15"/>
      <c r="I217" s="17"/>
      <c r="J217" s="18"/>
      <c r="K217" s="64"/>
      <c r="L217" s="2">
        <f t="shared" si="5"/>
        <v>205</v>
      </c>
      <c r="N217" s="2">
        <f t="shared" si="4"/>
        <v>97</v>
      </c>
    </row>
    <row r="218" spans="1:14" outlineLevel="2">
      <c r="A218" s="60"/>
      <c r="B218" s="23" t="s">
        <v>56</v>
      </c>
      <c r="C218" s="15"/>
      <c r="D218" s="15"/>
      <c r="E218" s="16"/>
      <c r="F218" s="15"/>
      <c r="G218" s="15"/>
      <c r="H218" s="15"/>
      <c r="I218" s="17"/>
      <c r="J218" s="18"/>
      <c r="K218" s="64"/>
      <c r="L218" s="2">
        <f t="shared" si="5"/>
        <v>206</v>
      </c>
      <c r="N218" s="2">
        <f t="shared" si="4"/>
        <v>98</v>
      </c>
    </row>
    <row r="219" spans="1:14" outlineLevel="2">
      <c r="A219" s="60"/>
      <c r="B219" s="14" t="s">
        <v>48</v>
      </c>
      <c r="C219" s="15"/>
      <c r="D219" s="15"/>
      <c r="E219" s="16"/>
      <c r="F219" s="15"/>
      <c r="G219" s="15"/>
      <c r="H219" s="15"/>
      <c r="I219" s="17"/>
      <c r="J219" s="18"/>
      <c r="K219" s="64"/>
      <c r="L219" s="2">
        <f t="shared" si="5"/>
        <v>207</v>
      </c>
      <c r="N219" s="2">
        <f t="shared" si="4"/>
        <v>99</v>
      </c>
    </row>
    <row r="220" spans="1:14" outlineLevel="2">
      <c r="A220" s="60"/>
      <c r="B220" s="75" t="s">
        <v>3</v>
      </c>
      <c r="C220" s="120">
        <v>17</v>
      </c>
      <c r="D220" s="115">
        <v>15000</v>
      </c>
      <c r="E220" s="16">
        <f>C220*D220/1000</f>
        <v>255</v>
      </c>
      <c r="F220" s="115">
        <v>17.899999999999999</v>
      </c>
      <c r="G220" s="115">
        <v>125</v>
      </c>
      <c r="H220" s="115">
        <v>5</v>
      </c>
      <c r="I220" s="17">
        <f>H220/G220</f>
        <v>0.04</v>
      </c>
      <c r="J220" s="18">
        <f>IF((G220-F220)/G220&gt;I220,(G220-F220)/G220,I220)*D220*C220/1000</f>
        <v>218.48400000000001</v>
      </c>
      <c r="K220" s="64"/>
      <c r="L220" s="2">
        <f t="shared" si="5"/>
        <v>208</v>
      </c>
      <c r="N220" s="2">
        <f t="shared" si="4"/>
        <v>100</v>
      </c>
    </row>
    <row r="221" spans="1:14" outlineLevel="2">
      <c r="A221" s="60"/>
      <c r="B221" s="75" t="s">
        <v>4</v>
      </c>
      <c r="C221" s="120">
        <v>3</v>
      </c>
      <c r="D221" s="115">
        <f>D220</f>
        <v>15000</v>
      </c>
      <c r="E221" s="16">
        <f>C221*D221/1000</f>
        <v>45</v>
      </c>
      <c r="F221" s="115">
        <v>19.5</v>
      </c>
      <c r="G221" s="115">
        <v>125</v>
      </c>
      <c r="H221" s="115">
        <v>5</v>
      </c>
      <c r="I221" s="17">
        <f>H221/G221</f>
        <v>0.04</v>
      </c>
      <c r="J221" s="18">
        <f>IF((G221-F221)/G221&gt;I221,(G221-F221)/G221,I221)*D221*C221/1000</f>
        <v>37.979999999999997</v>
      </c>
      <c r="K221" s="64"/>
      <c r="L221" s="2">
        <f t="shared" si="5"/>
        <v>209</v>
      </c>
      <c r="N221" s="2">
        <f t="shared" si="4"/>
        <v>101</v>
      </c>
    </row>
    <row r="222" spans="1:14" outlineLevel="2">
      <c r="A222" s="60"/>
      <c r="B222" s="14" t="s">
        <v>49</v>
      </c>
      <c r="C222" s="120"/>
      <c r="D222" s="115"/>
      <c r="E222" s="16"/>
      <c r="F222" s="115"/>
      <c r="G222" s="115"/>
      <c r="H222" s="115"/>
      <c r="I222" s="17"/>
      <c r="J222" s="18"/>
      <c r="K222" s="64"/>
      <c r="L222" s="2">
        <f t="shared" si="5"/>
        <v>210</v>
      </c>
      <c r="N222" s="2">
        <f t="shared" si="4"/>
        <v>102</v>
      </c>
    </row>
    <row r="223" spans="1:14" outlineLevel="2">
      <c r="A223" s="60"/>
      <c r="B223" s="75" t="s">
        <v>3</v>
      </c>
      <c r="C223" s="120">
        <v>0</v>
      </c>
      <c r="D223" s="115">
        <f>D220</f>
        <v>15000</v>
      </c>
      <c r="E223" s="16">
        <f>C223*D223/1000</f>
        <v>0</v>
      </c>
      <c r="F223" s="115">
        <v>0</v>
      </c>
      <c r="G223" s="115">
        <v>65</v>
      </c>
      <c r="H223" s="115">
        <f>I223*G223</f>
        <v>44.2</v>
      </c>
      <c r="I223" s="17">
        <v>0.68</v>
      </c>
      <c r="J223" s="18">
        <f>IF(F223&lt;G223,(I223-1)/G223*F223+1,I223)*D223*C223/1000</f>
        <v>0</v>
      </c>
      <c r="K223" s="64"/>
      <c r="L223" s="2">
        <f t="shared" si="5"/>
        <v>211</v>
      </c>
      <c r="N223" s="2">
        <f t="shared" si="4"/>
        <v>103</v>
      </c>
    </row>
    <row r="224" spans="1:14" outlineLevel="2">
      <c r="A224" s="60"/>
      <c r="B224" s="75" t="s">
        <v>4</v>
      </c>
      <c r="C224" s="120">
        <v>0</v>
      </c>
      <c r="D224" s="115">
        <f>D220</f>
        <v>15000</v>
      </c>
      <c r="E224" s="16">
        <f>C224*D224/1000</f>
        <v>0</v>
      </c>
      <c r="F224" s="115">
        <v>0</v>
      </c>
      <c r="G224" s="115">
        <v>70</v>
      </c>
      <c r="H224" s="115">
        <v>5</v>
      </c>
      <c r="I224" s="17">
        <f>H224/G224</f>
        <v>7.1428571428571425E-2</v>
      </c>
      <c r="J224" s="18">
        <f>IF((G224-F224)/G224&gt;I224,(G224-F224)/G224,I224)*D224*C224/1000</f>
        <v>0</v>
      </c>
      <c r="K224" s="64"/>
      <c r="L224" s="2">
        <f t="shared" si="5"/>
        <v>212</v>
      </c>
      <c r="N224" s="2">
        <f t="shared" si="4"/>
        <v>104</v>
      </c>
    </row>
    <row r="225" spans="1:14" outlineLevel="2">
      <c r="A225" s="60"/>
      <c r="B225" s="14" t="s">
        <v>50</v>
      </c>
      <c r="C225" s="120"/>
      <c r="D225" s="115"/>
      <c r="E225" s="16"/>
      <c r="F225" s="115"/>
      <c r="G225" s="115"/>
      <c r="H225" s="115"/>
      <c r="I225" s="17"/>
      <c r="J225" s="18"/>
      <c r="K225" s="64"/>
      <c r="L225" s="2">
        <f t="shared" si="5"/>
        <v>213</v>
      </c>
      <c r="N225" s="2">
        <f t="shared" si="4"/>
        <v>105</v>
      </c>
    </row>
    <row r="226" spans="1:14" outlineLevel="2">
      <c r="A226" s="60"/>
      <c r="B226" s="75" t="s">
        <v>3</v>
      </c>
      <c r="C226" s="120">
        <v>28</v>
      </c>
      <c r="D226" s="115">
        <f>D220</f>
        <v>15000</v>
      </c>
      <c r="E226" s="16">
        <f>C226*D226/1000</f>
        <v>420</v>
      </c>
      <c r="F226" s="115">
        <v>10.9</v>
      </c>
      <c r="G226" s="115">
        <v>70</v>
      </c>
      <c r="H226" s="115">
        <v>5</v>
      </c>
      <c r="I226" s="17">
        <f>H226/G226</f>
        <v>7.1428571428571425E-2</v>
      </c>
      <c r="J226" s="18">
        <f>IF((G226-F226)/G226&gt;I226,(G226-F226)/G226,I226)*D226*C226/1000</f>
        <v>354.6</v>
      </c>
      <c r="K226" s="64"/>
      <c r="L226" s="2">
        <f t="shared" si="5"/>
        <v>214</v>
      </c>
      <c r="N226" s="2">
        <f t="shared" si="4"/>
        <v>106</v>
      </c>
    </row>
    <row r="227" spans="1:14" outlineLevel="2">
      <c r="A227" s="60"/>
      <c r="B227" s="75" t="s">
        <v>4</v>
      </c>
      <c r="C227" s="120">
        <v>1</v>
      </c>
      <c r="D227" s="115">
        <f>D220</f>
        <v>15000</v>
      </c>
      <c r="E227" s="16">
        <f>C227*D227/1000</f>
        <v>15</v>
      </c>
      <c r="F227" s="115">
        <v>20</v>
      </c>
      <c r="G227" s="115">
        <v>65</v>
      </c>
      <c r="H227" s="115">
        <f>I227*G227</f>
        <v>44.2</v>
      </c>
      <c r="I227" s="17">
        <v>0.68</v>
      </c>
      <c r="J227" s="18">
        <f>IF((G227-F227)/G227&gt;I227,(G227-F227)/G227,I227)*D227*C227/1000</f>
        <v>10.384615384615385</v>
      </c>
      <c r="K227" s="64"/>
      <c r="L227" s="2">
        <f t="shared" si="5"/>
        <v>215</v>
      </c>
      <c r="N227" s="2">
        <f t="shared" si="4"/>
        <v>107</v>
      </c>
    </row>
    <row r="228" spans="1:14" outlineLevel="1">
      <c r="A228" s="60"/>
      <c r="B228" s="19" t="s">
        <v>65</v>
      </c>
      <c r="C228" s="21">
        <f>SUM(C220:C227)</f>
        <v>49</v>
      </c>
      <c r="D228" s="20">
        <f>((D220*$C220)+(D221*$C221)+(D223*$C223)+(D224*$C224)+(D226*$C226)+(D227*$C227))/$C228</f>
        <v>15000</v>
      </c>
      <c r="E228" s="21">
        <f>SUM(E219:E227)</f>
        <v>735</v>
      </c>
      <c r="F228" s="20">
        <f>((F220*$C220)+(F221*$C221)+(F223*$C223)+(F224*$C224)+(F226*$C226)+(F227*$C227))/$C228</f>
        <v>14.040816326530612</v>
      </c>
      <c r="G228" s="20">
        <f>((G220*$C220)+(G221*$C221)+(G223*$C223)+(G224*$C224)+(G226*$C226)+(G227*$C227))/$C228</f>
        <v>92.34693877551021</v>
      </c>
      <c r="H228" s="20">
        <f>((H220*$C220)+(H221*$C221)+(H223*$C223)+(H224*$C224)+(H226*$C226)+(H227*$C227))/$C228</f>
        <v>5.8</v>
      </c>
      <c r="I228" s="116">
        <f>((I220*$C220)+(I221*$C221)+(I223*$C223)+(I224*$C224)+(I226*$C226)+(I227*$C227))/$C228</f>
        <v>7.1020408163265311E-2</v>
      </c>
      <c r="J228" s="22">
        <f>SUM(J219:J227)</f>
        <v>621.44861538461544</v>
      </c>
      <c r="K228" s="64"/>
      <c r="L228" s="2">
        <f t="shared" si="5"/>
        <v>216</v>
      </c>
      <c r="N228" s="2">
        <f t="shared" si="4"/>
        <v>108</v>
      </c>
    </row>
    <row r="229" spans="1:14" ht="6" customHeight="1" outlineLevel="1">
      <c r="A229" s="60"/>
      <c r="B229" s="14"/>
      <c r="C229" s="15"/>
      <c r="D229" s="15"/>
      <c r="E229" s="16"/>
      <c r="F229" s="15"/>
      <c r="G229" s="15"/>
      <c r="H229" s="15"/>
      <c r="I229" s="17"/>
      <c r="J229" s="18"/>
      <c r="K229" s="64"/>
      <c r="L229" s="2">
        <f t="shared" si="5"/>
        <v>217</v>
      </c>
      <c r="N229" s="2">
        <f t="shared" si="4"/>
        <v>109</v>
      </c>
    </row>
    <row r="230" spans="1:14" outlineLevel="2">
      <c r="A230" s="60"/>
      <c r="B230" s="23" t="s">
        <v>58</v>
      </c>
      <c r="C230" s="15"/>
      <c r="D230" s="15"/>
      <c r="E230" s="16"/>
      <c r="F230" s="15"/>
      <c r="G230" s="15"/>
      <c r="H230" s="15"/>
      <c r="I230" s="17"/>
      <c r="J230" s="18"/>
      <c r="K230" s="64"/>
      <c r="L230" s="2">
        <f t="shared" si="5"/>
        <v>218</v>
      </c>
      <c r="N230" s="2">
        <f t="shared" si="4"/>
        <v>110</v>
      </c>
    </row>
    <row r="231" spans="1:14" outlineLevel="2">
      <c r="A231" s="60"/>
      <c r="B231" s="14" t="s">
        <v>48</v>
      </c>
      <c r="C231" s="15"/>
      <c r="D231" s="15"/>
      <c r="E231" s="16"/>
      <c r="F231" s="15"/>
      <c r="G231" s="15"/>
      <c r="H231" s="15"/>
      <c r="I231" s="17"/>
      <c r="J231" s="18"/>
      <c r="K231" s="64"/>
      <c r="L231" s="2">
        <f t="shared" si="5"/>
        <v>219</v>
      </c>
      <c r="N231" s="2">
        <f t="shared" si="4"/>
        <v>111</v>
      </c>
    </row>
    <row r="232" spans="1:14" outlineLevel="2">
      <c r="A232" s="60"/>
      <c r="B232" s="75" t="s">
        <v>3</v>
      </c>
      <c r="C232" s="120">
        <v>1</v>
      </c>
      <c r="D232" s="115">
        <v>30000</v>
      </c>
      <c r="E232" s="16">
        <f>C232*D232/1000</f>
        <v>30</v>
      </c>
      <c r="F232" s="115">
        <v>6.25</v>
      </c>
      <c r="G232" s="115">
        <v>125</v>
      </c>
      <c r="H232" s="115">
        <v>5</v>
      </c>
      <c r="I232" s="17">
        <f>H232/G232</f>
        <v>0.04</v>
      </c>
      <c r="J232" s="18">
        <f>IF((G232-F232)/G232&gt;I232,(G232-F232)/G232,I232)*D232*C232/1000</f>
        <v>28.5</v>
      </c>
      <c r="K232" s="64"/>
      <c r="L232" s="2">
        <f t="shared" si="5"/>
        <v>220</v>
      </c>
      <c r="N232" s="2">
        <f t="shared" si="4"/>
        <v>112</v>
      </c>
    </row>
    <row r="233" spans="1:14" outlineLevel="2">
      <c r="A233" s="60"/>
      <c r="B233" s="75" t="s">
        <v>4</v>
      </c>
      <c r="C233" s="120">
        <v>0</v>
      </c>
      <c r="D233" s="115">
        <f>D232</f>
        <v>30000</v>
      </c>
      <c r="E233" s="16">
        <f>C233*D233/1000</f>
        <v>0</v>
      </c>
      <c r="F233" s="115">
        <v>0</v>
      </c>
      <c r="G233" s="115">
        <v>125</v>
      </c>
      <c r="H233" s="115">
        <v>5</v>
      </c>
      <c r="I233" s="17">
        <f>H233/G233</f>
        <v>0.04</v>
      </c>
      <c r="J233" s="18">
        <f>IF((G233-F233)/G233&gt;I233,(G233-F233)/G233,I233)*D233*C233/1000</f>
        <v>0</v>
      </c>
      <c r="K233" s="64"/>
      <c r="L233" s="2">
        <f t="shared" si="5"/>
        <v>221</v>
      </c>
      <c r="N233" s="2">
        <f t="shared" si="4"/>
        <v>113</v>
      </c>
    </row>
    <row r="234" spans="1:14" outlineLevel="2">
      <c r="A234" s="60"/>
      <c r="B234" s="14" t="s">
        <v>49</v>
      </c>
      <c r="C234" s="120"/>
      <c r="D234" s="115"/>
      <c r="E234" s="16"/>
      <c r="F234" s="115"/>
      <c r="G234" s="115"/>
      <c r="H234" s="115"/>
      <c r="I234" s="17"/>
      <c r="J234" s="18"/>
      <c r="K234" s="64"/>
      <c r="L234" s="2">
        <f t="shared" si="5"/>
        <v>222</v>
      </c>
      <c r="N234" s="2">
        <f t="shared" si="4"/>
        <v>114</v>
      </c>
    </row>
    <row r="235" spans="1:14" outlineLevel="2">
      <c r="A235" s="60"/>
      <c r="B235" s="75" t="s">
        <v>3</v>
      </c>
      <c r="C235" s="120">
        <v>0</v>
      </c>
      <c r="D235" s="115">
        <f>D232</f>
        <v>30000</v>
      </c>
      <c r="E235" s="16">
        <f>C235*D235/1000</f>
        <v>0</v>
      </c>
      <c r="F235" s="115">
        <v>0</v>
      </c>
      <c r="G235" s="115">
        <v>65</v>
      </c>
      <c r="H235" s="115">
        <f>I235*G235</f>
        <v>44.2</v>
      </c>
      <c r="I235" s="17">
        <v>0.68</v>
      </c>
      <c r="J235" s="18">
        <f>IF(F235&lt;G235,(I235-1)/G235*F235+1,I235)*D235*C235/1000</f>
        <v>0</v>
      </c>
      <c r="K235" s="64"/>
      <c r="L235" s="2">
        <f t="shared" si="5"/>
        <v>223</v>
      </c>
      <c r="N235" s="2">
        <f t="shared" si="4"/>
        <v>115</v>
      </c>
    </row>
    <row r="236" spans="1:14" outlineLevel="2">
      <c r="A236" s="60"/>
      <c r="B236" s="75" t="s">
        <v>4</v>
      </c>
      <c r="C236" s="120">
        <v>0</v>
      </c>
      <c r="D236" s="115">
        <f>D232</f>
        <v>30000</v>
      </c>
      <c r="E236" s="16">
        <f>C236*D236/1000</f>
        <v>0</v>
      </c>
      <c r="F236" s="115">
        <v>0</v>
      </c>
      <c r="G236" s="115">
        <v>70</v>
      </c>
      <c r="H236" s="115">
        <v>5</v>
      </c>
      <c r="I236" s="17">
        <f>H236/G236</f>
        <v>7.1428571428571425E-2</v>
      </c>
      <c r="J236" s="18">
        <f>IF((G236-F236)/G236&gt;I236,(G236-F236)/G236,I236)*D236*C236/1000</f>
        <v>0</v>
      </c>
      <c r="K236" s="64"/>
      <c r="L236" s="2">
        <f t="shared" si="5"/>
        <v>224</v>
      </c>
      <c r="N236" s="2">
        <f t="shared" si="4"/>
        <v>116</v>
      </c>
    </row>
    <row r="237" spans="1:14" outlineLevel="2">
      <c r="A237" s="60"/>
      <c r="B237" s="14" t="s">
        <v>50</v>
      </c>
      <c r="C237" s="120"/>
      <c r="D237" s="115"/>
      <c r="E237" s="16"/>
      <c r="F237" s="115"/>
      <c r="G237" s="115"/>
      <c r="H237" s="115"/>
      <c r="I237" s="17"/>
      <c r="J237" s="18"/>
      <c r="K237" s="64"/>
      <c r="L237" s="2">
        <f t="shared" si="5"/>
        <v>225</v>
      </c>
      <c r="N237" s="2">
        <f t="shared" si="4"/>
        <v>117</v>
      </c>
    </row>
    <row r="238" spans="1:14" outlineLevel="2">
      <c r="A238" s="60"/>
      <c r="B238" s="75" t="s">
        <v>3</v>
      </c>
      <c r="C238" s="120">
        <v>2</v>
      </c>
      <c r="D238" s="115">
        <f>D232</f>
        <v>30000</v>
      </c>
      <c r="E238" s="16">
        <f>C238*D238/1000</f>
        <v>60</v>
      </c>
      <c r="F238" s="115">
        <v>13.25</v>
      </c>
      <c r="G238" s="115">
        <v>70</v>
      </c>
      <c r="H238" s="115">
        <v>5</v>
      </c>
      <c r="I238" s="17">
        <f>H238/G238</f>
        <v>7.1428571428571425E-2</v>
      </c>
      <c r="J238" s="18">
        <f>IF((G238-F238)/G238&gt;I238,(G238-F238)/G238,I238)*D238*C238/1000</f>
        <v>48.642857142857146</v>
      </c>
      <c r="K238" s="64"/>
      <c r="L238" s="2">
        <f t="shared" si="5"/>
        <v>226</v>
      </c>
      <c r="N238" s="2">
        <f t="shared" si="4"/>
        <v>118</v>
      </c>
    </row>
    <row r="239" spans="1:14" outlineLevel="2">
      <c r="A239" s="60"/>
      <c r="B239" s="75" t="s">
        <v>4</v>
      </c>
      <c r="C239" s="120">
        <v>0</v>
      </c>
      <c r="D239" s="115">
        <f>D232</f>
        <v>30000</v>
      </c>
      <c r="E239" s="16">
        <f>C239*D239/1000</f>
        <v>0</v>
      </c>
      <c r="F239" s="115">
        <v>0</v>
      </c>
      <c r="G239" s="115">
        <v>65</v>
      </c>
      <c r="H239" s="115">
        <f>I239*G239</f>
        <v>44.2</v>
      </c>
      <c r="I239" s="17">
        <v>0.68</v>
      </c>
      <c r="J239" s="18">
        <f>IF((G239-F239)/G239&gt;I239,(G239-F239)/G239,I239)*D239*C239/1000</f>
        <v>0</v>
      </c>
      <c r="K239" s="64"/>
      <c r="L239" s="2">
        <f t="shared" si="5"/>
        <v>227</v>
      </c>
      <c r="N239" s="2">
        <f t="shared" si="4"/>
        <v>119</v>
      </c>
    </row>
    <row r="240" spans="1:14" outlineLevel="1">
      <c r="A240" s="60"/>
      <c r="B240" s="19" t="s">
        <v>66</v>
      </c>
      <c r="C240" s="21">
        <f>SUM(C232:C239)</f>
        <v>3</v>
      </c>
      <c r="D240" s="20">
        <f>((D232*$C232)+(D233*$C233)+(D235*$C235)+(D236*$C236)+(D238*$C238)+(D239*$C239))/$C240</f>
        <v>30000</v>
      </c>
      <c r="E240" s="21">
        <f>SUM(E231:E239)</f>
        <v>90</v>
      </c>
      <c r="F240" s="20">
        <f>((F232*$C232)+(F233*$C233)+(F235*$C235)+(F236*$C236)+(F238*$C238)+(F239*$C239))/$C240</f>
        <v>10.916666666666666</v>
      </c>
      <c r="G240" s="20">
        <f>((G232*$C232)+(G233*$C233)+(G235*$C235)+(G236*$C236)+(G238*$C238)+(G239*$C239))/$C240</f>
        <v>88.333333333333329</v>
      </c>
      <c r="H240" s="20">
        <f>((H232*$C232)+(H233*$C233)+(H235*$C235)+(H236*$C236)+(H238*$C238)+(H239*$C239))/$C240</f>
        <v>5</v>
      </c>
      <c r="I240" s="116">
        <f>((I232*$C232)+(I233*$C233)+(I235*$C235)+(I236*$C236)+(I238*$C238)+(I239*$C239))/$C240</f>
        <v>6.0952380952380952E-2</v>
      </c>
      <c r="J240" s="22">
        <f>SUM(J231:J239)</f>
        <v>77.142857142857139</v>
      </c>
      <c r="K240" s="64"/>
      <c r="L240" s="2">
        <f t="shared" si="5"/>
        <v>228</v>
      </c>
      <c r="N240" s="2">
        <f t="shared" si="4"/>
        <v>120</v>
      </c>
    </row>
    <row r="241" spans="1:14" ht="6" customHeight="1" outlineLevel="1">
      <c r="A241" s="60"/>
      <c r="B241" s="14"/>
      <c r="C241" s="15"/>
      <c r="D241" s="15"/>
      <c r="E241" s="16"/>
      <c r="F241" s="15"/>
      <c r="G241" s="15"/>
      <c r="H241" s="15"/>
      <c r="I241" s="17"/>
      <c r="J241" s="18"/>
      <c r="K241" s="64"/>
      <c r="L241" s="2">
        <f t="shared" si="5"/>
        <v>229</v>
      </c>
      <c r="N241" s="2">
        <f t="shared" si="4"/>
        <v>121</v>
      </c>
    </row>
    <row r="242" spans="1:14" ht="14.25" thickBot="1">
      <c r="A242" s="60"/>
      <c r="B242" s="24" t="s">
        <v>67</v>
      </c>
      <c r="C242" s="26">
        <f>C240+C228+C216+C204+C192</f>
        <v>61217</v>
      </c>
      <c r="D242" s="25">
        <f>((D192*$C192)+(D204*$C204)+(D216*$C216)+(D228*$C228)+(D240*$C240))/$C242</f>
        <v>1018.5485404381136</v>
      </c>
      <c r="E242" s="26">
        <f>E240+E228+E216+E204+E192</f>
        <v>62352.485999999997</v>
      </c>
      <c r="F242" s="25">
        <f>((F192*$C192)+(F204*$C204)+(F216*$C216)+(F228*$C228)+(F240*$C240))/$C242</f>
        <v>18.136434732182234</v>
      </c>
      <c r="G242" s="25">
        <f>((G192*$C192)+(G204*$C204)+(G216*$C216)+(G228*$C228)+(G240*$C240))/$C242</f>
        <v>89.658509891043337</v>
      </c>
      <c r="H242" s="25">
        <f>((H192*$C192)+(H204*$C204)+(H216*$C216)+(H228*$C228)+(H240*$C240))/$C242</f>
        <v>9.0950062891027006</v>
      </c>
      <c r="I242" s="117">
        <f>((I192*$C192)+(I204*$C204)+(I216*$C216)+(I228*$C228)+(I240*$C240))/$C242</f>
        <v>0.12347074458775456</v>
      </c>
      <c r="J242" s="28">
        <f>J240+J228+J216+J204+J192</f>
        <v>52040.456168859782</v>
      </c>
      <c r="K242" s="64"/>
      <c r="L242" s="2">
        <f t="shared" si="5"/>
        <v>230</v>
      </c>
      <c r="N242" s="2">
        <f t="shared" si="4"/>
        <v>122</v>
      </c>
    </row>
    <row r="243" spans="1:14" ht="15" thickTop="1" thickBot="1">
      <c r="A243" s="60"/>
      <c r="B243" s="110"/>
      <c r="C243" s="111"/>
      <c r="D243" s="111"/>
      <c r="E243" s="112"/>
      <c r="F243" s="111"/>
      <c r="G243" s="111"/>
      <c r="H243" s="111"/>
      <c r="I243" s="113"/>
      <c r="J243" s="112"/>
      <c r="K243" s="64"/>
      <c r="L243" s="2">
        <f t="shared" si="5"/>
        <v>231</v>
      </c>
      <c r="N243" s="2">
        <f t="shared" si="4"/>
        <v>123</v>
      </c>
    </row>
    <row r="244" spans="1:14" ht="14.25" outlineLevel="1" thickTop="1">
      <c r="A244" s="60"/>
      <c r="B244" s="8" t="s">
        <v>68</v>
      </c>
      <c r="C244" s="9"/>
      <c r="D244" s="9"/>
      <c r="E244" s="10"/>
      <c r="F244" s="10"/>
      <c r="G244" s="10"/>
      <c r="H244" s="10"/>
      <c r="I244" s="10"/>
      <c r="J244" s="11"/>
      <c r="K244" s="64"/>
      <c r="L244" s="2">
        <f t="shared" si="5"/>
        <v>232</v>
      </c>
      <c r="N244" s="2">
        <f t="shared" si="4"/>
        <v>124</v>
      </c>
    </row>
    <row r="245" spans="1:14" outlineLevel="2">
      <c r="A245" s="60"/>
      <c r="B245" s="12" t="s">
        <v>47</v>
      </c>
      <c r="C245" s="7"/>
      <c r="D245" s="7"/>
      <c r="E245" s="7"/>
      <c r="F245" s="7"/>
      <c r="G245" s="7"/>
      <c r="H245" s="7"/>
      <c r="I245" s="7"/>
      <c r="J245" s="13"/>
      <c r="K245" s="64"/>
      <c r="L245" s="2">
        <f t="shared" si="5"/>
        <v>233</v>
      </c>
      <c r="N245" s="2">
        <f t="shared" si="4"/>
        <v>125</v>
      </c>
    </row>
    <row r="246" spans="1:14" outlineLevel="2">
      <c r="A246" s="60"/>
      <c r="B246" s="14" t="s">
        <v>48</v>
      </c>
      <c r="C246" s="15"/>
      <c r="D246" s="15"/>
      <c r="E246" s="16"/>
      <c r="F246" s="15"/>
      <c r="G246" s="15"/>
      <c r="H246" s="15"/>
      <c r="I246" s="17"/>
      <c r="J246" s="18"/>
      <c r="K246" s="64"/>
      <c r="L246" s="2">
        <f t="shared" si="5"/>
        <v>234</v>
      </c>
      <c r="N246" s="2">
        <f t="shared" si="4"/>
        <v>126</v>
      </c>
    </row>
    <row r="247" spans="1:14" outlineLevel="2">
      <c r="A247" s="60"/>
      <c r="B247" s="75" t="s">
        <v>3</v>
      </c>
      <c r="C247" s="120">
        <v>45800</v>
      </c>
      <c r="D247" s="115">
        <v>954</v>
      </c>
      <c r="E247" s="16">
        <f>C247*D247/1000</f>
        <v>43693.2</v>
      </c>
      <c r="F247" s="115">
        <v>22.952000000000002</v>
      </c>
      <c r="G247" s="115">
        <v>125</v>
      </c>
      <c r="H247" s="115">
        <v>5</v>
      </c>
      <c r="I247" s="17">
        <f>H247/G247</f>
        <v>0.04</v>
      </c>
      <c r="J247" s="18">
        <f>IF((G247-F247)/G247&gt;I247,(G247-F247)/G247,I247)*D247*C247/1000</f>
        <v>35670.429388800003</v>
      </c>
      <c r="K247" s="64"/>
      <c r="L247" s="2">
        <f t="shared" si="5"/>
        <v>235</v>
      </c>
      <c r="N247" s="2">
        <f t="shared" si="4"/>
        <v>127</v>
      </c>
    </row>
    <row r="248" spans="1:14" outlineLevel="2">
      <c r="A248" s="60"/>
      <c r="B248" s="75" t="s">
        <v>4</v>
      </c>
      <c r="C248" s="120">
        <v>2403</v>
      </c>
      <c r="D248" s="115">
        <f>$D$121</f>
        <v>954</v>
      </c>
      <c r="E248" s="16">
        <f>C248*D248/1000</f>
        <v>2292.462</v>
      </c>
      <c r="F248" s="115">
        <v>21.45</v>
      </c>
      <c r="G248" s="115">
        <v>125</v>
      </c>
      <c r="H248" s="115">
        <v>5</v>
      </c>
      <c r="I248" s="17">
        <f>H248/G248</f>
        <v>0.04</v>
      </c>
      <c r="J248" s="18">
        <f>IF((G248-F248)/G248&gt;I248,(G248-F248)/G248,I248)*D248*C248/1000</f>
        <v>1899.0755207999998</v>
      </c>
      <c r="K248" s="64"/>
      <c r="L248" s="2">
        <f t="shared" si="5"/>
        <v>236</v>
      </c>
      <c r="N248" s="2">
        <f t="shared" si="4"/>
        <v>128</v>
      </c>
    </row>
    <row r="249" spans="1:14" outlineLevel="2">
      <c r="A249" s="60"/>
      <c r="B249" s="14" t="s">
        <v>49</v>
      </c>
      <c r="C249" s="120"/>
      <c r="D249" s="115"/>
      <c r="E249" s="16"/>
      <c r="F249" s="115"/>
      <c r="G249" s="115"/>
      <c r="H249" s="115"/>
      <c r="I249" s="17"/>
      <c r="J249" s="18"/>
      <c r="K249" s="64"/>
      <c r="L249" s="2">
        <f t="shared" si="5"/>
        <v>237</v>
      </c>
      <c r="N249" s="2">
        <f t="shared" si="4"/>
        <v>129</v>
      </c>
    </row>
    <row r="250" spans="1:14" outlineLevel="2">
      <c r="A250" s="60"/>
      <c r="B250" s="75" t="s">
        <v>3</v>
      </c>
      <c r="C250" s="120">
        <v>35</v>
      </c>
      <c r="D250" s="115">
        <f>$D$121</f>
        <v>954</v>
      </c>
      <c r="E250" s="16">
        <f>C250*D250/1000</f>
        <v>33.39</v>
      </c>
      <c r="F250" s="115">
        <v>23.65</v>
      </c>
      <c r="G250" s="115">
        <v>65</v>
      </c>
      <c r="H250" s="115">
        <f>I250*G250</f>
        <v>44.2</v>
      </c>
      <c r="I250" s="17">
        <v>0.68</v>
      </c>
      <c r="J250" s="18">
        <f>IF(F250&lt;G250,(I250-1)/G250*F250+1,I250)*D250*C250/1000</f>
        <v>29.50237661538462</v>
      </c>
      <c r="K250" s="64"/>
      <c r="L250" s="2">
        <f t="shared" si="5"/>
        <v>238</v>
      </c>
      <c r="N250" s="2">
        <f t="shared" si="4"/>
        <v>130</v>
      </c>
    </row>
    <row r="251" spans="1:14" outlineLevel="2">
      <c r="A251" s="60"/>
      <c r="B251" s="75" t="s">
        <v>4</v>
      </c>
      <c r="C251" s="120">
        <v>0</v>
      </c>
      <c r="D251" s="115">
        <f>$D$121</f>
        <v>954</v>
      </c>
      <c r="E251" s="16">
        <f>C251*D251/1000</f>
        <v>0</v>
      </c>
      <c r="F251" s="115">
        <v>0</v>
      </c>
      <c r="G251" s="115">
        <v>70</v>
      </c>
      <c r="H251" s="115">
        <v>5</v>
      </c>
      <c r="I251" s="17">
        <f>H251/G251</f>
        <v>7.1428571428571425E-2</v>
      </c>
      <c r="J251" s="18">
        <f>IF((G251-F251)/G251&gt;I251,(G251-F251)/G251,I251)*D251*C251/1000</f>
        <v>0</v>
      </c>
      <c r="K251" s="64"/>
      <c r="L251" s="2">
        <f t="shared" si="5"/>
        <v>239</v>
      </c>
      <c r="N251" s="2">
        <f t="shared" ref="N251:N314" si="6">N250+1</f>
        <v>131</v>
      </c>
    </row>
    <row r="252" spans="1:14" outlineLevel="2">
      <c r="A252" s="60"/>
      <c r="B252" s="14" t="s">
        <v>50</v>
      </c>
      <c r="C252" s="120"/>
      <c r="D252" s="115"/>
      <c r="E252" s="16"/>
      <c r="F252" s="115"/>
      <c r="G252" s="115"/>
      <c r="H252" s="115"/>
      <c r="I252" s="17"/>
      <c r="J252" s="18"/>
      <c r="K252" s="64"/>
      <c r="L252" s="2">
        <f t="shared" si="5"/>
        <v>240</v>
      </c>
      <c r="N252" s="2">
        <f t="shared" si="6"/>
        <v>132</v>
      </c>
    </row>
    <row r="253" spans="1:14" outlineLevel="2">
      <c r="A253" s="60"/>
      <c r="B253" s="75" t="s">
        <v>3</v>
      </c>
      <c r="C253" s="120">
        <v>36287</v>
      </c>
      <c r="D253" s="115">
        <f>$D$121</f>
        <v>954</v>
      </c>
      <c r="E253" s="16">
        <f>C253*D253/1000</f>
        <v>34617.798000000003</v>
      </c>
      <c r="F253" s="115">
        <v>7.55</v>
      </c>
      <c r="G253" s="115">
        <v>70</v>
      </c>
      <c r="H253" s="115">
        <v>5</v>
      </c>
      <c r="I253" s="17">
        <f>H253/G253</f>
        <v>7.1428571428571425E-2</v>
      </c>
      <c r="J253" s="18">
        <f>IF((G253-F253)/G253&gt;I253,(G253-F253)/G253,I253)*D253*C253/1000</f>
        <v>30884.021215714289</v>
      </c>
      <c r="K253" s="64"/>
      <c r="L253" s="2">
        <f t="shared" si="5"/>
        <v>241</v>
      </c>
      <c r="N253" s="2">
        <f t="shared" si="6"/>
        <v>133</v>
      </c>
    </row>
    <row r="254" spans="1:14" outlineLevel="2">
      <c r="A254" s="60"/>
      <c r="B254" s="75" t="s">
        <v>4</v>
      </c>
      <c r="C254" s="120">
        <v>3470</v>
      </c>
      <c r="D254" s="115">
        <f>$D$121</f>
        <v>954</v>
      </c>
      <c r="E254" s="16">
        <f>C254*D254/1000</f>
        <v>3310.38</v>
      </c>
      <c r="F254" s="115">
        <v>12.42</v>
      </c>
      <c r="G254" s="115">
        <v>65</v>
      </c>
      <c r="H254" s="115">
        <f>I254*G254</f>
        <v>44.2</v>
      </c>
      <c r="I254" s="17">
        <v>0.68</v>
      </c>
      <c r="J254" s="18">
        <f>IF((G254-F254)/G254&gt;I254,(G254-F254)/G254,I254)*D254*C254/1000</f>
        <v>2677.8427753846154</v>
      </c>
      <c r="K254" s="64"/>
      <c r="L254" s="2">
        <f t="shared" si="5"/>
        <v>242</v>
      </c>
      <c r="N254" s="2">
        <f t="shared" si="6"/>
        <v>134</v>
      </c>
    </row>
    <row r="255" spans="1:14" outlineLevel="1">
      <c r="A255" s="60"/>
      <c r="B255" s="19" t="s">
        <v>69</v>
      </c>
      <c r="C255" s="21">
        <f>SUM(C246:C254)</f>
        <v>87995</v>
      </c>
      <c r="D255" s="20">
        <f>((D247*$C247)+(D248*$C248)+(D250*$C250)+(D251*$C251)+(D253*$C253)+(D254*$C254))/$C255</f>
        <v>954</v>
      </c>
      <c r="E255" s="21">
        <f>SUM(E246:E254)</f>
        <v>83947.23000000001</v>
      </c>
      <c r="F255" s="20">
        <f>((F247*$C247)+(F248*$C248)+(F250*$C250)+(F251*$C251)+(F253*$C253)+(F254*$C254))/$C255</f>
        <v>16.14453037104381</v>
      </c>
      <c r="G255" s="20">
        <f>((G247*$C247)+(G248*$C248)+(G250*$C250)+(G251*$C251)+(G253*$C253)+(G254*$C254))/$C255</f>
        <v>99.929427808398202</v>
      </c>
      <c r="H255" s="20">
        <f>((H247*$C247)+(H248*$C248)+(H250*$C250)+(H251*$C251)+(H253*$C253)+(H254*$C254))/$C255</f>
        <v>6.5614068981192117</v>
      </c>
      <c r="I255" s="116">
        <f>((I247*$C247)+(I248*$C248)+(I250*$C250)+(I251*$C251)+(I253*$C253)+(I254*$C254))/$C255</f>
        <v>7.8452736762640737E-2</v>
      </c>
      <c r="J255" s="22">
        <f>SUM(J246:J254)</f>
        <v>71160.871277314291</v>
      </c>
      <c r="K255" s="64"/>
      <c r="L255" s="2">
        <f t="shared" si="5"/>
        <v>243</v>
      </c>
      <c r="N255" s="2">
        <f t="shared" si="6"/>
        <v>135</v>
      </c>
    </row>
    <row r="256" spans="1:14" ht="6" customHeight="1" outlineLevel="1">
      <c r="A256" s="60"/>
      <c r="B256" s="14"/>
      <c r="C256" s="15"/>
      <c r="D256" s="15"/>
      <c r="E256" s="16"/>
      <c r="F256" s="15"/>
      <c r="G256" s="15"/>
      <c r="H256" s="15"/>
      <c r="I256" s="17"/>
      <c r="J256" s="18"/>
      <c r="K256" s="64"/>
      <c r="L256" s="2">
        <f t="shared" si="5"/>
        <v>244</v>
      </c>
      <c r="N256" s="2">
        <f t="shared" si="6"/>
        <v>136</v>
      </c>
    </row>
    <row r="257" spans="1:14" outlineLevel="2">
      <c r="A257" s="60"/>
      <c r="B257" s="23" t="s">
        <v>52</v>
      </c>
      <c r="C257" s="15"/>
      <c r="D257" s="15"/>
      <c r="E257" s="16"/>
      <c r="F257" s="15"/>
      <c r="G257" s="15"/>
      <c r="H257" s="15"/>
      <c r="I257" s="17"/>
      <c r="J257" s="18"/>
      <c r="K257" s="64"/>
      <c r="L257" s="2">
        <f t="shared" si="5"/>
        <v>245</v>
      </c>
      <c r="N257" s="2">
        <f t="shared" si="6"/>
        <v>137</v>
      </c>
    </row>
    <row r="258" spans="1:14" outlineLevel="2">
      <c r="A258" s="60"/>
      <c r="B258" s="14" t="s">
        <v>48</v>
      </c>
      <c r="C258" s="15"/>
      <c r="D258" s="15"/>
      <c r="E258" s="16"/>
      <c r="F258" s="15"/>
      <c r="G258" s="15"/>
      <c r="H258" s="15"/>
      <c r="I258" s="17"/>
      <c r="J258" s="18"/>
      <c r="K258" s="64"/>
      <c r="L258" s="2">
        <f t="shared" si="5"/>
        <v>246</v>
      </c>
      <c r="N258" s="2">
        <f t="shared" si="6"/>
        <v>138</v>
      </c>
    </row>
    <row r="259" spans="1:14" outlineLevel="2">
      <c r="A259" s="60"/>
      <c r="B259" s="75" t="s">
        <v>3</v>
      </c>
      <c r="C259" s="120">
        <v>1024</v>
      </c>
      <c r="D259" s="115">
        <v>2000</v>
      </c>
      <c r="E259" s="16">
        <f>C259*D259/1000</f>
        <v>2048</v>
      </c>
      <c r="F259" s="115">
        <v>23</v>
      </c>
      <c r="G259" s="115">
        <v>125</v>
      </c>
      <c r="H259" s="115">
        <v>5</v>
      </c>
      <c r="I259" s="17">
        <f>H259/G259</f>
        <v>0.04</v>
      </c>
      <c r="J259" s="18">
        <f>IF((G259-F259)/G259&gt;I259,(G259-F259)/G259,I259)*D259*C259/1000</f>
        <v>1671.1679999999999</v>
      </c>
      <c r="K259" s="64"/>
      <c r="L259" s="2">
        <f t="shared" si="5"/>
        <v>247</v>
      </c>
      <c r="N259" s="2">
        <f t="shared" si="6"/>
        <v>139</v>
      </c>
    </row>
    <row r="260" spans="1:14" outlineLevel="2">
      <c r="A260" s="60"/>
      <c r="B260" s="75" t="s">
        <v>4</v>
      </c>
      <c r="C260" s="120">
        <v>140</v>
      </c>
      <c r="D260" s="115">
        <f>D259</f>
        <v>2000</v>
      </c>
      <c r="E260" s="16">
        <f>C260*D260/1000</f>
        <v>280</v>
      </c>
      <c r="F260" s="115">
        <v>21</v>
      </c>
      <c r="G260" s="115">
        <v>125</v>
      </c>
      <c r="H260" s="115">
        <v>5</v>
      </c>
      <c r="I260" s="17">
        <f>H260/G260</f>
        <v>0.04</v>
      </c>
      <c r="J260" s="18">
        <f>IF((G260-F260)/G260&gt;I260,(G260-F260)/G260,I260)*D260*C260/1000</f>
        <v>232.96</v>
      </c>
      <c r="K260" s="64"/>
      <c r="L260" s="2">
        <f t="shared" si="5"/>
        <v>248</v>
      </c>
      <c r="N260" s="2">
        <f t="shared" si="6"/>
        <v>140</v>
      </c>
    </row>
    <row r="261" spans="1:14" outlineLevel="2">
      <c r="A261" s="60"/>
      <c r="B261" s="14" t="s">
        <v>49</v>
      </c>
      <c r="C261" s="120"/>
      <c r="D261" s="115"/>
      <c r="E261" s="16"/>
      <c r="F261" s="115"/>
      <c r="G261" s="115"/>
      <c r="H261" s="115"/>
      <c r="I261" s="17"/>
      <c r="J261" s="18"/>
      <c r="K261" s="64"/>
      <c r="L261" s="2">
        <f t="shared" si="5"/>
        <v>249</v>
      </c>
      <c r="N261" s="2">
        <f t="shared" si="6"/>
        <v>141</v>
      </c>
    </row>
    <row r="262" spans="1:14" outlineLevel="2">
      <c r="A262" s="60"/>
      <c r="B262" s="75" t="s">
        <v>3</v>
      </c>
      <c r="C262" s="120">
        <v>1</v>
      </c>
      <c r="D262" s="115">
        <f>D259</f>
        <v>2000</v>
      </c>
      <c r="E262" s="16">
        <f>C262*D262/1000</f>
        <v>2</v>
      </c>
      <c r="F262" s="115">
        <v>50.8</v>
      </c>
      <c r="G262" s="115">
        <v>65</v>
      </c>
      <c r="H262" s="115">
        <f>I262*G262</f>
        <v>44.2</v>
      </c>
      <c r="I262" s="17">
        <v>0.68</v>
      </c>
      <c r="J262" s="18">
        <f>IF(F262&lt;G262,(I262-1)/G262*F262+1,I262)*D262*C262/1000</f>
        <v>1.4998153846153848</v>
      </c>
      <c r="K262" s="64"/>
      <c r="L262" s="2">
        <f t="shared" si="5"/>
        <v>250</v>
      </c>
      <c r="N262" s="2">
        <f t="shared" si="6"/>
        <v>142</v>
      </c>
    </row>
    <row r="263" spans="1:14" outlineLevel="2">
      <c r="A263" s="60"/>
      <c r="B263" s="75" t="s">
        <v>4</v>
      </c>
      <c r="C263" s="120">
        <v>0</v>
      </c>
      <c r="D263" s="115">
        <f>D259</f>
        <v>2000</v>
      </c>
      <c r="E263" s="16">
        <f>C263*D263/1000</f>
        <v>0</v>
      </c>
      <c r="F263" s="115">
        <v>0</v>
      </c>
      <c r="G263" s="115">
        <v>70</v>
      </c>
      <c r="H263" s="115">
        <v>5</v>
      </c>
      <c r="I263" s="17">
        <f>H263/G263</f>
        <v>7.1428571428571425E-2</v>
      </c>
      <c r="J263" s="18">
        <f>IF((G263-F263)/G263&gt;I263,(G263-F263)/G263,I263)*D263*C263/1000</f>
        <v>0</v>
      </c>
      <c r="K263" s="64"/>
      <c r="L263" s="2">
        <f t="shared" si="5"/>
        <v>251</v>
      </c>
      <c r="N263" s="2">
        <f t="shared" si="6"/>
        <v>143</v>
      </c>
    </row>
    <row r="264" spans="1:14" outlineLevel="2">
      <c r="A264" s="60"/>
      <c r="B264" s="14" t="s">
        <v>50</v>
      </c>
      <c r="C264" s="120"/>
      <c r="D264" s="115"/>
      <c r="E264" s="16"/>
      <c r="F264" s="115"/>
      <c r="G264" s="115"/>
      <c r="H264" s="115"/>
      <c r="I264" s="17"/>
      <c r="J264" s="18"/>
      <c r="K264" s="64"/>
      <c r="L264" s="2">
        <f t="shared" si="5"/>
        <v>252</v>
      </c>
      <c r="N264" s="2">
        <f t="shared" si="6"/>
        <v>144</v>
      </c>
    </row>
    <row r="265" spans="1:14" outlineLevel="2">
      <c r="A265" s="60"/>
      <c r="B265" s="75" t="s">
        <v>3</v>
      </c>
      <c r="C265" s="120">
        <v>811</v>
      </c>
      <c r="D265" s="115">
        <f>D259</f>
        <v>2000</v>
      </c>
      <c r="E265" s="16">
        <f>C265*D265/1000</f>
        <v>1622</v>
      </c>
      <c r="F265" s="115">
        <v>7.55</v>
      </c>
      <c r="G265" s="115">
        <v>70</v>
      </c>
      <c r="H265" s="115">
        <v>5</v>
      </c>
      <c r="I265" s="17">
        <f>H265/G265</f>
        <v>7.1428571428571425E-2</v>
      </c>
      <c r="J265" s="18">
        <f>IF((G265-F265)/G265&gt;I265,(G265-F265)/G265,I265)*D265*C265/1000</f>
        <v>1447.0557142857144</v>
      </c>
      <c r="K265" s="64"/>
      <c r="L265" s="2">
        <f t="shared" si="5"/>
        <v>253</v>
      </c>
      <c r="N265" s="2">
        <f t="shared" si="6"/>
        <v>145</v>
      </c>
    </row>
    <row r="266" spans="1:14" outlineLevel="2">
      <c r="A266" s="60"/>
      <c r="B266" s="75" t="s">
        <v>4</v>
      </c>
      <c r="C266" s="120">
        <v>155</v>
      </c>
      <c r="D266" s="115">
        <f>D259</f>
        <v>2000</v>
      </c>
      <c r="E266" s="16">
        <f>C266*D266/1000</f>
        <v>310</v>
      </c>
      <c r="F266" s="115">
        <v>11.1</v>
      </c>
      <c r="G266" s="115">
        <v>65</v>
      </c>
      <c r="H266" s="115">
        <f>I266*G266</f>
        <v>44.2</v>
      </c>
      <c r="I266" s="17">
        <v>0.68</v>
      </c>
      <c r="J266" s="18">
        <f>IF((G266-F266)/G266&gt;I266,(G266-F266)/G266,I266)*D266*C266/1000</f>
        <v>257.06153846153842</v>
      </c>
      <c r="K266" s="64"/>
      <c r="L266" s="2">
        <f t="shared" si="5"/>
        <v>254</v>
      </c>
      <c r="N266" s="2">
        <f t="shared" si="6"/>
        <v>146</v>
      </c>
    </row>
    <row r="267" spans="1:14" outlineLevel="1">
      <c r="A267" s="60"/>
      <c r="B267" s="19" t="s">
        <v>70</v>
      </c>
      <c r="C267" s="21">
        <f>SUM(C259:C266)</f>
        <v>2131</v>
      </c>
      <c r="D267" s="20">
        <f>((D259*$C259)+(D260*$C260)+(D262*$C262)+(D263*$C263)+(D265*$C265)+(D266*$C266))/$C267</f>
        <v>2000</v>
      </c>
      <c r="E267" s="21">
        <f>SUM(E258:E266)</f>
        <v>4262</v>
      </c>
      <c r="F267" s="20">
        <f>((F259*$C259)+(F260*$C260)+(F262*$C262)+(F263*$C263)+(F265*$C265)+(F266*$C266))/$C267</f>
        <v>16.13625058657907</v>
      </c>
      <c r="G267" s="20">
        <f>((G259*$C259)+(G260*$C260)+(G262*$C262)+(G263*$C263)+(G265*$C265)+(G266*$C266))/$C267</f>
        <v>99.676208352885965</v>
      </c>
      <c r="H267" s="20">
        <f>((H259*$C259)+(H260*$C260)+(H262*$C262)+(H263*$C263)+(H265*$C265)+(H266*$C266))/$C267</f>
        <v>7.8696386672923513</v>
      </c>
      <c r="I267" s="116">
        <f>((I259*$C259)+(I260*$C260)+(I262*$C262)+(I263*$C263)+(I265*$C265)+(I266*$C266))/$C267</f>
        <v>9.881209358450091E-2</v>
      </c>
      <c r="J267" s="22">
        <f>SUM(J258:J266)</f>
        <v>3609.7450681318683</v>
      </c>
      <c r="K267" s="64"/>
      <c r="L267" s="2">
        <f t="shared" si="5"/>
        <v>255</v>
      </c>
      <c r="N267" s="2">
        <f t="shared" si="6"/>
        <v>147</v>
      </c>
    </row>
    <row r="268" spans="1:14" ht="6" customHeight="1" outlineLevel="1">
      <c r="A268" s="60"/>
      <c r="B268" s="14"/>
      <c r="C268" s="15"/>
      <c r="D268" s="15"/>
      <c r="E268" s="16"/>
      <c r="F268" s="15"/>
      <c r="G268" s="15"/>
      <c r="H268" s="15"/>
      <c r="I268" s="17"/>
      <c r="J268" s="18"/>
      <c r="K268" s="64"/>
      <c r="L268" s="2">
        <f t="shared" si="5"/>
        <v>256</v>
      </c>
      <c r="N268" s="2">
        <f t="shared" si="6"/>
        <v>148</v>
      </c>
    </row>
    <row r="269" spans="1:14" outlineLevel="2">
      <c r="A269" s="60"/>
      <c r="B269" s="23" t="s">
        <v>54</v>
      </c>
      <c r="C269" s="15"/>
      <c r="D269" s="15"/>
      <c r="E269" s="16"/>
      <c r="F269" s="15"/>
      <c r="G269" s="15"/>
      <c r="H269" s="15"/>
      <c r="I269" s="17"/>
      <c r="J269" s="18"/>
      <c r="K269" s="64"/>
      <c r="L269" s="2">
        <f t="shared" si="5"/>
        <v>257</v>
      </c>
      <c r="N269" s="2">
        <f t="shared" si="6"/>
        <v>149</v>
      </c>
    </row>
    <row r="270" spans="1:14" outlineLevel="2">
      <c r="A270" s="60"/>
      <c r="B270" s="14" t="s">
        <v>48</v>
      </c>
      <c r="C270" s="15"/>
      <c r="D270" s="15"/>
      <c r="E270" s="16"/>
      <c r="F270" s="15"/>
      <c r="G270" s="15"/>
      <c r="H270" s="15"/>
      <c r="I270" s="17"/>
      <c r="J270" s="18"/>
      <c r="K270" s="64"/>
      <c r="L270" s="2">
        <f t="shared" si="5"/>
        <v>258</v>
      </c>
      <c r="N270" s="2">
        <f t="shared" si="6"/>
        <v>150</v>
      </c>
    </row>
    <row r="271" spans="1:14" outlineLevel="2">
      <c r="A271" s="60"/>
      <c r="B271" s="75" t="s">
        <v>3</v>
      </c>
      <c r="C271" s="120">
        <v>331</v>
      </c>
      <c r="D271" s="115">
        <v>5000</v>
      </c>
      <c r="E271" s="16">
        <f>C271*D271/1000</f>
        <v>1655</v>
      </c>
      <c r="F271" s="115">
        <v>23</v>
      </c>
      <c r="G271" s="115">
        <v>125</v>
      </c>
      <c r="H271" s="115">
        <v>5</v>
      </c>
      <c r="I271" s="17">
        <f>H271/G271</f>
        <v>0.04</v>
      </c>
      <c r="J271" s="18">
        <f>IF((G271-F271)/G271&gt;I271,(G271-F271)/G271,I271)*D271*C271/1000</f>
        <v>1350.4799999999998</v>
      </c>
      <c r="K271" s="64"/>
      <c r="L271" s="2">
        <f t="shared" ref="L271:L334" si="7">L270+1</f>
        <v>259</v>
      </c>
      <c r="N271" s="2">
        <f t="shared" si="6"/>
        <v>151</v>
      </c>
    </row>
    <row r="272" spans="1:14" outlineLevel="2">
      <c r="A272" s="60"/>
      <c r="B272" s="75" t="s">
        <v>4</v>
      </c>
      <c r="C272" s="120">
        <v>24</v>
      </c>
      <c r="D272" s="115">
        <f>D271</f>
        <v>5000</v>
      </c>
      <c r="E272" s="16">
        <f>C272*D272/1000</f>
        <v>120</v>
      </c>
      <c r="F272" s="115">
        <v>20</v>
      </c>
      <c r="G272" s="115">
        <v>125</v>
      </c>
      <c r="H272" s="115">
        <v>5</v>
      </c>
      <c r="I272" s="17">
        <f>H272/G272</f>
        <v>0.04</v>
      </c>
      <c r="J272" s="18">
        <f>IF((G272-F272)/G272&gt;I272,(G272-F272)/G272,I272)*D272*C272/1000</f>
        <v>100.8</v>
      </c>
      <c r="K272" s="64"/>
      <c r="L272" s="2">
        <f t="shared" si="7"/>
        <v>260</v>
      </c>
      <c r="N272" s="2">
        <f t="shared" si="6"/>
        <v>152</v>
      </c>
    </row>
    <row r="273" spans="1:14" outlineLevel="2">
      <c r="A273" s="60"/>
      <c r="B273" s="14" t="s">
        <v>49</v>
      </c>
      <c r="C273" s="120"/>
      <c r="D273" s="115"/>
      <c r="E273" s="16"/>
      <c r="F273" s="115"/>
      <c r="G273" s="115"/>
      <c r="H273" s="115"/>
      <c r="I273" s="17"/>
      <c r="J273" s="18"/>
      <c r="K273" s="64"/>
      <c r="L273" s="2">
        <f t="shared" si="7"/>
        <v>261</v>
      </c>
      <c r="N273" s="2">
        <f t="shared" si="6"/>
        <v>153</v>
      </c>
    </row>
    <row r="274" spans="1:14" outlineLevel="2">
      <c r="A274" s="60"/>
      <c r="B274" s="75" t="s">
        <v>3</v>
      </c>
      <c r="C274" s="120">
        <v>0</v>
      </c>
      <c r="D274" s="115">
        <f>D271</f>
        <v>5000</v>
      </c>
      <c r="E274" s="16">
        <f>C274*D274/1000</f>
        <v>0</v>
      </c>
      <c r="F274" s="115">
        <v>0</v>
      </c>
      <c r="G274" s="115">
        <v>65</v>
      </c>
      <c r="H274" s="115">
        <f>I274*G274</f>
        <v>44.2</v>
      </c>
      <c r="I274" s="17">
        <v>0.68</v>
      </c>
      <c r="J274" s="18">
        <f>IF(F274&lt;G274,(I274-1)/G274*F274+1,I274)*D274*C274/1000</f>
        <v>0</v>
      </c>
      <c r="K274" s="64"/>
      <c r="L274" s="2">
        <f t="shared" si="7"/>
        <v>262</v>
      </c>
      <c r="N274" s="2">
        <f t="shared" si="6"/>
        <v>154</v>
      </c>
    </row>
    <row r="275" spans="1:14" outlineLevel="2">
      <c r="A275" s="60"/>
      <c r="B275" s="75" t="s">
        <v>4</v>
      </c>
      <c r="C275" s="120">
        <v>0</v>
      </c>
      <c r="D275" s="115">
        <f>D271</f>
        <v>5000</v>
      </c>
      <c r="E275" s="16">
        <f>C275*D275/1000</f>
        <v>0</v>
      </c>
      <c r="F275" s="115">
        <v>0</v>
      </c>
      <c r="G275" s="115">
        <v>70</v>
      </c>
      <c r="H275" s="115">
        <v>5</v>
      </c>
      <c r="I275" s="17">
        <f>H275/G275</f>
        <v>7.1428571428571425E-2</v>
      </c>
      <c r="J275" s="18">
        <f>IF((G275-F275)/G275&gt;I275,(G275-F275)/G275,I275)*D275*C275/1000</f>
        <v>0</v>
      </c>
      <c r="K275" s="64"/>
      <c r="L275" s="2">
        <f t="shared" si="7"/>
        <v>263</v>
      </c>
      <c r="N275" s="2">
        <f t="shared" si="6"/>
        <v>155</v>
      </c>
    </row>
    <row r="276" spans="1:14" outlineLevel="2">
      <c r="A276" s="60"/>
      <c r="B276" s="14" t="s">
        <v>50</v>
      </c>
      <c r="C276" s="120"/>
      <c r="D276" s="115"/>
      <c r="E276" s="16"/>
      <c r="F276" s="115"/>
      <c r="G276" s="115"/>
      <c r="H276" s="115"/>
      <c r="I276" s="17"/>
      <c r="J276" s="18"/>
      <c r="K276" s="64"/>
      <c r="L276" s="2">
        <f t="shared" si="7"/>
        <v>264</v>
      </c>
      <c r="N276" s="2">
        <f t="shared" si="6"/>
        <v>156</v>
      </c>
    </row>
    <row r="277" spans="1:14" outlineLevel="2">
      <c r="A277" s="60"/>
      <c r="B277" s="75" t="s">
        <v>3</v>
      </c>
      <c r="C277" s="120">
        <v>262</v>
      </c>
      <c r="D277" s="115">
        <f>D271</f>
        <v>5000</v>
      </c>
      <c r="E277" s="16">
        <f>C277*D277/1000</f>
        <v>1310</v>
      </c>
      <c r="F277" s="115">
        <v>7.55</v>
      </c>
      <c r="G277" s="115">
        <v>70</v>
      </c>
      <c r="H277" s="115">
        <v>5</v>
      </c>
      <c r="I277" s="17">
        <f>H277/G277</f>
        <v>7.1428571428571425E-2</v>
      </c>
      <c r="J277" s="18">
        <f>IF((G277-F277)/G277&gt;I277,(G277-F277)/G277,I277)*D277*C277/1000</f>
        <v>1168.707142857143</v>
      </c>
      <c r="K277" s="64"/>
      <c r="L277" s="2">
        <f t="shared" si="7"/>
        <v>265</v>
      </c>
      <c r="N277" s="2">
        <f t="shared" si="6"/>
        <v>157</v>
      </c>
    </row>
    <row r="278" spans="1:14" outlineLevel="2">
      <c r="A278" s="60"/>
      <c r="B278" s="75" t="s">
        <v>4</v>
      </c>
      <c r="C278" s="120">
        <v>29</v>
      </c>
      <c r="D278" s="115">
        <f>D271</f>
        <v>5000</v>
      </c>
      <c r="E278" s="16">
        <f>C278*D278/1000</f>
        <v>145</v>
      </c>
      <c r="F278" s="115">
        <v>11.5</v>
      </c>
      <c r="G278" s="115">
        <v>65</v>
      </c>
      <c r="H278" s="115">
        <f>I278*G278</f>
        <v>44.2</v>
      </c>
      <c r="I278" s="17">
        <v>0.68</v>
      </c>
      <c r="J278" s="18">
        <f>IF((G278-F278)/G278&gt;I278,(G278-F278)/G278,I278)*D278*C278/1000</f>
        <v>119.34615384615384</v>
      </c>
      <c r="K278" s="64"/>
      <c r="L278" s="2">
        <f t="shared" si="7"/>
        <v>266</v>
      </c>
      <c r="N278" s="2">
        <f t="shared" si="6"/>
        <v>158</v>
      </c>
    </row>
    <row r="279" spans="1:14" outlineLevel="1">
      <c r="A279" s="60"/>
      <c r="B279" s="19" t="s">
        <v>71</v>
      </c>
      <c r="C279" s="21">
        <f>SUM(C271:C278)</f>
        <v>646</v>
      </c>
      <c r="D279" s="20">
        <f>((D271*$C271)+(D272*$C272)+(D274*$C274)+(D275*$C275)+(D277*$C277)+(D278*$C278))/$C279</f>
        <v>5000</v>
      </c>
      <c r="E279" s="21">
        <f>SUM(E270:E278)</f>
        <v>3230</v>
      </c>
      <c r="F279" s="20">
        <f>((F271*$C271)+(F272*$C272)+(F274*$C274)+(F275*$C275)+(F277*$C277)+(F278*$C278))/$C279</f>
        <v>16.106191950464396</v>
      </c>
      <c r="G279" s="20">
        <f>((G271*$C271)+(G272*$C272)+(G274*$C274)+(G275*$C275)+(G277*$C277)+(G278*$C278))/$C279</f>
        <v>100</v>
      </c>
      <c r="H279" s="20">
        <f>((H271*$C271)+(H272*$C272)+(H274*$C274)+(H275*$C275)+(H277*$C277)+(H278*$C278))/$C279</f>
        <v>6.7597523219814244</v>
      </c>
      <c r="I279" s="116">
        <f>((I271*$C271)+(I272*$C272)+(I274*$C274)+(I275*$C275)+(I277*$C277)+(I278*$C278))/$C279</f>
        <v>8.147722246793454E-2</v>
      </c>
      <c r="J279" s="22">
        <f>SUM(J270:J278)</f>
        <v>2739.3332967032966</v>
      </c>
      <c r="K279" s="64"/>
      <c r="L279" s="2">
        <f t="shared" si="7"/>
        <v>267</v>
      </c>
      <c r="N279" s="2">
        <f t="shared" si="6"/>
        <v>159</v>
      </c>
    </row>
    <row r="280" spans="1:14" ht="6" customHeight="1" outlineLevel="1">
      <c r="A280" s="60"/>
      <c r="B280" s="14"/>
      <c r="C280" s="15"/>
      <c r="D280" s="15"/>
      <c r="E280" s="16"/>
      <c r="F280" s="15"/>
      <c r="G280" s="15"/>
      <c r="H280" s="15"/>
      <c r="I280" s="17"/>
      <c r="J280" s="18"/>
      <c r="K280" s="64"/>
      <c r="L280" s="2">
        <f t="shared" si="7"/>
        <v>268</v>
      </c>
      <c r="N280" s="2">
        <f t="shared" si="6"/>
        <v>160</v>
      </c>
    </row>
    <row r="281" spans="1:14" outlineLevel="2">
      <c r="A281" s="60"/>
      <c r="B281" s="23" t="s">
        <v>56</v>
      </c>
      <c r="C281" s="15"/>
      <c r="D281" s="15"/>
      <c r="E281" s="16"/>
      <c r="F281" s="15"/>
      <c r="G281" s="15"/>
      <c r="H281" s="15"/>
      <c r="I281" s="17"/>
      <c r="J281" s="18"/>
      <c r="K281" s="64"/>
      <c r="L281" s="2">
        <f t="shared" si="7"/>
        <v>269</v>
      </c>
      <c r="N281" s="2">
        <f t="shared" si="6"/>
        <v>161</v>
      </c>
    </row>
    <row r="282" spans="1:14" outlineLevel="2">
      <c r="A282" s="60"/>
      <c r="B282" s="14" t="s">
        <v>48</v>
      </c>
      <c r="C282" s="15"/>
      <c r="D282" s="15"/>
      <c r="E282" s="16"/>
      <c r="F282" s="15"/>
      <c r="G282" s="15"/>
      <c r="H282" s="15"/>
      <c r="I282" s="17"/>
      <c r="J282" s="18"/>
      <c r="K282" s="64"/>
      <c r="L282" s="2">
        <f t="shared" si="7"/>
        <v>270</v>
      </c>
      <c r="N282" s="2">
        <f t="shared" si="6"/>
        <v>162</v>
      </c>
    </row>
    <row r="283" spans="1:14" outlineLevel="2">
      <c r="A283" s="60"/>
      <c r="B283" s="75" t="s">
        <v>3</v>
      </c>
      <c r="C283" s="120">
        <v>34</v>
      </c>
      <c r="D283" s="115">
        <v>15000</v>
      </c>
      <c r="E283" s="16">
        <f>C283*D283/1000</f>
        <v>510</v>
      </c>
      <c r="F283" s="115">
        <v>22.91</v>
      </c>
      <c r="G283" s="115">
        <v>125</v>
      </c>
      <c r="H283" s="115">
        <v>5</v>
      </c>
      <c r="I283" s="17">
        <f>H283/G283</f>
        <v>0.04</v>
      </c>
      <c r="J283" s="18">
        <f>IF((G283-F283)/G283&gt;I283,(G283-F283)/G283,I283)*D283*C283/1000</f>
        <v>416.52719999999994</v>
      </c>
      <c r="K283" s="64"/>
      <c r="L283" s="2">
        <f t="shared" si="7"/>
        <v>271</v>
      </c>
      <c r="N283" s="2">
        <f t="shared" si="6"/>
        <v>163</v>
      </c>
    </row>
    <row r="284" spans="1:14" outlineLevel="2">
      <c r="A284" s="60"/>
      <c r="B284" s="75" t="s">
        <v>4</v>
      </c>
      <c r="C284" s="120">
        <v>10</v>
      </c>
      <c r="D284" s="115">
        <f>D283</f>
        <v>15000</v>
      </c>
      <c r="E284" s="16">
        <f>C284*D284/1000</f>
        <v>150</v>
      </c>
      <c r="F284" s="115">
        <v>37.5</v>
      </c>
      <c r="G284" s="115">
        <v>125</v>
      </c>
      <c r="H284" s="115">
        <v>5</v>
      </c>
      <c r="I284" s="17">
        <f>H284/G284</f>
        <v>0.04</v>
      </c>
      <c r="J284" s="18">
        <f>IF((G284-F284)/G284&gt;I284,(G284-F284)/G284,I284)*D284*C284/1000</f>
        <v>105</v>
      </c>
      <c r="K284" s="64"/>
      <c r="L284" s="2">
        <f t="shared" si="7"/>
        <v>272</v>
      </c>
      <c r="N284" s="2">
        <f t="shared" si="6"/>
        <v>164</v>
      </c>
    </row>
    <row r="285" spans="1:14" outlineLevel="2">
      <c r="A285" s="60"/>
      <c r="B285" s="14" t="s">
        <v>49</v>
      </c>
      <c r="C285" s="120"/>
      <c r="D285" s="115"/>
      <c r="E285" s="16"/>
      <c r="F285" s="115"/>
      <c r="G285" s="115"/>
      <c r="H285" s="115"/>
      <c r="I285" s="17"/>
      <c r="J285" s="18"/>
      <c r="K285" s="64"/>
      <c r="L285" s="2">
        <f t="shared" si="7"/>
        <v>273</v>
      </c>
      <c r="N285" s="2">
        <f t="shared" si="6"/>
        <v>165</v>
      </c>
    </row>
    <row r="286" spans="1:14" outlineLevel="2">
      <c r="A286" s="60"/>
      <c r="B286" s="75" t="s">
        <v>3</v>
      </c>
      <c r="C286" s="120">
        <v>0</v>
      </c>
      <c r="D286" s="115">
        <f>D283</f>
        <v>15000</v>
      </c>
      <c r="E286" s="16">
        <f>C286*D286/1000</f>
        <v>0</v>
      </c>
      <c r="F286" s="115">
        <v>0</v>
      </c>
      <c r="G286" s="115">
        <v>65</v>
      </c>
      <c r="H286" s="115">
        <f>I286*G286</f>
        <v>44.2</v>
      </c>
      <c r="I286" s="17">
        <v>0.68</v>
      </c>
      <c r="J286" s="18">
        <f>IF(F286&lt;G286,(I286-1)/G286*F286+1,I286)*D286*C286/1000</f>
        <v>0</v>
      </c>
      <c r="K286" s="64"/>
      <c r="L286" s="2">
        <f t="shared" si="7"/>
        <v>274</v>
      </c>
      <c r="N286" s="2">
        <f t="shared" si="6"/>
        <v>166</v>
      </c>
    </row>
    <row r="287" spans="1:14" outlineLevel="2">
      <c r="A287" s="60"/>
      <c r="B287" s="75" t="s">
        <v>4</v>
      </c>
      <c r="C287" s="120">
        <v>0</v>
      </c>
      <c r="D287" s="115">
        <f>D283</f>
        <v>15000</v>
      </c>
      <c r="E287" s="16">
        <f>C287*D287/1000</f>
        <v>0</v>
      </c>
      <c r="F287" s="115">
        <v>0</v>
      </c>
      <c r="G287" s="115">
        <v>70</v>
      </c>
      <c r="H287" s="115">
        <v>5</v>
      </c>
      <c r="I287" s="17">
        <f>H287/G287</f>
        <v>7.1428571428571425E-2</v>
      </c>
      <c r="J287" s="18">
        <f>IF((G287-F287)/G287&gt;I287,(G287-F287)/G287,I287)*D287*C287/1000</f>
        <v>0</v>
      </c>
      <c r="K287" s="64"/>
      <c r="L287" s="2">
        <f t="shared" si="7"/>
        <v>275</v>
      </c>
      <c r="N287" s="2">
        <f t="shared" si="6"/>
        <v>167</v>
      </c>
    </row>
    <row r="288" spans="1:14" outlineLevel="2">
      <c r="A288" s="60"/>
      <c r="B288" s="14" t="s">
        <v>50</v>
      </c>
      <c r="C288" s="120"/>
      <c r="D288" s="115"/>
      <c r="E288" s="16"/>
      <c r="F288" s="115"/>
      <c r="G288" s="115"/>
      <c r="H288" s="115"/>
      <c r="I288" s="17"/>
      <c r="J288" s="18"/>
      <c r="K288" s="64"/>
      <c r="L288" s="2">
        <f t="shared" si="7"/>
        <v>276</v>
      </c>
      <c r="N288" s="2">
        <f t="shared" si="6"/>
        <v>168</v>
      </c>
    </row>
    <row r="289" spans="1:14" outlineLevel="2">
      <c r="A289" s="60"/>
      <c r="B289" s="75" t="s">
        <v>3</v>
      </c>
      <c r="C289" s="120">
        <v>27</v>
      </c>
      <c r="D289" s="115">
        <f>D283</f>
        <v>15000</v>
      </c>
      <c r="E289" s="16">
        <f>C289*D289/1000</f>
        <v>405</v>
      </c>
      <c r="F289" s="115">
        <v>7.55</v>
      </c>
      <c r="G289" s="115">
        <v>70</v>
      </c>
      <c r="H289" s="115">
        <v>5</v>
      </c>
      <c r="I289" s="17">
        <f>H289/G289</f>
        <v>7.1428571428571425E-2</v>
      </c>
      <c r="J289" s="18">
        <f>IF((G289-F289)/G289&gt;I289,(G289-F289)/G289,I289)*D289*C289/1000</f>
        <v>361.31785714285718</v>
      </c>
      <c r="K289" s="64"/>
      <c r="L289" s="2">
        <f t="shared" si="7"/>
        <v>277</v>
      </c>
      <c r="N289" s="2">
        <f t="shared" si="6"/>
        <v>169</v>
      </c>
    </row>
    <row r="290" spans="1:14" outlineLevel="2">
      <c r="A290" s="60"/>
      <c r="B290" s="75" t="s">
        <v>4</v>
      </c>
      <c r="C290" s="120">
        <v>15</v>
      </c>
      <c r="D290" s="115">
        <f>D283</f>
        <v>15000</v>
      </c>
      <c r="E290" s="16">
        <f>C290*D290/1000</f>
        <v>225</v>
      </c>
      <c r="F290" s="115">
        <v>7.55</v>
      </c>
      <c r="G290" s="115">
        <v>65</v>
      </c>
      <c r="H290" s="115">
        <f>I290*G290</f>
        <v>44.2</v>
      </c>
      <c r="I290" s="17">
        <v>0.68</v>
      </c>
      <c r="J290" s="18">
        <f>IF((G290-F290)/G290&gt;I290,(G290-F290)/G290,I290)*D290*C290/1000</f>
        <v>198.86538461538458</v>
      </c>
      <c r="K290" s="64"/>
      <c r="L290" s="2">
        <f t="shared" si="7"/>
        <v>278</v>
      </c>
      <c r="N290" s="2">
        <f t="shared" si="6"/>
        <v>170</v>
      </c>
    </row>
    <row r="291" spans="1:14" outlineLevel="1">
      <c r="A291" s="60"/>
      <c r="B291" s="19" t="s">
        <v>72</v>
      </c>
      <c r="C291" s="21">
        <f>SUM(C283:C290)</f>
        <v>86</v>
      </c>
      <c r="D291" s="20">
        <f>((D283*$C283)+(D284*$C284)+(D286*$C286)+(D287*$C287)+(D289*$C289)+(D290*$C290))/$C291</f>
        <v>15000</v>
      </c>
      <c r="E291" s="21">
        <f>SUM(E282:E290)</f>
        <v>1290</v>
      </c>
      <c r="F291" s="20">
        <f>((F283*$C283)+(F284*$C284)+(F286*$C286)+(F287*$C287)+(F289*$C289)+(F290*$C290))/$C291</f>
        <v>17.105116279069765</v>
      </c>
      <c r="G291" s="20">
        <f>((G283*$C283)+(G284*$C284)+(G286*$C286)+(G287*$C287)+(G289*$C289)+(G290*$C290))/$C291</f>
        <v>97.267441860465112</v>
      </c>
      <c r="H291" s="20">
        <f>((H283*$C283)+(H284*$C284)+(H286*$C286)+(H287*$C287)+(H289*$C289)+(H290*$C290))/$C291</f>
        <v>11.837209302325581</v>
      </c>
      <c r="I291" s="116">
        <f>((I283*$C283)+(I284*$C284)+(I286*$C286)+(I287*$C287)+(I289*$C289)+(I290*$C290))/$C291</f>
        <v>0.1614950166112957</v>
      </c>
      <c r="J291" s="22">
        <f>SUM(J282:J290)</f>
        <v>1081.7104417582418</v>
      </c>
      <c r="K291" s="64"/>
      <c r="L291" s="2">
        <f t="shared" si="7"/>
        <v>279</v>
      </c>
      <c r="N291" s="2">
        <f t="shared" si="6"/>
        <v>171</v>
      </c>
    </row>
    <row r="292" spans="1:14" ht="6" customHeight="1" outlineLevel="1">
      <c r="A292" s="60"/>
      <c r="B292" s="14"/>
      <c r="C292" s="15"/>
      <c r="D292" s="15"/>
      <c r="E292" s="16"/>
      <c r="F292" s="15"/>
      <c r="G292" s="15"/>
      <c r="H292" s="15"/>
      <c r="I292" s="17"/>
      <c r="J292" s="18"/>
      <c r="K292" s="64"/>
      <c r="L292" s="2">
        <f t="shared" si="7"/>
        <v>280</v>
      </c>
      <c r="N292" s="2">
        <f t="shared" si="6"/>
        <v>172</v>
      </c>
    </row>
    <row r="293" spans="1:14" outlineLevel="2">
      <c r="A293" s="60"/>
      <c r="B293" s="23" t="s">
        <v>58</v>
      </c>
      <c r="C293" s="15"/>
      <c r="D293" s="15"/>
      <c r="E293" s="16"/>
      <c r="F293" s="15"/>
      <c r="G293" s="15"/>
      <c r="H293" s="15"/>
      <c r="I293" s="17"/>
      <c r="J293" s="18"/>
      <c r="K293" s="64"/>
      <c r="L293" s="2">
        <f t="shared" si="7"/>
        <v>281</v>
      </c>
      <c r="N293" s="2">
        <f t="shared" si="6"/>
        <v>173</v>
      </c>
    </row>
    <row r="294" spans="1:14" outlineLevel="2">
      <c r="A294" s="60"/>
      <c r="B294" s="14" t="s">
        <v>48</v>
      </c>
      <c r="C294" s="15"/>
      <c r="D294" s="15"/>
      <c r="E294" s="16"/>
      <c r="F294" s="15"/>
      <c r="G294" s="15"/>
      <c r="H294" s="15"/>
      <c r="I294" s="17"/>
      <c r="J294" s="18"/>
      <c r="K294" s="64"/>
      <c r="L294" s="2">
        <f t="shared" si="7"/>
        <v>282</v>
      </c>
      <c r="N294" s="2">
        <f t="shared" si="6"/>
        <v>174</v>
      </c>
    </row>
    <row r="295" spans="1:14" outlineLevel="2">
      <c r="A295" s="60"/>
      <c r="B295" s="75" t="s">
        <v>3</v>
      </c>
      <c r="C295" s="120">
        <v>11</v>
      </c>
      <c r="D295" s="115">
        <v>30000</v>
      </c>
      <c r="E295" s="16">
        <f>C295*D295/1000</f>
        <v>330</v>
      </c>
      <c r="F295" s="115">
        <v>26.5</v>
      </c>
      <c r="G295" s="115">
        <v>125</v>
      </c>
      <c r="H295" s="115">
        <v>5</v>
      </c>
      <c r="I295" s="17">
        <f>H295/G295</f>
        <v>0.04</v>
      </c>
      <c r="J295" s="18">
        <f>IF((G295-F295)/G295&gt;I295,(G295-F295)/G295,I295)*D295*C295/1000</f>
        <v>260.04000000000002</v>
      </c>
      <c r="K295" s="64"/>
      <c r="L295" s="2">
        <f t="shared" si="7"/>
        <v>283</v>
      </c>
      <c r="N295" s="2">
        <f t="shared" si="6"/>
        <v>175</v>
      </c>
    </row>
    <row r="296" spans="1:14" outlineLevel="2">
      <c r="A296" s="60"/>
      <c r="B296" s="75" t="s">
        <v>4</v>
      </c>
      <c r="C296" s="120">
        <v>4</v>
      </c>
      <c r="D296" s="115">
        <f>D295</f>
        <v>30000</v>
      </c>
      <c r="E296" s="16">
        <f>C296*D296/1000</f>
        <v>120</v>
      </c>
      <c r="F296" s="115">
        <v>52.75</v>
      </c>
      <c r="G296" s="115">
        <v>125</v>
      </c>
      <c r="H296" s="115">
        <v>5</v>
      </c>
      <c r="I296" s="17">
        <f>H296/G296</f>
        <v>0.04</v>
      </c>
      <c r="J296" s="18">
        <f>IF((G296-F296)/G296&gt;I296,(G296-F296)/G296,I296)*D296*C296/1000</f>
        <v>69.36</v>
      </c>
      <c r="K296" s="64"/>
      <c r="L296" s="2">
        <f t="shared" si="7"/>
        <v>284</v>
      </c>
      <c r="N296" s="2">
        <f t="shared" si="6"/>
        <v>176</v>
      </c>
    </row>
    <row r="297" spans="1:14" outlineLevel="2">
      <c r="A297" s="60"/>
      <c r="B297" s="14" t="s">
        <v>49</v>
      </c>
      <c r="C297" s="120"/>
      <c r="D297" s="115"/>
      <c r="E297" s="16"/>
      <c r="F297" s="115"/>
      <c r="G297" s="115"/>
      <c r="H297" s="115"/>
      <c r="I297" s="17"/>
      <c r="J297" s="18"/>
      <c r="K297" s="64"/>
      <c r="L297" s="2">
        <f t="shared" si="7"/>
        <v>285</v>
      </c>
      <c r="N297" s="2">
        <f t="shared" si="6"/>
        <v>177</v>
      </c>
    </row>
    <row r="298" spans="1:14" outlineLevel="2">
      <c r="A298" s="60"/>
      <c r="B298" s="75" t="s">
        <v>3</v>
      </c>
      <c r="C298" s="120">
        <v>0</v>
      </c>
      <c r="D298" s="115">
        <f>D295</f>
        <v>30000</v>
      </c>
      <c r="E298" s="16">
        <f>C298*D298/1000</f>
        <v>0</v>
      </c>
      <c r="F298" s="115">
        <v>0</v>
      </c>
      <c r="G298" s="115">
        <v>65</v>
      </c>
      <c r="H298" s="115">
        <f>I298*G298</f>
        <v>44.2</v>
      </c>
      <c r="I298" s="17">
        <v>0.68</v>
      </c>
      <c r="J298" s="18">
        <f>IF(F298&lt;G298,(I298-1)/G298*F298+1,I298)*D298*C298/1000</f>
        <v>0</v>
      </c>
      <c r="K298" s="64"/>
      <c r="L298" s="2">
        <f t="shared" si="7"/>
        <v>286</v>
      </c>
      <c r="N298" s="2">
        <f t="shared" si="6"/>
        <v>178</v>
      </c>
    </row>
    <row r="299" spans="1:14" outlineLevel="2">
      <c r="A299" s="60"/>
      <c r="B299" s="75" t="s">
        <v>4</v>
      </c>
      <c r="C299" s="120">
        <v>0</v>
      </c>
      <c r="D299" s="115">
        <f>D295</f>
        <v>30000</v>
      </c>
      <c r="E299" s="16">
        <f>C299*D299/1000</f>
        <v>0</v>
      </c>
      <c r="F299" s="115">
        <v>0</v>
      </c>
      <c r="G299" s="115">
        <v>70</v>
      </c>
      <c r="H299" s="115">
        <v>5</v>
      </c>
      <c r="I299" s="17">
        <f>H299/G299</f>
        <v>7.1428571428571425E-2</v>
      </c>
      <c r="J299" s="18">
        <f>IF((G299-F299)/G299&gt;I299,(G299-F299)/G299,I299)*D299*C299/1000</f>
        <v>0</v>
      </c>
      <c r="K299" s="64"/>
      <c r="L299" s="2">
        <f t="shared" si="7"/>
        <v>287</v>
      </c>
      <c r="N299" s="2">
        <f t="shared" si="6"/>
        <v>179</v>
      </c>
    </row>
    <row r="300" spans="1:14" outlineLevel="2">
      <c r="A300" s="60"/>
      <c r="B300" s="14" t="s">
        <v>50</v>
      </c>
      <c r="C300" s="120"/>
      <c r="D300" s="115"/>
      <c r="E300" s="16"/>
      <c r="F300" s="115"/>
      <c r="G300" s="115"/>
      <c r="H300" s="115"/>
      <c r="I300" s="17"/>
      <c r="J300" s="18"/>
      <c r="K300" s="64"/>
      <c r="L300" s="2">
        <f t="shared" si="7"/>
        <v>288</v>
      </c>
      <c r="N300" s="2">
        <f t="shared" si="6"/>
        <v>180</v>
      </c>
    </row>
    <row r="301" spans="1:14" outlineLevel="2">
      <c r="A301" s="60"/>
      <c r="B301" s="75" t="s">
        <v>3</v>
      </c>
      <c r="C301" s="120">
        <v>8</v>
      </c>
      <c r="D301" s="115">
        <f>D295</f>
        <v>30000</v>
      </c>
      <c r="E301" s="16">
        <f>C301*D301/1000</f>
        <v>240</v>
      </c>
      <c r="F301" s="115">
        <v>4.5</v>
      </c>
      <c r="G301" s="115">
        <v>70</v>
      </c>
      <c r="H301" s="115">
        <v>5</v>
      </c>
      <c r="I301" s="17">
        <f>H301/G301</f>
        <v>7.1428571428571425E-2</v>
      </c>
      <c r="J301" s="18">
        <f>IF((G301-F301)/G301&gt;I301,(G301-F301)/G301,I301)*D301*C301/1000</f>
        <v>224.57142857142858</v>
      </c>
      <c r="K301" s="64"/>
      <c r="L301" s="2">
        <f t="shared" si="7"/>
        <v>289</v>
      </c>
      <c r="N301" s="2">
        <f t="shared" si="6"/>
        <v>181</v>
      </c>
    </row>
    <row r="302" spans="1:14" outlineLevel="2">
      <c r="A302" s="60"/>
      <c r="B302" s="75" t="s">
        <v>4</v>
      </c>
      <c r="C302" s="120">
        <v>7</v>
      </c>
      <c r="D302" s="115">
        <f>D295</f>
        <v>30000</v>
      </c>
      <c r="E302" s="16">
        <f>C302*D302/1000</f>
        <v>210</v>
      </c>
      <c r="F302" s="115">
        <v>14</v>
      </c>
      <c r="G302" s="115">
        <v>65</v>
      </c>
      <c r="H302" s="115">
        <f>I302*G302</f>
        <v>44.2</v>
      </c>
      <c r="I302" s="17">
        <v>0.68</v>
      </c>
      <c r="J302" s="18">
        <f>IF((G302-F302)/G302&gt;I302,(G302-F302)/G302,I302)*D302*C302/1000</f>
        <v>164.76923076923077</v>
      </c>
      <c r="K302" s="64"/>
      <c r="L302" s="2">
        <f t="shared" si="7"/>
        <v>290</v>
      </c>
      <c r="N302" s="2">
        <f t="shared" si="6"/>
        <v>182</v>
      </c>
    </row>
    <row r="303" spans="1:14" outlineLevel="1">
      <c r="A303" s="60"/>
      <c r="B303" s="19" t="s">
        <v>73</v>
      </c>
      <c r="C303" s="21">
        <f>SUM(C295:C302)</f>
        <v>30</v>
      </c>
      <c r="D303" s="20">
        <f>((D295*$C295)+(D296*$C296)+(D298*$C298)+(D299*$C299)+(D301*$C301)+(D302*$C302))/$C303</f>
        <v>30000</v>
      </c>
      <c r="E303" s="21">
        <f>SUM(E294:E302)</f>
        <v>900</v>
      </c>
      <c r="F303" s="20">
        <f>((F295*$C295)+(F296*$C296)+(F298*$C298)+(F299*$C299)+(F301*$C301)+(F302*$C302))/$C303</f>
        <v>21.216666666666665</v>
      </c>
      <c r="G303" s="20">
        <f>((G295*$C295)+(G296*$C296)+(G298*$C298)+(G299*$C299)+(G301*$C301)+(G302*$C302))/$C303</f>
        <v>96.333333333333329</v>
      </c>
      <c r="H303" s="20">
        <f>((H295*$C295)+(H296*$C296)+(H298*$C298)+(H299*$C299)+(H301*$C301)+(H302*$C302))/$C303</f>
        <v>14.146666666666668</v>
      </c>
      <c r="I303" s="116">
        <f>((I295*$C295)+(I296*$C296)+(I298*$C298)+(I299*$C299)+(I301*$C301)+(I302*$C302))/$C303</f>
        <v>0.19771428571428576</v>
      </c>
      <c r="J303" s="22">
        <f>SUM(J294:J302)</f>
        <v>718.74065934065948</v>
      </c>
      <c r="K303" s="64"/>
      <c r="L303" s="2">
        <f t="shared" si="7"/>
        <v>291</v>
      </c>
      <c r="N303" s="2">
        <f t="shared" si="6"/>
        <v>183</v>
      </c>
    </row>
    <row r="304" spans="1:14" ht="6" customHeight="1" outlineLevel="1">
      <c r="A304" s="60"/>
      <c r="B304" s="14"/>
      <c r="C304" s="15"/>
      <c r="D304" s="15"/>
      <c r="E304" s="16"/>
      <c r="F304" s="15"/>
      <c r="G304" s="15"/>
      <c r="H304" s="15"/>
      <c r="I304" s="17"/>
      <c r="J304" s="18"/>
      <c r="K304" s="64"/>
      <c r="L304" s="2">
        <f t="shared" si="7"/>
        <v>292</v>
      </c>
      <c r="N304" s="2">
        <f t="shared" si="6"/>
        <v>184</v>
      </c>
    </row>
    <row r="305" spans="1:14" ht="14.25" thickBot="1">
      <c r="A305" s="60"/>
      <c r="B305" s="24" t="s">
        <v>74</v>
      </c>
      <c r="C305" s="26">
        <f>C303+C291+C279+C267+C255</f>
        <v>90888</v>
      </c>
      <c r="D305" s="25">
        <f>((D255*$C255)+(D267*$C267)+(D279*$C279)+(D291*$C291)+(D303*$C303))/$C305</f>
        <v>1030.1605272423203</v>
      </c>
      <c r="E305" s="26">
        <f>E303+E291+E279+E267+E255</f>
        <v>93629.23000000001</v>
      </c>
      <c r="F305" s="25">
        <f>((F255*$C255)+(F267*$C267)+(F279*$C279)+(F291*$C291)+(F303*$C303))/$C305</f>
        <v>16.146646862072004</v>
      </c>
      <c r="G305" s="25">
        <f>((G255*$C255)+(G267*$C267)+(G279*$C279)+(G291*$C291)+(G303*$C303))/$C305</f>
        <v>99.920286506469495</v>
      </c>
      <c r="H305" s="25">
        <f>((H255*$C255)+(H267*$C267)+(H279*$C279)+(H291*$C291)+(H303*$C303))/$C305</f>
        <v>6.6009858287122611</v>
      </c>
      <c r="I305" s="117">
        <f>((I255*$C255)+(I267*$C267)+(I279*$C279)+(I291*$C291)+(I303*$C303))/$C305</f>
        <v>7.9069529845209804E-2</v>
      </c>
      <c r="J305" s="28">
        <f>J303+J291+J279+J267+J255</f>
        <v>79310.400743248349</v>
      </c>
      <c r="K305" s="64"/>
      <c r="L305" s="2">
        <f t="shared" si="7"/>
        <v>293</v>
      </c>
      <c r="N305" s="2">
        <f t="shared" si="6"/>
        <v>185</v>
      </c>
    </row>
    <row r="306" spans="1:14" ht="15" thickTop="1" thickBot="1">
      <c r="A306" s="60"/>
      <c r="B306" s="110"/>
      <c r="C306" s="111"/>
      <c r="D306" s="111"/>
      <c r="E306" s="112"/>
      <c r="F306" s="111"/>
      <c r="G306" s="111"/>
      <c r="H306" s="111"/>
      <c r="I306" s="113"/>
      <c r="J306" s="112"/>
      <c r="K306" s="64"/>
      <c r="L306" s="2">
        <f t="shared" si="7"/>
        <v>294</v>
      </c>
      <c r="N306" s="2">
        <f t="shared" si="6"/>
        <v>186</v>
      </c>
    </row>
    <row r="307" spans="1:14" ht="14.25" outlineLevel="1" thickTop="1">
      <c r="A307" s="60"/>
      <c r="B307" s="8" t="s">
        <v>75</v>
      </c>
      <c r="C307" s="9"/>
      <c r="D307" s="9"/>
      <c r="E307" s="10"/>
      <c r="F307" s="10"/>
      <c r="G307" s="10"/>
      <c r="H307" s="10"/>
      <c r="I307" s="10"/>
      <c r="J307" s="11"/>
      <c r="K307" s="64"/>
      <c r="L307" s="2">
        <f t="shared" si="7"/>
        <v>295</v>
      </c>
      <c r="N307" s="2">
        <f t="shared" si="6"/>
        <v>187</v>
      </c>
    </row>
    <row r="308" spans="1:14" outlineLevel="2">
      <c r="A308" s="60"/>
      <c r="B308" s="23" t="s">
        <v>58</v>
      </c>
      <c r="C308" s="15"/>
      <c r="D308" s="15"/>
      <c r="E308" s="16"/>
      <c r="F308" s="15"/>
      <c r="G308" s="15"/>
      <c r="H308" s="15"/>
      <c r="I308" s="17"/>
      <c r="J308" s="18"/>
      <c r="K308" s="64"/>
      <c r="L308" s="2">
        <f t="shared" si="7"/>
        <v>296</v>
      </c>
      <c r="N308" s="2">
        <f t="shared" si="6"/>
        <v>188</v>
      </c>
    </row>
    <row r="309" spans="1:14" outlineLevel="2">
      <c r="A309" s="60"/>
      <c r="B309" s="14" t="s">
        <v>48</v>
      </c>
      <c r="C309" s="15"/>
      <c r="D309" s="15"/>
      <c r="E309" s="16"/>
      <c r="F309" s="15"/>
      <c r="G309" s="15"/>
      <c r="H309" s="15"/>
      <c r="I309" s="17"/>
      <c r="J309" s="18"/>
      <c r="K309" s="64"/>
      <c r="L309" s="2">
        <f t="shared" si="7"/>
        <v>297</v>
      </c>
      <c r="N309" s="2">
        <f t="shared" si="6"/>
        <v>189</v>
      </c>
    </row>
    <row r="310" spans="1:14" outlineLevel="2">
      <c r="A310" s="60"/>
      <c r="B310" s="75" t="s">
        <v>3</v>
      </c>
      <c r="C310" s="120">
        <v>8</v>
      </c>
      <c r="D310" s="115">
        <v>30000</v>
      </c>
      <c r="E310" s="16">
        <f>C310*D310/1000</f>
        <v>240</v>
      </c>
      <c r="F310" s="115">
        <v>22.5</v>
      </c>
      <c r="G310" s="115">
        <v>125</v>
      </c>
      <c r="H310" s="115">
        <v>5</v>
      </c>
      <c r="I310" s="17">
        <f>H310/G310</f>
        <v>0.04</v>
      </c>
      <c r="J310" s="18">
        <f>IF((G310-F310)/G310&gt;I310,(G310-F310)/G310,I310)*D310*C310/1000</f>
        <v>196.8</v>
      </c>
      <c r="K310" s="64"/>
      <c r="L310" s="2">
        <f t="shared" si="7"/>
        <v>298</v>
      </c>
      <c r="N310" s="2">
        <f t="shared" si="6"/>
        <v>190</v>
      </c>
    </row>
    <row r="311" spans="1:14" outlineLevel="2">
      <c r="A311" s="60"/>
      <c r="B311" s="75" t="s">
        <v>4</v>
      </c>
      <c r="C311" s="120">
        <v>1</v>
      </c>
      <c r="D311" s="115">
        <f>D310</f>
        <v>30000</v>
      </c>
      <c r="E311" s="16">
        <f>C311*D311/1000</f>
        <v>30</v>
      </c>
      <c r="F311" s="115">
        <v>27.5</v>
      </c>
      <c r="G311" s="115">
        <v>125</v>
      </c>
      <c r="H311" s="115">
        <v>5</v>
      </c>
      <c r="I311" s="17">
        <f>H311/G311</f>
        <v>0.04</v>
      </c>
      <c r="J311" s="18">
        <f>IF((G311-F311)/G311&gt;I311,(G311-F311)/G311,I311)*D311*C311/1000</f>
        <v>23.4</v>
      </c>
      <c r="K311" s="64"/>
      <c r="L311" s="2">
        <f t="shared" si="7"/>
        <v>299</v>
      </c>
      <c r="N311" s="2">
        <f t="shared" si="6"/>
        <v>191</v>
      </c>
    </row>
    <row r="312" spans="1:14" outlineLevel="2">
      <c r="A312" s="60"/>
      <c r="B312" s="14" t="s">
        <v>49</v>
      </c>
      <c r="C312" s="120"/>
      <c r="D312" s="115"/>
      <c r="E312" s="16"/>
      <c r="F312" s="115"/>
      <c r="G312" s="115"/>
      <c r="H312" s="115"/>
      <c r="I312" s="17"/>
      <c r="J312" s="18"/>
      <c r="K312" s="64"/>
      <c r="L312" s="2">
        <f t="shared" si="7"/>
        <v>300</v>
      </c>
      <c r="N312" s="2">
        <f t="shared" si="6"/>
        <v>192</v>
      </c>
    </row>
    <row r="313" spans="1:14" outlineLevel="2">
      <c r="A313" s="60"/>
      <c r="B313" s="75" t="s">
        <v>3</v>
      </c>
      <c r="C313" s="120">
        <v>0</v>
      </c>
      <c r="D313" s="115">
        <f>D310</f>
        <v>30000</v>
      </c>
      <c r="E313" s="16">
        <f>C313*D313/1000</f>
        <v>0</v>
      </c>
      <c r="F313" s="115">
        <v>0</v>
      </c>
      <c r="G313" s="115">
        <v>65</v>
      </c>
      <c r="H313" s="115">
        <f>I313*G313</f>
        <v>44.2</v>
      </c>
      <c r="I313" s="17">
        <v>0.68</v>
      </c>
      <c r="J313" s="18">
        <f>IF(F313&lt;G313,(I313-1)/G313*F313+1,I313)*D313*C313/1000</f>
        <v>0</v>
      </c>
      <c r="K313" s="64"/>
      <c r="L313" s="2">
        <f t="shared" si="7"/>
        <v>301</v>
      </c>
      <c r="N313" s="2">
        <f t="shared" si="6"/>
        <v>193</v>
      </c>
    </row>
    <row r="314" spans="1:14" outlineLevel="2">
      <c r="A314" s="60"/>
      <c r="B314" s="75" t="s">
        <v>4</v>
      </c>
      <c r="C314" s="120">
        <v>0</v>
      </c>
      <c r="D314" s="115">
        <f>D310</f>
        <v>30000</v>
      </c>
      <c r="E314" s="16">
        <f>C314*D314/1000</f>
        <v>0</v>
      </c>
      <c r="F314" s="115">
        <v>0</v>
      </c>
      <c r="G314" s="115">
        <v>70</v>
      </c>
      <c r="H314" s="115">
        <v>5</v>
      </c>
      <c r="I314" s="17">
        <f>H314/G314</f>
        <v>7.1428571428571425E-2</v>
      </c>
      <c r="J314" s="18">
        <f>IF((G314-F314)/G314&gt;I314,(G314-F314)/G314,I314)*D314*C314/1000</f>
        <v>0</v>
      </c>
      <c r="K314" s="64"/>
      <c r="L314" s="2">
        <f t="shared" si="7"/>
        <v>302</v>
      </c>
      <c r="N314" s="2">
        <f t="shared" si="6"/>
        <v>194</v>
      </c>
    </row>
    <row r="315" spans="1:14" outlineLevel="2">
      <c r="A315" s="60"/>
      <c r="B315" s="14" t="s">
        <v>50</v>
      </c>
      <c r="C315" s="120"/>
      <c r="D315" s="115"/>
      <c r="E315" s="16"/>
      <c r="F315" s="115"/>
      <c r="G315" s="115"/>
      <c r="H315" s="115"/>
      <c r="I315" s="17"/>
      <c r="J315" s="18"/>
      <c r="K315" s="64"/>
      <c r="L315" s="2">
        <f t="shared" si="7"/>
        <v>303</v>
      </c>
      <c r="N315" s="2">
        <f t="shared" ref="N315:N321" si="8">N314+1</f>
        <v>195</v>
      </c>
    </row>
    <row r="316" spans="1:14" outlineLevel="2">
      <c r="A316" s="60"/>
      <c r="B316" s="75" t="s">
        <v>3</v>
      </c>
      <c r="C316" s="120">
        <v>0</v>
      </c>
      <c r="D316" s="115">
        <f>D310</f>
        <v>30000</v>
      </c>
      <c r="E316" s="16">
        <f>C316*D316/1000</f>
        <v>0</v>
      </c>
      <c r="F316" s="115">
        <v>0</v>
      </c>
      <c r="G316" s="115">
        <v>70</v>
      </c>
      <c r="H316" s="115">
        <v>5</v>
      </c>
      <c r="I316" s="17">
        <f>H316/G316</f>
        <v>7.1428571428571425E-2</v>
      </c>
      <c r="J316" s="18">
        <f>IF((G316-F316)/G316&gt;I316,(G316-F316)/G316,I316)*D316*C316/1000</f>
        <v>0</v>
      </c>
      <c r="K316" s="64"/>
      <c r="L316" s="2">
        <f t="shared" si="7"/>
        <v>304</v>
      </c>
      <c r="N316" s="2">
        <f t="shared" si="8"/>
        <v>196</v>
      </c>
    </row>
    <row r="317" spans="1:14" outlineLevel="2">
      <c r="A317" s="60"/>
      <c r="B317" s="75" t="s">
        <v>4</v>
      </c>
      <c r="C317" s="120">
        <v>0</v>
      </c>
      <c r="D317" s="115">
        <f>D310</f>
        <v>30000</v>
      </c>
      <c r="E317" s="16">
        <f>C317*D317/1000</f>
        <v>0</v>
      </c>
      <c r="F317" s="115">
        <v>0</v>
      </c>
      <c r="G317" s="115">
        <v>65</v>
      </c>
      <c r="H317" s="115">
        <f>I317*G317</f>
        <v>44.2</v>
      </c>
      <c r="I317" s="17">
        <v>0.68</v>
      </c>
      <c r="J317" s="18">
        <f>IF((G317-F317)/G317&gt;I317,(G317-F317)/G317,I317)*D317*C317/1000</f>
        <v>0</v>
      </c>
      <c r="K317" s="64"/>
      <c r="L317" s="2">
        <f t="shared" si="7"/>
        <v>305</v>
      </c>
      <c r="N317" s="2">
        <f t="shared" si="8"/>
        <v>197</v>
      </c>
    </row>
    <row r="318" spans="1:14" outlineLevel="1">
      <c r="A318" s="60"/>
      <c r="B318" s="19" t="s">
        <v>76</v>
      </c>
      <c r="C318" s="21">
        <f>SUM(C310:C317)</f>
        <v>9</v>
      </c>
      <c r="D318" s="20">
        <f>((D310*$C310)+(D311*$C311)+(D313*$C313)+(D314*$C314)+(D316*$C316)+(D317*$C317))/$C318</f>
        <v>30000</v>
      </c>
      <c r="E318" s="21">
        <f>SUM(E309:E317)</f>
        <v>270</v>
      </c>
      <c r="F318" s="20">
        <f>((F310*$C310)+(F311*$C311)+(F313*$C313)+(F314*$C314)+(F316*$C316)+(F317*$C317))/$C318</f>
        <v>23.055555555555557</v>
      </c>
      <c r="G318" s="20">
        <f>((G310*$C310)+(G311*$C311)+(G313*$C313)+(G314*$C314)+(G316*$C316)+(G317*$C317))/$C318</f>
        <v>125</v>
      </c>
      <c r="H318" s="20">
        <f>((H310*$C310)+(H311*$C311)+(H313*$C313)+(H314*$C314)+(H316*$C316)+(H317*$C317))/$C318</f>
        <v>5</v>
      </c>
      <c r="I318" s="116">
        <f>((I310*$C310)+(I311*$C311)+(I313*$C313)+(I314*$C314)+(I316*$C316)+(I317*$C317))/$C318</f>
        <v>0.04</v>
      </c>
      <c r="J318" s="22">
        <f>SUM(J309:J317)</f>
        <v>220.20000000000002</v>
      </c>
      <c r="K318" s="64"/>
      <c r="L318" s="2">
        <f t="shared" si="7"/>
        <v>306</v>
      </c>
      <c r="N318" s="2">
        <f t="shared" si="8"/>
        <v>198</v>
      </c>
    </row>
    <row r="319" spans="1:14" outlineLevel="1">
      <c r="A319" s="60"/>
      <c r="B319" s="14"/>
      <c r="C319" s="15"/>
      <c r="D319" s="15"/>
      <c r="E319" s="16"/>
      <c r="F319" s="15"/>
      <c r="G319" s="15"/>
      <c r="H319" s="15"/>
      <c r="I319" s="17"/>
      <c r="J319" s="18"/>
      <c r="K319" s="64"/>
      <c r="L319" s="2">
        <f t="shared" si="7"/>
        <v>307</v>
      </c>
      <c r="N319" s="2">
        <f t="shared" si="8"/>
        <v>199</v>
      </c>
    </row>
    <row r="320" spans="1:14" ht="14.25" thickBot="1">
      <c r="A320" s="60"/>
      <c r="B320" s="24" t="s">
        <v>77</v>
      </c>
      <c r="C320" s="26">
        <f t="shared" ref="C320:I320" si="9">C318</f>
        <v>9</v>
      </c>
      <c r="D320" s="25">
        <f t="shared" si="9"/>
        <v>30000</v>
      </c>
      <c r="E320" s="26">
        <f t="shared" si="9"/>
        <v>270</v>
      </c>
      <c r="F320" s="25">
        <f t="shared" si="9"/>
        <v>23.055555555555557</v>
      </c>
      <c r="G320" s="25">
        <f t="shared" si="9"/>
        <v>125</v>
      </c>
      <c r="H320" s="25">
        <f t="shared" si="9"/>
        <v>5</v>
      </c>
      <c r="I320" s="117">
        <f t="shared" si="9"/>
        <v>0.04</v>
      </c>
      <c r="J320" s="28">
        <f>J318</f>
        <v>220.20000000000002</v>
      </c>
      <c r="K320" s="64"/>
      <c r="L320" s="2">
        <f t="shared" si="7"/>
        <v>308</v>
      </c>
      <c r="N320" s="2">
        <f t="shared" si="8"/>
        <v>200</v>
      </c>
    </row>
    <row r="321" spans="1:14" ht="14.25" thickTop="1">
      <c r="A321" s="60"/>
      <c r="B321" s="63"/>
      <c r="C321" s="67"/>
      <c r="D321" s="67"/>
      <c r="E321" s="68"/>
      <c r="F321" s="67"/>
      <c r="G321" s="67"/>
      <c r="H321" s="67"/>
      <c r="I321" s="69"/>
      <c r="J321" s="68"/>
      <c r="K321" s="64"/>
      <c r="L321" s="2">
        <f t="shared" si="7"/>
        <v>309</v>
      </c>
      <c r="N321" s="2">
        <f t="shared" si="8"/>
        <v>201</v>
      </c>
    </row>
    <row r="322" spans="1:14" ht="14.25" thickBot="1">
      <c r="A322" s="60"/>
      <c r="B322" s="70"/>
      <c r="C322" s="67"/>
      <c r="D322" s="67"/>
      <c r="E322" s="68"/>
      <c r="F322" s="67"/>
      <c r="G322" s="67"/>
      <c r="H322" s="67"/>
      <c r="I322" s="69"/>
      <c r="J322" s="68"/>
      <c r="K322" s="64"/>
      <c r="L322" s="2">
        <f t="shared" si="7"/>
        <v>310</v>
      </c>
    </row>
    <row r="323" spans="1:14" ht="3.75" customHeight="1">
      <c r="A323" s="60"/>
      <c r="B323" s="36"/>
      <c r="C323" s="37"/>
      <c r="D323" s="37"/>
      <c r="E323" s="38"/>
      <c r="F323" s="37"/>
      <c r="G323" s="37"/>
      <c r="H323" s="37"/>
      <c r="I323" s="39" t="e">
        <f>ROUND(H323/G323,4)</f>
        <v>#DIV/0!</v>
      </c>
      <c r="J323" s="40"/>
      <c r="K323" s="64"/>
      <c r="L323" s="2">
        <f t="shared" si="7"/>
        <v>311</v>
      </c>
    </row>
    <row r="324" spans="1:14" ht="27.75">
      <c r="A324" s="60"/>
      <c r="B324" s="41" t="s">
        <v>78</v>
      </c>
      <c r="C324" s="42" t="s">
        <v>44</v>
      </c>
      <c r="D324" s="43"/>
      <c r="E324" s="42" t="s">
        <v>9</v>
      </c>
      <c r="F324" s="43"/>
      <c r="G324" s="43"/>
      <c r="H324" s="43"/>
      <c r="I324" s="44"/>
      <c r="J324" s="45" t="s">
        <v>14</v>
      </c>
      <c r="K324" s="64"/>
      <c r="L324" s="2">
        <f t="shared" si="7"/>
        <v>312</v>
      </c>
    </row>
    <row r="325" spans="1:14" ht="3.75" customHeight="1">
      <c r="A325" s="60"/>
      <c r="B325" s="46"/>
      <c r="C325" s="15"/>
      <c r="D325" s="15"/>
      <c r="E325" s="16"/>
      <c r="F325" s="15"/>
      <c r="G325" s="15"/>
      <c r="H325" s="15"/>
      <c r="I325" s="17"/>
      <c r="J325" s="47"/>
      <c r="K325" s="64"/>
      <c r="L325" s="2">
        <f t="shared" si="7"/>
        <v>313</v>
      </c>
    </row>
    <row r="326" spans="1:14">
      <c r="A326" s="60"/>
      <c r="B326" s="48" t="s">
        <v>3</v>
      </c>
      <c r="C326" s="16">
        <f>C316+C313+C310+C301+C298+C295+C289+C286+C283+C277+C274+C271+C265+C262+C259+C253+C250+C247+C238+C235+C232+C226+C223+C220+C214+C211+C208+C202+C199+C196+C190+C187+C184+C175+C172+C169+C163+C160+C157+C151+C148+C145+C139+C136+C133+C127+C124+C121</f>
        <v>311739</v>
      </c>
      <c r="D326" s="15"/>
      <c r="E326" s="16">
        <f>E316+E313+E310+E301+E298+E295+E289+E286+E283+E277+E274+E271+E265+E262+E259+E253+E250+E247+E238+E235+E232+E226+E223+E220+E214+E211+E208+E202+E199+E196+E190+E187+E184+E175+E172+E169+E163+E160+E157+E151+E148+E145+E139+E136+E133+E127+E124+E121</f>
        <v>311711.88199999998</v>
      </c>
      <c r="F326" s="15"/>
      <c r="G326" s="15"/>
      <c r="H326" s="15"/>
      <c r="I326" s="17"/>
      <c r="J326" s="47">
        <f>J316+J313+J310+J301+J298+J295+J289+J286+J283+J277+J274+J271+J265+J262+J259+J253+J250+J247+J238+J235+J232+J226+J223+J220+J214+J211+J208+J202+J199+J196+J190+J187+J184+J175+J172+J169+J163+J160+J157+J151+J148+J145+J139+J136+J133+J127+J124+J121</f>
        <v>254673.91798827736</v>
      </c>
      <c r="K326" s="64"/>
      <c r="L326" s="2">
        <f t="shared" si="7"/>
        <v>314</v>
      </c>
    </row>
    <row r="327" spans="1:14">
      <c r="A327" s="60"/>
      <c r="B327" s="49" t="s">
        <v>4</v>
      </c>
      <c r="C327" s="76">
        <f>C317+C314+C311+C302+C299+C296+C290+C287+C284+C278+C275+C272+C266+C263+C260+C254+C251+C248+C239+C236+C233+C227+C224+C221+C215+C212+C209+C203+C200+C197+C191+C188+C185+C176+C173+C170+C164+C161+C158+C152+C149+C146+C140+C137+C134+C128+C125+C122</f>
        <v>14067</v>
      </c>
      <c r="D327" s="43"/>
      <c r="E327" s="76">
        <f>E317+E314+E311+E302+E299+E296+E290+E287+E284+E278+E275+E272+E266+E263+E260+E254+E251+E248+E239+E236+E233+E227+E224+E221+E215+E212+E209+E203+E200+E197+E191+E188+E185+E176+E173+E170+E164+E161+E158+E152+E149+E146+E140+E137+E134+E128+E125+E122</f>
        <v>15253.832</v>
      </c>
      <c r="F327" s="43"/>
      <c r="G327" s="43"/>
      <c r="H327" s="43"/>
      <c r="I327" s="44"/>
      <c r="J327" s="50">
        <f>J317+J314+J311+J302+J299+J296+J290+J287+J284+J278+J275+J272+J266+J263+J260+J254+J251+J248+J239+J236+J233+J227+J224+J221+J215+J212+J209+J203+J200+J197+J191+J188+J185+J176+J173+J170+J164+J161+J158+J152+J149+J146+J140+J137+J134+J128+J125+J122</f>
        <v>12023.385312298897</v>
      </c>
      <c r="K327" s="64"/>
      <c r="L327" s="2">
        <f t="shared" si="7"/>
        <v>315</v>
      </c>
    </row>
    <row r="328" spans="1:14" ht="14.25" thickBot="1">
      <c r="A328" s="60"/>
      <c r="B328" s="51" t="s">
        <v>42</v>
      </c>
      <c r="C328" s="52">
        <f>C326+C327</f>
        <v>325806</v>
      </c>
      <c r="D328" s="52"/>
      <c r="E328" s="53">
        <f>E326+E327</f>
        <v>326965.71399999998</v>
      </c>
      <c r="F328" s="52"/>
      <c r="G328" s="52"/>
      <c r="H328" s="52"/>
      <c r="I328" s="54"/>
      <c r="J328" s="55">
        <f>J326+J327</f>
        <v>266697.30330057628</v>
      </c>
      <c r="K328" s="64"/>
      <c r="L328" s="2">
        <f t="shared" si="7"/>
        <v>316</v>
      </c>
    </row>
    <row r="329" spans="1:14" ht="9.75" customHeight="1" thickBot="1">
      <c r="A329" s="65"/>
      <c r="B329" s="71"/>
      <c r="C329" s="72"/>
      <c r="D329" s="72"/>
      <c r="E329" s="73"/>
      <c r="F329" s="72"/>
      <c r="G329" s="72"/>
      <c r="H329" s="72"/>
      <c r="I329" s="74"/>
      <c r="J329" s="73"/>
      <c r="K329" s="66"/>
      <c r="L329" s="2">
        <f t="shared" si="7"/>
        <v>317</v>
      </c>
    </row>
    <row r="330" spans="1:14" ht="14.25" thickBot="1">
      <c r="C330" s="3"/>
      <c r="D330" s="3"/>
      <c r="E330" s="5"/>
      <c r="F330" s="3"/>
      <c r="G330" s="3"/>
      <c r="H330" s="3"/>
      <c r="I330" s="4"/>
      <c r="J330" s="5"/>
      <c r="L330" s="2">
        <f t="shared" si="7"/>
        <v>318</v>
      </c>
    </row>
    <row r="331" spans="1:14" s="1" customFormat="1" ht="48" customHeight="1">
      <c r="A331" s="57"/>
      <c r="B331" s="56" t="s">
        <v>79</v>
      </c>
      <c r="C331" s="58" t="s">
        <v>80</v>
      </c>
      <c r="D331" s="58" t="s">
        <v>81</v>
      </c>
      <c r="E331" s="58" t="s">
        <v>9</v>
      </c>
      <c r="F331" s="58" t="s">
        <v>10</v>
      </c>
      <c r="G331" s="58" t="s">
        <v>11</v>
      </c>
      <c r="H331" s="58" t="s">
        <v>12</v>
      </c>
      <c r="I331" s="58" t="s">
        <v>13</v>
      </c>
      <c r="J331" s="58" t="s">
        <v>14</v>
      </c>
      <c r="K331" s="59"/>
      <c r="L331" s="2">
        <f t="shared" si="7"/>
        <v>319</v>
      </c>
    </row>
    <row r="332" spans="1:14" ht="6" customHeight="1" thickBot="1">
      <c r="A332" s="60"/>
      <c r="B332" s="107"/>
      <c r="C332" s="108"/>
      <c r="D332" s="108"/>
      <c r="E332" s="109"/>
      <c r="F332" s="109"/>
      <c r="G332" s="109"/>
      <c r="H332" s="109"/>
      <c r="I332" s="109"/>
      <c r="J332" s="109"/>
      <c r="K332" s="64"/>
      <c r="L332" s="2">
        <f t="shared" si="7"/>
        <v>320</v>
      </c>
    </row>
    <row r="333" spans="1:14" ht="14.25" outlineLevel="1" thickTop="1">
      <c r="A333" s="60"/>
      <c r="B333" s="8" t="s">
        <v>82</v>
      </c>
      <c r="C333" s="9"/>
      <c r="D333" s="9"/>
      <c r="E333" s="10"/>
      <c r="F333" s="10"/>
      <c r="G333" s="10"/>
      <c r="H333" s="10"/>
      <c r="I333" s="10"/>
      <c r="J333" s="11"/>
      <c r="K333" s="64"/>
      <c r="L333" s="2">
        <f t="shared" si="7"/>
        <v>321</v>
      </c>
    </row>
    <row r="334" spans="1:14" outlineLevel="1">
      <c r="A334" s="60"/>
      <c r="B334" s="75" t="s">
        <v>3</v>
      </c>
      <c r="C334" s="120">
        <v>306529</v>
      </c>
      <c r="D334" s="120">
        <v>200</v>
      </c>
      <c r="E334" s="16">
        <f>C334*D334/1000</f>
        <v>61305.8</v>
      </c>
      <c r="F334" s="115">
        <v>14.66</v>
      </c>
      <c r="G334" s="115">
        <v>30</v>
      </c>
      <c r="H334" s="115">
        <v>0</v>
      </c>
      <c r="I334" s="17">
        <f>H334/G334</f>
        <v>0</v>
      </c>
      <c r="J334" s="18">
        <f>((G334-F334)/G334)*D334*C334/1000</f>
        <v>31347.699066666668</v>
      </c>
      <c r="K334" s="64"/>
      <c r="L334" s="2">
        <f t="shared" si="7"/>
        <v>322</v>
      </c>
    </row>
    <row r="335" spans="1:14" outlineLevel="1">
      <c r="A335" s="60"/>
      <c r="B335" s="75" t="s">
        <v>4</v>
      </c>
      <c r="C335" s="120">
        <v>14371</v>
      </c>
      <c r="D335" s="120">
        <f>D334</f>
        <v>200</v>
      </c>
      <c r="E335" s="16">
        <f>C335*D335/1000</f>
        <v>2874.2</v>
      </c>
      <c r="F335" s="115">
        <v>14.66</v>
      </c>
      <c r="G335" s="115">
        <f>G334</f>
        <v>30</v>
      </c>
      <c r="H335" s="115">
        <v>0</v>
      </c>
      <c r="I335" s="17">
        <f>H335/G335</f>
        <v>0</v>
      </c>
      <c r="J335" s="18">
        <f>((G335-F335)/G335)*D335*C335/1000</f>
        <v>1469.6742666666667</v>
      </c>
      <c r="K335" s="64"/>
      <c r="L335" s="2">
        <f t="shared" ref="L335:L398" si="10">L334+1</f>
        <v>323</v>
      </c>
    </row>
    <row r="336" spans="1:14">
      <c r="A336" s="60"/>
      <c r="B336" s="19" t="str">
        <f>"Total "&amp;B333&amp;" METERS"</f>
        <v>Total DOMESTIC METERS</v>
      </c>
      <c r="C336" s="21">
        <f>SUM(C334:C335)</f>
        <v>320900</v>
      </c>
      <c r="D336" s="21">
        <f>((D334*$C334)+(D335*$C335))/$C336</f>
        <v>200</v>
      </c>
      <c r="E336" s="21">
        <f>SUM(E334:E335)</f>
        <v>64180</v>
      </c>
      <c r="F336" s="121">
        <f>((F334*$C334)+(F335*$C335))/$C336</f>
        <v>14.66</v>
      </c>
      <c r="G336" s="21">
        <f>((G334*$C334)+(G335*$C335))/$C336</f>
        <v>30</v>
      </c>
      <c r="H336" s="21">
        <f>((H334*$C334)+(H335*$C335))/$C336</f>
        <v>0</v>
      </c>
      <c r="I336" s="20">
        <v>0</v>
      </c>
      <c r="J336" s="22">
        <f>SUM(J334:J335)</f>
        <v>32817.373333333337</v>
      </c>
      <c r="K336" s="64"/>
      <c r="L336" s="2">
        <f t="shared" si="10"/>
        <v>324</v>
      </c>
    </row>
    <row r="337" spans="1:12" ht="6" customHeight="1">
      <c r="A337" s="60"/>
      <c r="B337" s="14"/>
      <c r="C337" s="15"/>
      <c r="D337" s="16"/>
      <c r="E337" s="16"/>
      <c r="F337" s="15"/>
      <c r="G337" s="15"/>
      <c r="H337" s="15"/>
      <c r="I337" s="17"/>
      <c r="J337" s="18"/>
      <c r="K337" s="64"/>
      <c r="L337" s="2">
        <f t="shared" si="10"/>
        <v>325</v>
      </c>
    </row>
    <row r="338" spans="1:12" hidden="1" outlineLevel="1">
      <c r="A338" s="60"/>
      <c r="B338" s="78" t="s">
        <v>83</v>
      </c>
      <c r="C338" s="15"/>
      <c r="D338" s="16"/>
      <c r="E338" s="16"/>
      <c r="F338" s="15"/>
      <c r="G338" s="15"/>
      <c r="H338" s="15"/>
      <c r="I338" s="17"/>
      <c r="J338" s="18"/>
      <c r="K338" s="64"/>
      <c r="L338" s="2">
        <f t="shared" si="10"/>
        <v>326</v>
      </c>
    </row>
    <row r="339" spans="1:12" hidden="1" outlineLevel="1">
      <c r="A339" s="60"/>
      <c r="B339" s="75" t="s">
        <v>3</v>
      </c>
      <c r="C339" s="120">
        <v>6829</v>
      </c>
      <c r="D339" s="120">
        <v>1355</v>
      </c>
      <c r="E339" s="16">
        <f>C339*D339/1000</f>
        <v>9253.2950000000001</v>
      </c>
      <c r="F339" s="115">
        <v>17.100000000000001</v>
      </c>
      <c r="G339" s="115">
        <v>25</v>
      </c>
      <c r="H339" s="115">
        <v>0</v>
      </c>
      <c r="I339" s="17">
        <f>H339/G339</f>
        <v>0</v>
      </c>
      <c r="J339" s="18">
        <f>((G339-F339)/G339)*D339*C339/1000</f>
        <v>2924.0412199999996</v>
      </c>
      <c r="K339" s="64"/>
      <c r="L339" s="2">
        <f t="shared" si="10"/>
        <v>327</v>
      </c>
    </row>
    <row r="340" spans="1:12" hidden="1" outlineLevel="1">
      <c r="A340" s="60"/>
      <c r="B340" s="75" t="s">
        <v>4</v>
      </c>
      <c r="C340" s="120">
        <v>726</v>
      </c>
      <c r="D340" s="120">
        <f>D339</f>
        <v>1355</v>
      </c>
      <c r="E340" s="16">
        <f>C340*D340/1000</f>
        <v>983.73</v>
      </c>
      <c r="F340" s="115">
        <v>14.63</v>
      </c>
      <c r="G340" s="115">
        <f>G339</f>
        <v>25</v>
      </c>
      <c r="H340" s="115">
        <v>0</v>
      </c>
      <c r="I340" s="17">
        <f>H340/G340</f>
        <v>0</v>
      </c>
      <c r="J340" s="18">
        <f>((G340-F340)/G340)*D340*C340/1000</f>
        <v>408.05120399999998</v>
      </c>
      <c r="K340" s="64"/>
      <c r="L340" s="2">
        <f t="shared" si="10"/>
        <v>328</v>
      </c>
    </row>
    <row r="341" spans="1:12" collapsed="1">
      <c r="A341" s="60"/>
      <c r="B341" s="19" t="str">
        <f>"Total "&amp;B338&amp;" METERS"</f>
        <v>Total COMMERCIAL METERS</v>
      </c>
      <c r="C341" s="21">
        <f>SUM(C339:C340)</f>
        <v>7555</v>
      </c>
      <c r="D341" s="21">
        <f>((D339*$C339)+(D340*$C340))/$C341</f>
        <v>1355</v>
      </c>
      <c r="E341" s="21">
        <f>SUM(E339:E340)</f>
        <v>10237.025</v>
      </c>
      <c r="F341" s="121">
        <f>((F339*$C339)+(F340*$C340))/$C341</f>
        <v>16.862644606221046</v>
      </c>
      <c r="G341" s="21">
        <f>((G339*$C339)+(G340*$C340))/$C341</f>
        <v>25</v>
      </c>
      <c r="H341" s="21">
        <f>((H339*$C339)+(H340*$C340))/$C341</f>
        <v>0</v>
      </c>
      <c r="I341" s="20">
        <v>0</v>
      </c>
      <c r="J341" s="22">
        <f>SUM(J339:J340)</f>
        <v>3332.0924239999995</v>
      </c>
      <c r="K341" s="64"/>
      <c r="L341" s="2">
        <f t="shared" si="10"/>
        <v>329</v>
      </c>
    </row>
    <row r="342" spans="1:12" ht="6" customHeight="1">
      <c r="A342" s="60"/>
      <c r="B342" s="14"/>
      <c r="C342" s="15"/>
      <c r="D342" s="16"/>
      <c r="E342" s="16"/>
      <c r="F342" s="15"/>
      <c r="G342" s="15"/>
      <c r="H342" s="15"/>
      <c r="I342" s="17"/>
      <c r="J342" s="18"/>
      <c r="K342" s="64"/>
      <c r="L342" s="2">
        <f t="shared" si="10"/>
        <v>330</v>
      </c>
    </row>
    <row r="343" spans="1:12" hidden="1" outlineLevel="1">
      <c r="A343" s="60"/>
      <c r="B343" s="78" t="s">
        <v>84</v>
      </c>
      <c r="C343" s="15"/>
      <c r="D343" s="16"/>
      <c r="E343" s="16"/>
      <c r="F343" s="15"/>
      <c r="G343" s="15"/>
      <c r="H343" s="15"/>
      <c r="I343" s="17"/>
      <c r="J343" s="18"/>
      <c r="K343" s="64"/>
      <c r="L343" s="2">
        <f t="shared" si="10"/>
        <v>331</v>
      </c>
    </row>
    <row r="344" spans="1:12" hidden="1" outlineLevel="1">
      <c r="A344" s="60"/>
      <c r="B344" s="75" t="s">
        <v>3</v>
      </c>
      <c r="C344" s="120">
        <v>1145</v>
      </c>
      <c r="D344" s="120">
        <v>3685</v>
      </c>
      <c r="E344" s="16">
        <f>C344*D344/1000</f>
        <v>4219.3249999999998</v>
      </c>
      <c r="F344" s="115">
        <v>18.32</v>
      </c>
      <c r="G344" s="115">
        <v>25</v>
      </c>
      <c r="H344" s="15">
        <v>0</v>
      </c>
      <c r="I344" s="17">
        <f>H344/G344</f>
        <v>0</v>
      </c>
      <c r="J344" s="18">
        <f>((G344-F344)/G344)*D344*C344/1000</f>
        <v>1127.40364</v>
      </c>
      <c r="K344" s="64"/>
      <c r="L344" s="2">
        <f t="shared" si="10"/>
        <v>332</v>
      </c>
    </row>
    <row r="345" spans="1:12" hidden="1" outlineLevel="1">
      <c r="A345" s="60"/>
      <c r="B345" s="75" t="s">
        <v>4</v>
      </c>
      <c r="C345" s="120">
        <v>45</v>
      </c>
      <c r="D345" s="120">
        <f>D344</f>
        <v>3685</v>
      </c>
      <c r="E345" s="16">
        <f>C345*D345/1000</f>
        <v>165.82499999999999</v>
      </c>
      <c r="F345" s="115">
        <v>15.38</v>
      </c>
      <c r="G345" s="115">
        <f>G344</f>
        <v>25</v>
      </c>
      <c r="H345" s="15">
        <v>0</v>
      </c>
      <c r="I345" s="17">
        <f>H345/G345</f>
        <v>0</v>
      </c>
      <c r="J345" s="18">
        <f>((G345-F345)/G345)*D345*C345/1000</f>
        <v>63.809459999999994</v>
      </c>
      <c r="K345" s="64"/>
      <c r="L345" s="2">
        <f t="shared" si="10"/>
        <v>333</v>
      </c>
    </row>
    <row r="346" spans="1:12" collapsed="1">
      <c r="A346" s="60"/>
      <c r="B346" s="19" t="str">
        <f>"Total "&amp;B343&amp;" METERS"</f>
        <v>Total INDUSTRIAL METERS</v>
      </c>
      <c r="C346" s="21">
        <f>SUM(C344:C345)</f>
        <v>1190</v>
      </c>
      <c r="D346" s="21">
        <f>((D344*$C344)+(D345*$C345))/$C346</f>
        <v>3685</v>
      </c>
      <c r="E346" s="21">
        <f>SUM(E344:E345)</f>
        <v>4385.1499999999996</v>
      </c>
      <c r="F346" s="121">
        <f>((F344*$C344)+(F345*$C345))/$C346</f>
        <v>18.208823529411763</v>
      </c>
      <c r="G346" s="21">
        <f>((G344*$C344)+(G345*$C345))/$C346</f>
        <v>25</v>
      </c>
      <c r="H346" s="21">
        <f>((H344*$C344)+(H345*$C345))/$C346</f>
        <v>0</v>
      </c>
      <c r="I346" s="20">
        <v>0</v>
      </c>
      <c r="J346" s="22">
        <f>SUM(J344:J345)</f>
        <v>1191.2130999999999</v>
      </c>
      <c r="K346" s="64"/>
      <c r="L346" s="2">
        <f t="shared" si="10"/>
        <v>334</v>
      </c>
    </row>
    <row r="347" spans="1:12" ht="6" customHeight="1">
      <c r="A347" s="60"/>
      <c r="B347" s="14"/>
      <c r="C347" s="15"/>
      <c r="D347" s="16"/>
      <c r="E347" s="16"/>
      <c r="F347" s="15"/>
      <c r="G347" s="15"/>
      <c r="H347" s="15"/>
      <c r="I347" s="17"/>
      <c r="J347" s="18"/>
      <c r="K347" s="64"/>
      <c r="L347" s="2">
        <f t="shared" si="10"/>
        <v>335</v>
      </c>
    </row>
    <row r="348" spans="1:12" hidden="1" outlineLevel="1">
      <c r="A348" s="60"/>
      <c r="B348" s="78" t="s">
        <v>85</v>
      </c>
      <c r="C348" s="15"/>
      <c r="D348" s="16"/>
      <c r="E348" s="16"/>
      <c r="F348" s="15"/>
      <c r="G348" s="15"/>
      <c r="H348" s="15"/>
      <c r="I348" s="17"/>
      <c r="J348" s="18"/>
      <c r="K348" s="64"/>
      <c r="L348" s="2">
        <f t="shared" si="10"/>
        <v>336</v>
      </c>
    </row>
    <row r="349" spans="1:12" hidden="1" outlineLevel="1">
      <c r="A349" s="60"/>
      <c r="B349" s="75" t="s">
        <v>3</v>
      </c>
      <c r="C349" s="120">
        <v>182</v>
      </c>
      <c r="D349" s="120">
        <v>16730</v>
      </c>
      <c r="E349" s="16">
        <f>C349*D349/1000</f>
        <v>3044.86</v>
      </c>
      <c r="F349" s="115">
        <v>18.79</v>
      </c>
      <c r="G349" s="115">
        <v>25</v>
      </c>
      <c r="H349" s="15">
        <v>0</v>
      </c>
      <c r="I349" s="17">
        <f>H349/G349</f>
        <v>0</v>
      </c>
      <c r="J349" s="18">
        <f>((G349-F349)/G349)*D349*C349/1000</f>
        <v>756.34322400000019</v>
      </c>
      <c r="K349" s="64"/>
      <c r="L349" s="2">
        <f t="shared" si="10"/>
        <v>337</v>
      </c>
    </row>
    <row r="350" spans="1:12" hidden="1" outlineLevel="1">
      <c r="A350" s="60"/>
      <c r="B350" s="75" t="s">
        <v>4</v>
      </c>
      <c r="C350" s="120">
        <v>0</v>
      </c>
      <c r="D350" s="120">
        <v>0</v>
      </c>
      <c r="E350" s="16">
        <f>C350*D350/1000</f>
        <v>0</v>
      </c>
      <c r="F350" s="115">
        <v>0</v>
      </c>
      <c r="G350" s="115">
        <v>0</v>
      </c>
      <c r="H350" s="15">
        <v>0</v>
      </c>
      <c r="I350" s="15">
        <v>0</v>
      </c>
      <c r="J350" s="18">
        <v>0</v>
      </c>
      <c r="K350" s="64"/>
      <c r="L350" s="2">
        <f t="shared" si="10"/>
        <v>338</v>
      </c>
    </row>
    <row r="351" spans="1:12" collapsed="1">
      <c r="A351" s="60"/>
      <c r="B351" s="19" t="str">
        <f>"Total "&amp;B348&amp;" METERS"</f>
        <v>Total MEDIUM VOLUME METERS</v>
      </c>
      <c r="C351" s="21">
        <f>SUM(C349:C350)</f>
        <v>182</v>
      </c>
      <c r="D351" s="21">
        <f>((D349*$C349)+(D350*$C350))/$C351</f>
        <v>16730</v>
      </c>
      <c r="E351" s="21">
        <f>SUM(E349:E350)</f>
        <v>3044.86</v>
      </c>
      <c r="F351" s="121">
        <f>((F349*$C349)+(F350*$C350))/$C351</f>
        <v>18.79</v>
      </c>
      <c r="G351" s="21">
        <f>((G349*$C349)+(G350*$C350))/$C351</f>
        <v>25</v>
      </c>
      <c r="H351" s="21">
        <f>((H349*$C349)+(H350*$C350))/$C351</f>
        <v>0</v>
      </c>
      <c r="I351" s="20">
        <v>0</v>
      </c>
      <c r="J351" s="22">
        <f>SUM(J349:J350)</f>
        <v>756.34322400000019</v>
      </c>
      <c r="K351" s="64"/>
      <c r="L351" s="2">
        <f t="shared" si="10"/>
        <v>339</v>
      </c>
    </row>
    <row r="352" spans="1:12" ht="6" customHeight="1">
      <c r="A352" s="60"/>
      <c r="B352" s="14"/>
      <c r="C352" s="15"/>
      <c r="D352" s="16"/>
      <c r="E352" s="16"/>
      <c r="F352" s="15"/>
      <c r="G352" s="15"/>
      <c r="H352" s="15"/>
      <c r="I352" s="17"/>
      <c r="J352" s="18"/>
      <c r="K352" s="64"/>
      <c r="L352" s="2">
        <f t="shared" si="10"/>
        <v>340</v>
      </c>
    </row>
    <row r="353" spans="1:12" hidden="1" outlineLevel="1">
      <c r="A353" s="60"/>
      <c r="B353" s="78" t="s">
        <v>58</v>
      </c>
      <c r="C353" s="15"/>
      <c r="D353" s="16"/>
      <c r="E353" s="16"/>
      <c r="F353" s="15"/>
      <c r="G353" s="15"/>
      <c r="H353" s="15"/>
      <c r="I353" s="17"/>
      <c r="J353" s="18"/>
      <c r="K353" s="64"/>
      <c r="L353" s="2">
        <f t="shared" si="10"/>
        <v>341</v>
      </c>
    </row>
    <row r="354" spans="1:12" hidden="1" outlineLevel="1">
      <c r="A354" s="60"/>
      <c r="B354" s="75" t="s">
        <v>3</v>
      </c>
      <c r="C354" s="120">
        <v>38</v>
      </c>
      <c r="D354" s="120">
        <v>41325</v>
      </c>
      <c r="E354" s="16">
        <f>C354*D354/1000</f>
        <v>1570.35</v>
      </c>
      <c r="F354" s="115">
        <v>21.97</v>
      </c>
      <c r="G354" s="115">
        <v>25</v>
      </c>
      <c r="H354" s="15">
        <v>0</v>
      </c>
      <c r="I354" s="17">
        <f>H354/G354</f>
        <v>0</v>
      </c>
      <c r="J354" s="18">
        <f>((G354-F354)/G354)*D354*C354/1000</f>
        <v>190.32642000000007</v>
      </c>
      <c r="K354" s="64"/>
      <c r="L354" s="2">
        <f t="shared" si="10"/>
        <v>342</v>
      </c>
    </row>
    <row r="355" spans="1:12" hidden="1" outlineLevel="1">
      <c r="A355" s="60"/>
      <c r="B355" s="75" t="s">
        <v>4</v>
      </c>
      <c r="C355" s="120">
        <v>0</v>
      </c>
      <c r="D355" s="120">
        <v>0</v>
      </c>
      <c r="E355" s="16">
        <f>C355*D355/1000</f>
        <v>0</v>
      </c>
      <c r="F355" s="115">
        <v>0</v>
      </c>
      <c r="G355" s="115">
        <v>0</v>
      </c>
      <c r="H355" s="15">
        <v>0</v>
      </c>
      <c r="I355" s="15">
        <v>0</v>
      </c>
      <c r="J355" s="18">
        <v>0</v>
      </c>
      <c r="K355" s="64"/>
      <c r="L355" s="2">
        <f t="shared" si="10"/>
        <v>343</v>
      </c>
    </row>
    <row r="356" spans="1:12" collapsed="1">
      <c r="A356" s="60"/>
      <c r="B356" s="19" t="str">
        <f>"Total "&amp;B353&amp;" METERS"</f>
        <v>Total MIP METERS</v>
      </c>
      <c r="C356" s="21">
        <f>SUM(C354:C355)</f>
        <v>38</v>
      </c>
      <c r="D356" s="21">
        <f>((D354*$C354)+(D355*$C355))/$C356</f>
        <v>41325</v>
      </c>
      <c r="E356" s="21">
        <f>SUM(E354:E355)</f>
        <v>1570.35</v>
      </c>
      <c r="F356" s="121">
        <f>((F354*$C354)+(F355*$C355))/$C356</f>
        <v>21.97</v>
      </c>
      <c r="G356" s="21">
        <f>((G354*$C354)+(G355*$C355))/$C356</f>
        <v>25</v>
      </c>
      <c r="H356" s="21">
        <f>((H354*$C354)+(H355*$C355))/$C356</f>
        <v>0</v>
      </c>
      <c r="I356" s="20">
        <v>0</v>
      </c>
      <c r="J356" s="22">
        <f>SUM(J354:J355)</f>
        <v>190.32642000000007</v>
      </c>
      <c r="K356" s="64"/>
      <c r="L356" s="2">
        <f t="shared" si="10"/>
        <v>344</v>
      </c>
    </row>
    <row r="357" spans="1:12" ht="6" customHeight="1">
      <c r="A357" s="60"/>
      <c r="B357" s="14"/>
      <c r="C357" s="15"/>
      <c r="D357" s="15"/>
      <c r="E357" s="16"/>
      <c r="F357" s="15"/>
      <c r="G357" s="15"/>
      <c r="H357" s="15"/>
      <c r="I357" s="17"/>
      <c r="J357" s="18"/>
      <c r="K357" s="64"/>
      <c r="L357" s="2">
        <f t="shared" si="10"/>
        <v>345</v>
      </c>
    </row>
    <row r="358" spans="1:12" ht="14.25" thickBot="1">
      <c r="A358" s="60"/>
      <c r="B358" s="24" t="s">
        <v>86</v>
      </c>
      <c r="C358" s="26">
        <f>C356+C351+C346+C341+C336</f>
        <v>329865</v>
      </c>
      <c r="D358" s="26">
        <f>((D336*$C336)+(D341*$C341)+(D346*$C346)+(D351*$C351)+(D356*$C356))/$C358</f>
        <v>252.8834068482561</v>
      </c>
      <c r="E358" s="26">
        <f>E356+E351+E346+E341+E336</f>
        <v>83417.385000000009</v>
      </c>
      <c r="F358" s="122">
        <f>((F336*$C336)+(F341*$C341)+(F346*$C346)+(F351*$C351)+(F356*$C356))/$C358</f>
        <v>14.726371151834844</v>
      </c>
      <c r="G358" s="26">
        <f>((G336*$C336)+(G341*$C341)+(G346*$C346)+(G351*$C351)+(G356*$C356))/$C358</f>
        <v>29.864111075743107</v>
      </c>
      <c r="H358" s="26">
        <f>((H336*$C336)+(H341*$C341)+(H346*$C346)+(H351*$C351)+(H356*$C356))/$C358</f>
        <v>0</v>
      </c>
      <c r="I358" s="27">
        <v>0</v>
      </c>
      <c r="J358" s="28">
        <f>J356+J351+J346+J341+J336</f>
        <v>38287.348501333334</v>
      </c>
      <c r="K358" s="64"/>
      <c r="L358" s="2">
        <f t="shared" si="10"/>
        <v>346</v>
      </c>
    </row>
    <row r="359" spans="1:12" ht="15" thickTop="1" thickBot="1">
      <c r="A359" s="60"/>
      <c r="B359" s="70"/>
      <c r="C359" s="67"/>
      <c r="D359" s="67"/>
      <c r="E359" s="68"/>
      <c r="F359" s="67"/>
      <c r="G359" s="67"/>
      <c r="H359" s="67"/>
      <c r="I359" s="69"/>
      <c r="J359" s="68"/>
      <c r="K359" s="64"/>
      <c r="L359" s="2">
        <f t="shared" si="10"/>
        <v>347</v>
      </c>
    </row>
    <row r="360" spans="1:12" ht="14.25" thickTop="1">
      <c r="A360" s="60"/>
      <c r="B360" s="8" t="s">
        <v>87</v>
      </c>
      <c r="C360" s="9"/>
      <c r="D360" s="9"/>
      <c r="E360" s="10"/>
      <c r="F360" s="10"/>
      <c r="G360" s="10"/>
      <c r="H360" s="10"/>
      <c r="I360" s="10"/>
      <c r="J360" s="11"/>
      <c r="K360" s="64"/>
      <c r="L360" s="2">
        <f t="shared" si="10"/>
        <v>348</v>
      </c>
    </row>
    <row r="361" spans="1:12" hidden="1" outlineLevel="1">
      <c r="A361" s="60"/>
      <c r="B361" s="75" t="s">
        <v>47</v>
      </c>
      <c r="C361" s="120">
        <v>15889</v>
      </c>
      <c r="D361" s="120">
        <v>85</v>
      </c>
      <c r="E361" s="16">
        <f>C361*D361/1000</f>
        <v>1350.5650000000001</v>
      </c>
      <c r="F361" s="115">
        <v>16.649999999999999</v>
      </c>
      <c r="G361" s="120">
        <v>28</v>
      </c>
      <c r="H361" s="115">
        <v>0</v>
      </c>
      <c r="I361" s="119">
        <f>H361/G361</f>
        <v>0</v>
      </c>
      <c r="J361" s="18">
        <f>((G361-F361)/G361)*D361*C361/1000</f>
        <v>547.46116964285716</v>
      </c>
      <c r="K361" s="64"/>
      <c r="L361" s="2">
        <f t="shared" si="10"/>
        <v>349</v>
      </c>
    </row>
    <row r="362" spans="1:12" hidden="1" outlineLevel="1">
      <c r="A362" s="60"/>
      <c r="B362" s="75" t="s">
        <v>52</v>
      </c>
      <c r="C362" s="120">
        <v>383</v>
      </c>
      <c r="D362" s="120">
        <v>515</v>
      </c>
      <c r="E362" s="16">
        <f>C362*D362/1000</f>
        <v>197.245</v>
      </c>
      <c r="F362" s="115">
        <v>19.61</v>
      </c>
      <c r="G362" s="120">
        <v>27</v>
      </c>
      <c r="H362" s="115">
        <v>0</v>
      </c>
      <c r="I362" s="119">
        <v>0</v>
      </c>
      <c r="J362" s="18">
        <f>((G362-F362)/G362)*D362*C362/1000</f>
        <v>53.986687037037044</v>
      </c>
      <c r="K362" s="64"/>
      <c r="L362" s="2">
        <f t="shared" si="10"/>
        <v>350</v>
      </c>
    </row>
    <row r="363" spans="1:12" hidden="1" outlineLevel="1">
      <c r="A363" s="60"/>
      <c r="B363" s="75" t="s">
        <v>54</v>
      </c>
      <c r="C363" s="120">
        <v>117</v>
      </c>
      <c r="D363" s="120">
        <v>1725</v>
      </c>
      <c r="E363" s="16">
        <f>C363*D363/1000</f>
        <v>201.82499999999999</v>
      </c>
      <c r="F363" s="115">
        <v>5.41</v>
      </c>
      <c r="G363" s="120">
        <v>27</v>
      </c>
      <c r="H363" s="115">
        <v>0</v>
      </c>
      <c r="I363" s="119">
        <v>0</v>
      </c>
      <c r="J363" s="18">
        <f>((G363-F363)/G363)*D363*C363/1000</f>
        <v>161.38525000000001</v>
      </c>
      <c r="K363" s="64"/>
      <c r="L363" s="2">
        <f t="shared" si="10"/>
        <v>351</v>
      </c>
    </row>
    <row r="364" spans="1:12" hidden="1" outlineLevel="1">
      <c r="A364" s="60"/>
      <c r="B364" s="75" t="s">
        <v>56</v>
      </c>
      <c r="C364" s="120">
        <v>40</v>
      </c>
      <c r="D364" s="120">
        <v>6150</v>
      </c>
      <c r="E364" s="16">
        <f>C364*D364/1000</f>
        <v>246</v>
      </c>
      <c r="F364" s="115">
        <v>11.68</v>
      </c>
      <c r="G364" s="120">
        <v>27</v>
      </c>
      <c r="H364" s="115">
        <v>0</v>
      </c>
      <c r="I364" s="119">
        <v>0</v>
      </c>
      <c r="J364" s="18">
        <f>((G364-F364)/G364)*D364*C364/1000</f>
        <v>139.58222222222224</v>
      </c>
      <c r="K364" s="64"/>
      <c r="L364" s="2">
        <f t="shared" si="10"/>
        <v>352</v>
      </c>
    </row>
    <row r="365" spans="1:12" hidden="1" outlineLevel="1">
      <c r="A365" s="60"/>
      <c r="B365" s="75" t="s">
        <v>58</v>
      </c>
      <c r="C365" s="120">
        <v>27</v>
      </c>
      <c r="D365" s="120">
        <v>17400</v>
      </c>
      <c r="E365" s="16">
        <f>C365*D365/1000</f>
        <v>469.8</v>
      </c>
      <c r="F365" s="115">
        <v>21.3</v>
      </c>
      <c r="G365" s="120">
        <v>27</v>
      </c>
      <c r="H365" s="115">
        <v>0</v>
      </c>
      <c r="I365" s="119">
        <f>H365/G365</f>
        <v>0</v>
      </c>
      <c r="J365" s="18">
        <f>((G365-F365)/G365)*D365*C365/1000</f>
        <v>99.179999999999978</v>
      </c>
      <c r="K365" s="64"/>
      <c r="L365" s="2">
        <f t="shared" si="10"/>
        <v>353</v>
      </c>
    </row>
    <row r="366" spans="1:12" ht="14.25" collapsed="1" thickBot="1">
      <c r="A366" s="60"/>
      <c r="B366" s="79" t="str">
        <f>"Total "&amp;B360</f>
        <v>Total METERS IN STOCK</v>
      </c>
      <c r="C366" s="26">
        <f>SUM(C361:C365)</f>
        <v>16456</v>
      </c>
      <c r="D366" s="26">
        <f>((D361*$C361)+(D362*$C362)+(D363*$C363)+(D364*$C364)+(D365*$C365))/$C366</f>
        <v>149.81982255712202</v>
      </c>
      <c r="E366" s="26">
        <f>SUM(E361:E365)</f>
        <v>2465.4349999999999</v>
      </c>
      <c r="F366" s="122">
        <f>((F361*$C361)+(F362*$C362)+(F363*$C363)+(F364*$C364)+(F365*$C365))/$C366</f>
        <v>16.634525401069514</v>
      </c>
      <c r="G366" s="26">
        <f>((G361*$C361)+(G362*$C362)+(G363*$C363)+(G364*$C364)+(G365*$C365))/$C366</f>
        <v>27.965544482255712</v>
      </c>
      <c r="H366" s="25">
        <v>0</v>
      </c>
      <c r="I366" s="25">
        <v>0</v>
      </c>
      <c r="J366" s="28">
        <f>SUM(J361:J365)</f>
        <v>1001.5953289021164</v>
      </c>
      <c r="K366" s="64"/>
      <c r="L366" s="2">
        <f t="shared" si="10"/>
        <v>354</v>
      </c>
    </row>
    <row r="367" spans="1:12" ht="15" thickTop="1" thickBot="1">
      <c r="A367" s="60"/>
      <c r="B367" s="70"/>
      <c r="C367" s="67"/>
      <c r="D367" s="67"/>
      <c r="E367" s="68"/>
      <c r="F367" s="67"/>
      <c r="G367" s="67"/>
      <c r="H367" s="67"/>
      <c r="I367" s="69"/>
      <c r="J367" s="68"/>
      <c r="K367" s="64"/>
      <c r="L367" s="2">
        <f t="shared" si="10"/>
        <v>355</v>
      </c>
    </row>
    <row r="368" spans="1:12" ht="3.75" customHeight="1">
      <c r="A368" s="60"/>
      <c r="B368" s="36"/>
      <c r="C368" s="37"/>
      <c r="D368" s="37"/>
      <c r="E368" s="38"/>
      <c r="F368" s="37"/>
      <c r="G368" s="37"/>
      <c r="H368" s="37"/>
      <c r="I368" s="39" t="e">
        <f>ROUND(H368/G368,4)</f>
        <v>#DIV/0!</v>
      </c>
      <c r="J368" s="40"/>
      <c r="K368" s="64"/>
      <c r="L368" s="2">
        <f t="shared" si="10"/>
        <v>356</v>
      </c>
    </row>
    <row r="369" spans="1:12" ht="27.75">
      <c r="A369" s="60"/>
      <c r="B369" s="41" t="s">
        <v>88</v>
      </c>
      <c r="C369" s="42" t="s">
        <v>80</v>
      </c>
      <c r="D369" s="43"/>
      <c r="E369" s="42" t="s">
        <v>9</v>
      </c>
      <c r="F369" s="43"/>
      <c r="G369" s="43"/>
      <c r="H369" s="43"/>
      <c r="I369" s="44"/>
      <c r="J369" s="45" t="s">
        <v>14</v>
      </c>
      <c r="K369" s="64"/>
      <c r="L369" s="2">
        <f t="shared" si="10"/>
        <v>357</v>
      </c>
    </row>
    <row r="370" spans="1:12" ht="3.75" customHeight="1">
      <c r="A370" s="60"/>
      <c r="B370" s="46"/>
      <c r="C370" s="15"/>
      <c r="D370" s="15"/>
      <c r="E370" s="16"/>
      <c r="F370" s="15"/>
      <c r="G370" s="15"/>
      <c r="H370" s="15"/>
      <c r="I370" s="17"/>
      <c r="J370" s="47"/>
      <c r="K370" s="64"/>
      <c r="L370" s="2">
        <f t="shared" si="10"/>
        <v>358</v>
      </c>
    </row>
    <row r="371" spans="1:12">
      <c r="A371" s="60"/>
      <c r="B371" s="48" t="s">
        <v>3</v>
      </c>
      <c r="C371" s="16">
        <f>C334+C339+C344+C349+C354</f>
        <v>314723</v>
      </c>
      <c r="D371" s="15"/>
      <c r="E371" s="16">
        <f>E334+E339+E344+E349+E354</f>
        <v>79393.63</v>
      </c>
      <c r="F371" s="15"/>
      <c r="G371" s="15"/>
      <c r="H371" s="15"/>
      <c r="I371" s="17"/>
      <c r="J371" s="47">
        <f>J334+J339+J344+J349+J354</f>
        <v>36345.813570666665</v>
      </c>
      <c r="K371" s="64"/>
      <c r="L371" s="2">
        <f t="shared" si="10"/>
        <v>359</v>
      </c>
    </row>
    <row r="372" spans="1:12">
      <c r="A372" s="60"/>
      <c r="B372" s="48" t="s">
        <v>4</v>
      </c>
      <c r="C372" s="16">
        <f>C335+C340+C345+C350+C355</f>
        <v>15142</v>
      </c>
      <c r="D372" s="15"/>
      <c r="E372" s="16">
        <f>E335+E340+E345+E350+E355</f>
        <v>4023.7549999999997</v>
      </c>
      <c r="F372" s="15"/>
      <c r="G372" s="15"/>
      <c r="H372" s="15"/>
      <c r="I372" s="17"/>
      <c r="J372" s="47">
        <f>J335+J340+J345+J350+J355</f>
        <v>1941.5349306666667</v>
      </c>
      <c r="K372" s="64"/>
      <c r="L372" s="2">
        <f t="shared" si="10"/>
        <v>360</v>
      </c>
    </row>
    <row r="373" spans="1:12">
      <c r="A373" s="60"/>
      <c r="B373" s="49" t="s">
        <v>89</v>
      </c>
      <c r="C373" s="76">
        <f>C366</f>
        <v>16456</v>
      </c>
      <c r="D373" s="43"/>
      <c r="E373" s="76">
        <f>E366</f>
        <v>2465.4349999999999</v>
      </c>
      <c r="F373" s="43"/>
      <c r="G373" s="43"/>
      <c r="H373" s="43"/>
      <c r="I373" s="44"/>
      <c r="J373" s="50">
        <f>J366</f>
        <v>1001.5953289021164</v>
      </c>
      <c r="K373" s="64"/>
      <c r="L373" s="2">
        <f t="shared" si="10"/>
        <v>361</v>
      </c>
    </row>
    <row r="374" spans="1:12" ht="14.25" thickBot="1">
      <c r="A374" s="60"/>
      <c r="B374" s="51" t="s">
        <v>88</v>
      </c>
      <c r="C374" s="53">
        <f>C371+C372+C373</f>
        <v>346321</v>
      </c>
      <c r="D374" s="52"/>
      <c r="E374" s="53">
        <f>E371+E372+E373</f>
        <v>85882.82</v>
      </c>
      <c r="F374" s="52"/>
      <c r="G374" s="52"/>
      <c r="H374" s="52"/>
      <c r="I374" s="54"/>
      <c r="J374" s="55">
        <f>J371+J372+J373</f>
        <v>39288.943830235454</v>
      </c>
      <c r="K374" s="64"/>
      <c r="L374" s="2">
        <f t="shared" si="10"/>
        <v>362</v>
      </c>
    </row>
    <row r="375" spans="1:12" ht="9.75" customHeight="1" thickBot="1">
      <c r="A375" s="65"/>
      <c r="B375" s="71"/>
      <c r="C375" s="72"/>
      <c r="D375" s="72"/>
      <c r="E375" s="73"/>
      <c r="F375" s="72"/>
      <c r="G375" s="72"/>
      <c r="H375" s="72"/>
      <c r="I375" s="74"/>
      <c r="J375" s="73"/>
      <c r="K375" s="66"/>
      <c r="L375" s="2">
        <f t="shared" si="10"/>
        <v>363</v>
      </c>
    </row>
    <row r="376" spans="1:12" ht="14.25" thickBot="1">
      <c r="C376" s="3"/>
      <c r="D376" s="3"/>
      <c r="E376" s="5"/>
      <c r="F376" s="3"/>
      <c r="G376" s="3"/>
      <c r="H376" s="3"/>
      <c r="I376" s="4"/>
      <c r="J376" s="5"/>
      <c r="L376" s="2">
        <f t="shared" si="10"/>
        <v>364</v>
      </c>
    </row>
    <row r="377" spans="1:12" s="1" customFormat="1" ht="48" customHeight="1">
      <c r="A377" s="57"/>
      <c r="B377" s="56" t="s">
        <v>90</v>
      </c>
      <c r="C377" s="58" t="s">
        <v>91</v>
      </c>
      <c r="D377" s="58" t="s">
        <v>92</v>
      </c>
      <c r="E377" s="58" t="s">
        <v>9</v>
      </c>
      <c r="F377" s="58" t="s">
        <v>10</v>
      </c>
      <c r="G377" s="58" t="s">
        <v>11</v>
      </c>
      <c r="H377" s="58" t="s">
        <v>12</v>
      </c>
      <c r="I377" s="58" t="s">
        <v>13</v>
      </c>
      <c r="J377" s="58" t="s">
        <v>14</v>
      </c>
      <c r="K377" s="59"/>
      <c r="L377" s="2">
        <f t="shared" si="10"/>
        <v>365</v>
      </c>
    </row>
    <row r="378" spans="1:12" ht="6" customHeight="1" thickBot="1">
      <c r="A378" s="60"/>
      <c r="B378" s="107"/>
      <c r="C378" s="108"/>
      <c r="D378" s="108"/>
      <c r="E378" s="109"/>
      <c r="F378" s="109"/>
      <c r="G378" s="109"/>
      <c r="H378" s="109"/>
      <c r="I378" s="109"/>
      <c r="J378" s="109"/>
      <c r="K378" s="64"/>
      <c r="L378" s="2">
        <f t="shared" si="10"/>
        <v>366</v>
      </c>
    </row>
    <row r="379" spans="1:12" ht="14.25" hidden="1" outlineLevel="1" thickTop="1">
      <c r="A379" s="60"/>
      <c r="B379" s="8" t="s">
        <v>93</v>
      </c>
      <c r="C379" s="9"/>
      <c r="D379" s="9"/>
      <c r="E379" s="10"/>
      <c r="F379" s="10"/>
      <c r="G379" s="10"/>
      <c r="H379" s="10"/>
      <c r="I379" s="10"/>
      <c r="J379" s="11"/>
      <c r="K379" s="64"/>
      <c r="L379" s="2">
        <f t="shared" si="10"/>
        <v>367</v>
      </c>
    </row>
    <row r="380" spans="1:12" hidden="1" outlineLevel="1">
      <c r="A380" s="60"/>
      <c r="B380" s="75" t="s">
        <v>3</v>
      </c>
      <c r="C380" s="120">
        <v>76</v>
      </c>
      <c r="D380" s="120">
        <v>51447</v>
      </c>
      <c r="E380" s="16">
        <f>C380*D380/1000</f>
        <v>3909.9720000000002</v>
      </c>
      <c r="F380" s="115">
        <v>17</v>
      </c>
      <c r="G380" s="115">
        <v>50</v>
      </c>
      <c r="H380" s="115">
        <v>0</v>
      </c>
      <c r="I380" s="119">
        <f>H380/G380</f>
        <v>0</v>
      </c>
      <c r="J380" s="18">
        <f>((G380-F380)/G380)*D380*C380/1000</f>
        <v>2580.5815200000006</v>
      </c>
      <c r="K380" s="64"/>
      <c r="L380" s="2">
        <f t="shared" si="10"/>
        <v>368</v>
      </c>
    </row>
    <row r="381" spans="1:12" hidden="1" outlineLevel="1">
      <c r="A381" s="60"/>
      <c r="B381" s="75" t="s">
        <v>4</v>
      </c>
      <c r="C381" s="120">
        <v>1</v>
      </c>
      <c r="D381" s="120">
        <v>50000</v>
      </c>
      <c r="E381" s="16">
        <f>C381*D381/1000</f>
        <v>50</v>
      </c>
      <c r="F381" s="115">
        <v>2</v>
      </c>
      <c r="G381" s="115">
        <v>50</v>
      </c>
      <c r="H381" s="115">
        <v>0</v>
      </c>
      <c r="I381" s="119">
        <f>H381/G381</f>
        <v>0</v>
      </c>
      <c r="J381" s="18">
        <f>((G381-F381)/G381)*D381*C381/1000</f>
        <v>48</v>
      </c>
      <c r="K381" s="64"/>
      <c r="L381" s="2">
        <f t="shared" si="10"/>
        <v>369</v>
      </c>
    </row>
    <row r="382" spans="1:12" ht="14.25" collapsed="1" thickTop="1">
      <c r="A382" s="60"/>
      <c r="B382" s="19" t="str">
        <f>"Total "&amp;B379&amp;" REGULATORS"</f>
        <v>Total TRANSMISSION SYSTEM REGULATORS</v>
      </c>
      <c r="C382" s="21">
        <f>SUM(C380:C381)</f>
        <v>77</v>
      </c>
      <c r="D382" s="21">
        <f>((D380*$C380)+(D381*$C381))/$C382</f>
        <v>51428.207792207795</v>
      </c>
      <c r="E382" s="21">
        <f>SUM(E380:E381)</f>
        <v>3959.9720000000002</v>
      </c>
      <c r="F382" s="121">
        <f>((F380*$C380)+(F381*$C381))/$C382</f>
        <v>16.805194805194805</v>
      </c>
      <c r="G382" s="21">
        <f>((G380*$C380)+(G381*$C381))/$C382</f>
        <v>50</v>
      </c>
      <c r="H382" s="21">
        <f>((H380*$C380)+(H381*$C381))/$C382</f>
        <v>0</v>
      </c>
      <c r="I382" s="20">
        <v>0</v>
      </c>
      <c r="J382" s="22">
        <f>SUM(J380:J381)</f>
        <v>2628.5815200000006</v>
      </c>
      <c r="K382" s="64"/>
      <c r="L382" s="2">
        <f t="shared" si="10"/>
        <v>370</v>
      </c>
    </row>
    <row r="383" spans="1:12" ht="6" customHeight="1">
      <c r="A383" s="60"/>
      <c r="B383" s="14"/>
      <c r="C383" s="15"/>
      <c r="D383" s="16"/>
      <c r="E383" s="16"/>
      <c r="F383" s="15"/>
      <c r="G383" s="15"/>
      <c r="H383" s="15"/>
      <c r="I383" s="17"/>
      <c r="J383" s="18"/>
      <c r="K383" s="64"/>
      <c r="L383" s="2">
        <f t="shared" si="10"/>
        <v>371</v>
      </c>
    </row>
    <row r="384" spans="1:12" hidden="1" outlineLevel="1">
      <c r="A384" s="60"/>
      <c r="B384" s="78" t="s">
        <v>94</v>
      </c>
      <c r="C384" s="15"/>
      <c r="D384" s="16"/>
      <c r="E384" s="16"/>
      <c r="F384" s="15"/>
      <c r="G384" s="15"/>
      <c r="H384" s="15"/>
      <c r="I384" s="17"/>
      <c r="J384" s="18"/>
      <c r="K384" s="64"/>
      <c r="L384" s="2">
        <f t="shared" si="10"/>
        <v>372</v>
      </c>
    </row>
    <row r="385" spans="1:12" hidden="1" outlineLevel="1">
      <c r="A385" s="60"/>
      <c r="B385" s="75" t="s">
        <v>3</v>
      </c>
      <c r="C385" s="120">
        <v>111</v>
      </c>
      <c r="D385" s="120">
        <v>13425</v>
      </c>
      <c r="E385" s="16">
        <f>C385*D385/1000</f>
        <v>1490.175</v>
      </c>
      <c r="F385" s="115">
        <v>32.135135135135137</v>
      </c>
      <c r="G385" s="115">
        <v>59.009009009009006</v>
      </c>
      <c r="H385" s="115">
        <v>0</v>
      </c>
      <c r="I385" s="119">
        <f>H385/G385</f>
        <v>0</v>
      </c>
      <c r="J385" s="18">
        <f>((G385-F385)/G385)*D385*C385/1000</f>
        <v>678.65527099236635</v>
      </c>
      <c r="K385" s="64"/>
      <c r="L385" s="2">
        <f t="shared" si="10"/>
        <v>373</v>
      </c>
    </row>
    <row r="386" spans="1:12" hidden="1" outlineLevel="1">
      <c r="A386" s="60"/>
      <c r="B386" s="75" t="s">
        <v>4</v>
      </c>
      <c r="C386" s="120">
        <v>11</v>
      </c>
      <c r="D386" s="120">
        <v>14500</v>
      </c>
      <c r="E386" s="16">
        <f>C386*D386/1000</f>
        <v>159.5</v>
      </c>
      <c r="F386" s="115">
        <v>11.590909090909092</v>
      </c>
      <c r="G386" s="115">
        <v>50</v>
      </c>
      <c r="H386" s="115">
        <v>0</v>
      </c>
      <c r="I386" s="119">
        <f>H386/G386</f>
        <v>0</v>
      </c>
      <c r="J386" s="18">
        <f>((G386-F386)/G386)*D386*C386/1000</f>
        <v>122.52499999999999</v>
      </c>
      <c r="K386" s="64"/>
      <c r="L386" s="2">
        <f t="shared" si="10"/>
        <v>374</v>
      </c>
    </row>
    <row r="387" spans="1:12" collapsed="1">
      <c r="A387" s="60"/>
      <c r="B387" s="19" t="str">
        <f>"Total "&amp;B384&amp;" REGULATORS"</f>
        <v>Total HIGH PRESSURE SYSTEM REGULATORS</v>
      </c>
      <c r="C387" s="21">
        <f>SUM(C385:C386)</f>
        <v>122</v>
      </c>
      <c r="D387" s="21">
        <f>((D385*$C385)+(D386*$C386))/$C387</f>
        <v>13521.926229508197</v>
      </c>
      <c r="E387" s="21">
        <f>SUM(E385:E386)</f>
        <v>1649.675</v>
      </c>
      <c r="F387" s="121">
        <f>((F385*$C385)+(F386*$C386))/$C387</f>
        <v>30.282786885245901</v>
      </c>
      <c r="G387" s="21">
        <f>((G385*$C385)+(G386*$C386))/$C387</f>
        <v>58.196721311475407</v>
      </c>
      <c r="H387" s="21">
        <f>((H385*$C385)+(H386*$C386))/$C387</f>
        <v>0</v>
      </c>
      <c r="I387" s="20">
        <v>0</v>
      </c>
      <c r="J387" s="22">
        <f>SUM(J385:J386)</f>
        <v>801.18027099236633</v>
      </c>
      <c r="K387" s="64"/>
      <c r="L387" s="2">
        <f t="shared" si="10"/>
        <v>375</v>
      </c>
    </row>
    <row r="388" spans="1:12" ht="6" customHeight="1">
      <c r="A388" s="60"/>
      <c r="B388" s="14"/>
      <c r="C388" s="15"/>
      <c r="D388" s="16"/>
      <c r="E388" s="16"/>
      <c r="F388" s="15"/>
      <c r="G388" s="15"/>
      <c r="H388" s="15"/>
      <c r="I388" s="17"/>
      <c r="J388" s="18"/>
      <c r="K388" s="64"/>
      <c r="L388" s="2">
        <f t="shared" si="10"/>
        <v>376</v>
      </c>
    </row>
    <row r="389" spans="1:12" ht="14.25" thickBot="1">
      <c r="A389" s="60"/>
      <c r="B389" s="24" t="s">
        <v>95</v>
      </c>
      <c r="C389" s="26">
        <f>C387+C382</f>
        <v>199</v>
      </c>
      <c r="D389" s="26">
        <f>((D382*$C382)+(D387*$C387))/$C389</f>
        <v>28189.180904522615</v>
      </c>
      <c r="E389" s="26">
        <f>E387+E382</f>
        <v>5609.6469999999999</v>
      </c>
      <c r="F389" s="25">
        <f>((F382*$C382)+(F387*$C387))/$C389</f>
        <v>25.0678391959799</v>
      </c>
      <c r="G389" s="26">
        <f>((G382*$C382)+(G387*$C387))/$C389</f>
        <v>55.025125628140707</v>
      </c>
      <c r="H389" s="25">
        <f>((H382*$C382)+(H387*$C387))/$C389</f>
        <v>0</v>
      </c>
      <c r="I389" s="25">
        <v>0</v>
      </c>
      <c r="J389" s="28">
        <f>J387+J382</f>
        <v>3429.761790992367</v>
      </c>
      <c r="K389" s="64"/>
      <c r="L389" s="2">
        <f t="shared" si="10"/>
        <v>377</v>
      </c>
    </row>
    <row r="390" spans="1:12" ht="15" thickTop="1" thickBot="1">
      <c r="A390" s="60"/>
      <c r="B390" s="70"/>
      <c r="C390" s="67"/>
      <c r="D390" s="67"/>
      <c r="E390" s="68"/>
      <c r="F390" s="67"/>
      <c r="G390" s="67"/>
      <c r="H390" s="67"/>
      <c r="I390" s="69"/>
      <c r="J390" s="68"/>
      <c r="K390" s="64"/>
      <c r="L390" s="2">
        <f t="shared" si="10"/>
        <v>378</v>
      </c>
    </row>
    <row r="391" spans="1:12" ht="3.75" customHeight="1">
      <c r="A391" s="60"/>
      <c r="B391" s="36"/>
      <c r="C391" s="37"/>
      <c r="D391" s="37"/>
      <c r="E391" s="38"/>
      <c r="F391" s="37"/>
      <c r="G391" s="37"/>
      <c r="H391" s="37"/>
      <c r="I391" s="39" t="e">
        <f>ROUND(H391/G391,4)</f>
        <v>#DIV/0!</v>
      </c>
      <c r="J391" s="40"/>
      <c r="K391" s="64"/>
      <c r="L391" s="2">
        <f t="shared" si="10"/>
        <v>379</v>
      </c>
    </row>
    <row r="392" spans="1:12" ht="27.75">
      <c r="A392" s="60"/>
      <c r="B392" s="41" t="s">
        <v>96</v>
      </c>
      <c r="C392" s="42" t="s">
        <v>91</v>
      </c>
      <c r="D392" s="43"/>
      <c r="E392" s="42" t="s">
        <v>9</v>
      </c>
      <c r="F392" s="43"/>
      <c r="G392" s="43"/>
      <c r="H392" s="43"/>
      <c r="I392" s="44"/>
      <c r="J392" s="45" t="s">
        <v>14</v>
      </c>
      <c r="K392" s="64"/>
      <c r="L392" s="2">
        <f t="shared" si="10"/>
        <v>380</v>
      </c>
    </row>
    <row r="393" spans="1:12" ht="3.75" customHeight="1">
      <c r="A393" s="60"/>
      <c r="B393" s="46"/>
      <c r="C393" s="15"/>
      <c r="D393" s="15"/>
      <c r="E393" s="16"/>
      <c r="F393" s="15"/>
      <c r="G393" s="15"/>
      <c r="H393" s="15"/>
      <c r="I393" s="17"/>
      <c r="J393" s="47"/>
      <c r="K393" s="64"/>
      <c r="L393" s="2">
        <f t="shared" si="10"/>
        <v>381</v>
      </c>
    </row>
    <row r="394" spans="1:12">
      <c r="A394" s="60"/>
      <c r="B394" s="48" t="s">
        <v>3</v>
      </c>
      <c r="C394" s="16">
        <f>C380+C385</f>
        <v>187</v>
      </c>
      <c r="D394" s="15"/>
      <c r="E394" s="16">
        <f>E380+E385</f>
        <v>5400.1469999999999</v>
      </c>
      <c r="F394" s="15"/>
      <c r="G394" s="15"/>
      <c r="H394" s="15"/>
      <c r="I394" s="17"/>
      <c r="J394" s="47">
        <f>J380+J385</f>
        <v>3259.2367909923669</v>
      </c>
      <c r="K394" s="64"/>
      <c r="L394" s="2">
        <f t="shared" si="10"/>
        <v>382</v>
      </c>
    </row>
    <row r="395" spans="1:12">
      <c r="A395" s="60"/>
      <c r="B395" s="49" t="s">
        <v>4</v>
      </c>
      <c r="C395" s="76">
        <f>C381+C386</f>
        <v>12</v>
      </c>
      <c r="D395" s="43"/>
      <c r="E395" s="76">
        <f>E381+E386</f>
        <v>209.5</v>
      </c>
      <c r="F395" s="43"/>
      <c r="G395" s="43"/>
      <c r="H395" s="43"/>
      <c r="I395" s="44"/>
      <c r="J395" s="50">
        <f>J381+J386</f>
        <v>170.52499999999998</v>
      </c>
      <c r="K395" s="64"/>
      <c r="L395" s="2">
        <f t="shared" si="10"/>
        <v>383</v>
      </c>
    </row>
    <row r="396" spans="1:12" ht="14.25" thickBot="1">
      <c r="A396" s="60"/>
      <c r="B396" s="51" t="s">
        <v>96</v>
      </c>
      <c r="C396" s="53">
        <f>C394+C395</f>
        <v>199</v>
      </c>
      <c r="D396" s="52"/>
      <c r="E396" s="53">
        <f>E394+E395</f>
        <v>5609.6469999999999</v>
      </c>
      <c r="F396" s="52"/>
      <c r="G396" s="52"/>
      <c r="H396" s="52"/>
      <c r="I396" s="54"/>
      <c r="J396" s="55">
        <f>J394+J395</f>
        <v>3429.761790992367</v>
      </c>
      <c r="K396" s="64"/>
      <c r="L396" s="2">
        <f t="shared" si="10"/>
        <v>384</v>
      </c>
    </row>
    <row r="397" spans="1:12" ht="9.75" customHeight="1" thickBot="1">
      <c r="A397" s="65"/>
      <c r="B397" s="71"/>
      <c r="C397" s="72"/>
      <c r="D397" s="72"/>
      <c r="E397" s="73"/>
      <c r="F397" s="72"/>
      <c r="G397" s="72"/>
      <c r="H397" s="72"/>
      <c r="I397" s="74"/>
      <c r="J397" s="73"/>
      <c r="K397" s="66"/>
      <c r="L397" s="2">
        <f t="shared" si="10"/>
        <v>385</v>
      </c>
    </row>
    <row r="398" spans="1:12" ht="14.25" thickBot="1">
      <c r="C398" s="3"/>
      <c r="D398" s="3"/>
      <c r="E398" s="5"/>
      <c r="F398" s="3"/>
      <c r="G398" s="3"/>
      <c r="H398" s="3"/>
      <c r="I398" s="4"/>
      <c r="J398" s="5"/>
      <c r="L398" s="2">
        <f t="shared" si="10"/>
        <v>386</v>
      </c>
    </row>
    <row r="399" spans="1:12" s="1" customFormat="1" ht="10.5" customHeight="1" thickBot="1">
      <c r="A399" s="57"/>
      <c r="B399" s="56"/>
      <c r="C399" s="58"/>
      <c r="D399" s="58"/>
      <c r="E399" s="58"/>
      <c r="F399" s="58"/>
      <c r="G399" s="58"/>
      <c r="H399" s="58"/>
      <c r="I399" s="58"/>
      <c r="J399" s="58"/>
      <c r="K399" s="59"/>
      <c r="L399" s="2">
        <f t="shared" ref="L399:L423" si="11">L398+1</f>
        <v>387</v>
      </c>
    </row>
    <row r="400" spans="1:12" ht="3.75" customHeight="1">
      <c r="A400" s="60"/>
      <c r="B400" s="36"/>
      <c r="C400" s="37"/>
      <c r="D400" s="37"/>
      <c r="E400" s="38"/>
      <c r="F400" s="37"/>
      <c r="G400" s="37"/>
      <c r="H400" s="37"/>
      <c r="I400" s="39" t="e">
        <f>ROUND(H400/G400,4)</f>
        <v>#DIV/0!</v>
      </c>
      <c r="J400" s="40"/>
      <c r="K400" s="64"/>
      <c r="L400" s="2">
        <f t="shared" si="11"/>
        <v>388</v>
      </c>
    </row>
    <row r="401" spans="1:12" ht="27.75">
      <c r="A401" s="60"/>
      <c r="B401" s="41" t="s">
        <v>97</v>
      </c>
      <c r="C401" s="42" t="s">
        <v>98</v>
      </c>
      <c r="D401" s="80" t="s">
        <v>99</v>
      </c>
      <c r="E401" s="42" t="s">
        <v>9</v>
      </c>
      <c r="F401" s="43"/>
      <c r="G401" s="43"/>
      <c r="H401" s="43"/>
      <c r="I401" s="44"/>
      <c r="J401" s="45" t="s">
        <v>14</v>
      </c>
      <c r="K401" s="64"/>
      <c r="L401" s="2">
        <f t="shared" si="11"/>
        <v>389</v>
      </c>
    </row>
    <row r="402" spans="1:12" ht="3.75" customHeight="1">
      <c r="A402" s="60"/>
      <c r="B402" s="46"/>
      <c r="C402" s="15"/>
      <c r="D402" s="15"/>
      <c r="E402" s="16"/>
      <c r="F402" s="15"/>
      <c r="G402" s="15"/>
      <c r="H402" s="15"/>
      <c r="I402" s="17"/>
      <c r="J402" s="47"/>
      <c r="K402" s="64"/>
      <c r="L402" s="2">
        <f t="shared" si="11"/>
        <v>390</v>
      </c>
    </row>
    <row r="403" spans="1:12">
      <c r="A403" s="60"/>
      <c r="B403" s="49" t="s">
        <v>100</v>
      </c>
      <c r="C403" s="123">
        <v>11</v>
      </c>
      <c r="D403" s="76">
        <f>E403/C403</f>
        <v>29.490909090909089</v>
      </c>
      <c r="E403" s="123">
        <f>48+44+162+70.4</f>
        <v>324.39999999999998</v>
      </c>
      <c r="F403" s="43"/>
      <c r="G403" s="43"/>
      <c r="H403" s="43"/>
      <c r="I403" s="44"/>
      <c r="J403" s="50">
        <f>46+36+120+44</f>
        <v>246</v>
      </c>
      <c r="K403" s="64"/>
      <c r="L403" s="2">
        <f t="shared" si="11"/>
        <v>391</v>
      </c>
    </row>
    <row r="404" spans="1:12" ht="14.25" thickBot="1">
      <c r="A404" s="60"/>
      <c r="B404" s="51" t="s">
        <v>101</v>
      </c>
      <c r="C404" s="53">
        <f>C403</f>
        <v>11</v>
      </c>
      <c r="D404" s="53">
        <f>D403</f>
        <v>29.490909090909089</v>
      </c>
      <c r="E404" s="53">
        <f>E403</f>
        <v>324.39999999999998</v>
      </c>
      <c r="F404" s="52"/>
      <c r="G404" s="52"/>
      <c r="H404" s="52"/>
      <c r="I404" s="54"/>
      <c r="J404" s="55">
        <f>J403</f>
        <v>246</v>
      </c>
      <c r="K404" s="64"/>
      <c r="L404" s="2">
        <f t="shared" si="11"/>
        <v>392</v>
      </c>
    </row>
    <row r="405" spans="1:12" ht="9.75" customHeight="1" thickBot="1">
      <c r="A405" s="65"/>
      <c r="B405" s="71"/>
      <c r="C405" s="72"/>
      <c r="D405" s="72"/>
      <c r="E405" s="73"/>
      <c r="F405" s="72"/>
      <c r="G405" s="72"/>
      <c r="H405" s="72"/>
      <c r="I405" s="74"/>
      <c r="J405" s="73"/>
      <c r="K405" s="66"/>
      <c r="L405" s="2">
        <f t="shared" si="11"/>
        <v>393</v>
      </c>
    </row>
    <row r="406" spans="1:12" ht="14.25" thickBot="1">
      <c r="C406" s="3"/>
      <c r="D406" s="3"/>
      <c r="E406" s="5"/>
      <c r="F406" s="3"/>
      <c r="G406" s="3"/>
      <c r="H406" s="3"/>
      <c r="I406" s="4"/>
      <c r="J406" s="5"/>
      <c r="L406" s="2">
        <f t="shared" si="11"/>
        <v>394</v>
      </c>
    </row>
    <row r="407" spans="1:12" s="1" customFormat="1" ht="10.5" customHeight="1" thickBot="1">
      <c r="A407" s="57"/>
      <c r="B407" s="56"/>
      <c r="C407" s="58"/>
      <c r="D407" s="58"/>
      <c r="E407" s="58"/>
      <c r="F407" s="58"/>
      <c r="G407" s="58"/>
      <c r="H407" s="58"/>
      <c r="I407" s="58"/>
      <c r="J407" s="58"/>
      <c r="K407" s="59"/>
      <c r="L407" s="2">
        <f t="shared" si="11"/>
        <v>395</v>
      </c>
    </row>
    <row r="408" spans="1:12" ht="3.75" customHeight="1">
      <c r="A408" s="60"/>
      <c r="B408" s="36"/>
      <c r="C408" s="37"/>
      <c r="D408" s="37"/>
      <c r="E408" s="38"/>
      <c r="F408" s="37"/>
      <c r="G408" s="37"/>
      <c r="H408" s="37"/>
      <c r="I408" s="39" t="e">
        <f>ROUND(H408/G408,4)</f>
        <v>#DIV/0!</v>
      </c>
      <c r="J408" s="40"/>
      <c r="K408" s="64"/>
      <c r="L408" s="2">
        <f t="shared" si="11"/>
        <v>396</v>
      </c>
    </row>
    <row r="409" spans="1:12" ht="41.25">
      <c r="A409" s="60"/>
      <c r="B409" s="41" t="s">
        <v>102</v>
      </c>
      <c r="C409" s="42" t="s">
        <v>103</v>
      </c>
      <c r="D409" s="80" t="s">
        <v>104</v>
      </c>
      <c r="E409" s="42" t="s">
        <v>9</v>
      </c>
      <c r="F409" s="80" t="s">
        <v>10</v>
      </c>
      <c r="G409" s="80" t="s">
        <v>11</v>
      </c>
      <c r="H409" s="80" t="s">
        <v>12</v>
      </c>
      <c r="I409" s="80" t="s">
        <v>13</v>
      </c>
      <c r="J409" s="45" t="s">
        <v>14</v>
      </c>
      <c r="K409" s="64"/>
      <c r="L409" s="2">
        <f t="shared" si="11"/>
        <v>397</v>
      </c>
    </row>
    <row r="410" spans="1:12" hidden="1" outlineLevel="1">
      <c r="A410" s="60"/>
      <c r="B410" s="48" t="s">
        <v>3</v>
      </c>
      <c r="C410" s="16"/>
      <c r="D410" s="15"/>
      <c r="E410" s="16"/>
      <c r="F410" s="15"/>
      <c r="G410" s="15"/>
      <c r="H410" s="15"/>
      <c r="I410" s="17"/>
      <c r="J410" s="47"/>
      <c r="K410" s="64"/>
      <c r="L410" s="2">
        <f t="shared" si="11"/>
        <v>398</v>
      </c>
    </row>
    <row r="411" spans="1:12" hidden="1" outlineLevel="1">
      <c r="A411" s="60"/>
      <c r="B411" s="81" t="s">
        <v>105</v>
      </c>
      <c r="C411" s="120">
        <v>71</v>
      </c>
      <c r="D411" s="115">
        <v>12.75</v>
      </c>
      <c r="E411" s="16">
        <f>C411*D411</f>
        <v>905.25</v>
      </c>
      <c r="F411" s="115">
        <v>7.5</v>
      </c>
      <c r="G411" s="115">
        <v>15</v>
      </c>
      <c r="H411" s="115">
        <v>0</v>
      </c>
      <c r="I411" s="119">
        <v>0</v>
      </c>
      <c r="J411" s="47">
        <f>((G411-F411)/G411)*D411*C411</f>
        <v>452.625</v>
      </c>
      <c r="K411" s="64"/>
      <c r="L411" s="2">
        <f t="shared" si="11"/>
        <v>399</v>
      </c>
    </row>
    <row r="412" spans="1:12" hidden="1" outlineLevel="1">
      <c r="A412" s="60"/>
      <c r="B412" s="81" t="s">
        <v>106</v>
      </c>
      <c r="C412" s="124" t="s">
        <v>107</v>
      </c>
      <c r="D412" s="125" t="s">
        <v>107</v>
      </c>
      <c r="E412" s="120">
        <v>612</v>
      </c>
      <c r="F412" s="115">
        <v>8</v>
      </c>
      <c r="G412" s="115">
        <v>10</v>
      </c>
      <c r="H412" s="115">
        <v>0</v>
      </c>
      <c r="I412" s="119">
        <v>0</v>
      </c>
      <c r="J412" s="47">
        <f>((G412-F412)/G412)*E412</f>
        <v>122.4</v>
      </c>
      <c r="K412" s="64"/>
      <c r="L412" s="2">
        <f t="shared" si="11"/>
        <v>400</v>
      </c>
    </row>
    <row r="413" spans="1:12" hidden="1" outlineLevel="1">
      <c r="A413" s="60"/>
      <c r="B413" s="81" t="s">
        <v>108</v>
      </c>
      <c r="C413" s="124" t="s">
        <v>107</v>
      </c>
      <c r="D413" s="125" t="s">
        <v>107</v>
      </c>
      <c r="E413" s="120">
        <v>81.61</v>
      </c>
      <c r="F413" s="115">
        <v>2</v>
      </c>
      <c r="G413" s="115">
        <v>4</v>
      </c>
      <c r="H413" s="115">
        <v>0</v>
      </c>
      <c r="I413" s="119">
        <v>0</v>
      </c>
      <c r="J413" s="47">
        <f>((G413-F413)/G413)*E413</f>
        <v>40.805</v>
      </c>
      <c r="K413" s="64"/>
      <c r="L413" s="2">
        <f t="shared" si="11"/>
        <v>401</v>
      </c>
    </row>
    <row r="414" spans="1:12" collapsed="1">
      <c r="A414" s="60"/>
      <c r="B414" s="82" t="s">
        <v>109</v>
      </c>
      <c r="C414" s="21">
        <f>SUM(C411:C413)</f>
        <v>71</v>
      </c>
      <c r="D414" s="20"/>
      <c r="E414" s="21">
        <f>SUM(E411:E413)</f>
        <v>1598.86</v>
      </c>
      <c r="F414" s="20"/>
      <c r="G414" s="20"/>
      <c r="H414" s="20"/>
      <c r="I414" s="83"/>
      <c r="J414" s="84">
        <f>SUM(J411:J413)</f>
        <v>615.82999999999993</v>
      </c>
      <c r="K414" s="64"/>
      <c r="L414" s="2">
        <f t="shared" si="11"/>
        <v>402</v>
      </c>
    </row>
    <row r="415" spans="1:12">
      <c r="A415" s="60"/>
      <c r="B415" s="48"/>
      <c r="C415" s="16"/>
      <c r="D415" s="15"/>
      <c r="E415" s="16"/>
      <c r="F415" s="15"/>
      <c r="G415" s="15"/>
      <c r="H415" s="15"/>
      <c r="I415" s="17"/>
      <c r="J415" s="47"/>
      <c r="K415" s="64"/>
      <c r="L415" s="2">
        <f t="shared" si="11"/>
        <v>403</v>
      </c>
    </row>
    <row r="416" spans="1:12" hidden="1" outlineLevel="1">
      <c r="A416" s="60"/>
      <c r="B416" s="48" t="s">
        <v>4</v>
      </c>
      <c r="C416" s="16"/>
      <c r="D416" s="15"/>
      <c r="E416" s="16"/>
      <c r="F416" s="15"/>
      <c r="G416" s="15"/>
      <c r="H416" s="15"/>
      <c r="I416" s="17"/>
      <c r="J416" s="47"/>
      <c r="K416" s="64"/>
      <c r="L416" s="2">
        <f t="shared" si="11"/>
        <v>404</v>
      </c>
    </row>
    <row r="417" spans="1:26" hidden="1" outlineLevel="1">
      <c r="A417" s="60"/>
      <c r="B417" s="81" t="s">
        <v>105</v>
      </c>
      <c r="C417" s="120">
        <v>6</v>
      </c>
      <c r="D417" s="115">
        <v>15</v>
      </c>
      <c r="E417" s="16">
        <f>C417*D417</f>
        <v>90</v>
      </c>
      <c r="F417" s="115">
        <v>7.5</v>
      </c>
      <c r="G417" s="115">
        <v>15</v>
      </c>
      <c r="H417" s="115">
        <v>0</v>
      </c>
      <c r="I417" s="119">
        <v>0</v>
      </c>
      <c r="J417" s="47">
        <f>((G417-F417)/G417)*D417*C417</f>
        <v>45</v>
      </c>
      <c r="K417" s="64"/>
      <c r="L417" s="2">
        <f t="shared" si="11"/>
        <v>405</v>
      </c>
    </row>
    <row r="418" spans="1:26" hidden="1" outlineLevel="1">
      <c r="A418" s="60"/>
      <c r="B418" s="81" t="s">
        <v>106</v>
      </c>
      <c r="C418" s="124" t="s">
        <v>107</v>
      </c>
      <c r="D418" s="125" t="s">
        <v>107</v>
      </c>
      <c r="E418" s="120">
        <v>52</v>
      </c>
      <c r="F418" s="115">
        <v>8</v>
      </c>
      <c r="G418" s="115">
        <v>10</v>
      </c>
      <c r="H418" s="115">
        <v>0</v>
      </c>
      <c r="I418" s="119">
        <v>0</v>
      </c>
      <c r="J418" s="47">
        <f>((G418-F418)/G418)*E418</f>
        <v>10.4</v>
      </c>
      <c r="K418" s="64"/>
      <c r="L418" s="2">
        <f t="shared" si="11"/>
        <v>406</v>
      </c>
    </row>
    <row r="419" spans="1:26" hidden="1" outlineLevel="1">
      <c r="A419" s="60"/>
      <c r="B419" s="81" t="s">
        <v>108</v>
      </c>
      <c r="C419" s="124" t="s">
        <v>107</v>
      </c>
      <c r="D419" s="125" t="s">
        <v>107</v>
      </c>
      <c r="E419" s="120">
        <v>7</v>
      </c>
      <c r="F419" s="115">
        <v>2</v>
      </c>
      <c r="G419" s="115">
        <v>4</v>
      </c>
      <c r="H419" s="115">
        <v>0</v>
      </c>
      <c r="I419" s="119">
        <v>0</v>
      </c>
      <c r="J419" s="47">
        <f>((G419-F419)/G419)*E419</f>
        <v>3.5</v>
      </c>
      <c r="K419" s="64"/>
      <c r="L419" s="2">
        <f t="shared" si="11"/>
        <v>407</v>
      </c>
    </row>
    <row r="420" spans="1:26" collapsed="1">
      <c r="A420" s="60"/>
      <c r="B420" s="82" t="s">
        <v>110</v>
      </c>
      <c r="C420" s="21">
        <f>SUM(C417:C419)</f>
        <v>6</v>
      </c>
      <c r="D420" s="20"/>
      <c r="E420" s="21">
        <f>SUM(E417:E419)</f>
        <v>149</v>
      </c>
      <c r="F420" s="20"/>
      <c r="G420" s="20"/>
      <c r="H420" s="20"/>
      <c r="I420" s="83"/>
      <c r="J420" s="84">
        <f>SUM(J417:J419)</f>
        <v>58.9</v>
      </c>
      <c r="K420" s="64"/>
      <c r="L420" s="2">
        <f t="shared" si="11"/>
        <v>408</v>
      </c>
    </row>
    <row r="421" spans="1:26">
      <c r="A421" s="60"/>
      <c r="B421" s="82"/>
      <c r="C421" s="21"/>
      <c r="D421" s="20"/>
      <c r="E421" s="21"/>
      <c r="F421" s="20"/>
      <c r="G421" s="20"/>
      <c r="H421" s="20"/>
      <c r="I421" s="83"/>
      <c r="J421" s="84"/>
      <c r="K421" s="64"/>
      <c r="L421" s="2">
        <f t="shared" si="11"/>
        <v>409</v>
      </c>
    </row>
    <row r="422" spans="1:26" ht="14.25" thickBot="1">
      <c r="A422" s="60"/>
      <c r="B422" s="51" t="s">
        <v>111</v>
      </c>
      <c r="C422" s="53">
        <f>C414+C420</f>
        <v>77</v>
      </c>
      <c r="D422" s="52"/>
      <c r="E422" s="53">
        <f>E414+E420</f>
        <v>1747.86</v>
      </c>
      <c r="F422" s="52"/>
      <c r="G422" s="52"/>
      <c r="H422" s="52"/>
      <c r="I422" s="54"/>
      <c r="J422" s="55">
        <f>J414+J420</f>
        <v>674.7299999999999</v>
      </c>
      <c r="K422" s="64"/>
      <c r="L422" s="2">
        <f t="shared" si="11"/>
        <v>410</v>
      </c>
    </row>
    <row r="423" spans="1:26" ht="9.75" customHeight="1" thickBot="1">
      <c r="A423" s="65"/>
      <c r="B423" s="71"/>
      <c r="C423" s="72"/>
      <c r="D423" s="72"/>
      <c r="E423" s="73"/>
      <c r="F423" s="72"/>
      <c r="G423" s="72"/>
      <c r="H423" s="72"/>
      <c r="I423" s="74"/>
      <c r="J423" s="73"/>
      <c r="K423" s="66"/>
      <c r="L423" s="2">
        <f t="shared" si="11"/>
        <v>411</v>
      </c>
    </row>
    <row r="424" spans="1:26">
      <c r="C424" s="3"/>
      <c r="D424" s="3"/>
      <c r="E424" s="5"/>
      <c r="F424" s="3"/>
      <c r="G424" s="3"/>
      <c r="H424" s="3"/>
      <c r="I424" s="4"/>
      <c r="J424" s="5"/>
    </row>
    <row r="425" spans="1:26" ht="16.5">
      <c r="A425" s="126"/>
      <c r="B425" s="126"/>
      <c r="C425" s="157"/>
      <c r="D425" s="157"/>
      <c r="E425" s="158"/>
      <c r="F425" s="157"/>
      <c r="G425" s="157"/>
      <c r="H425" s="157"/>
      <c r="I425" s="159"/>
      <c r="J425" s="158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</row>
    <row r="426" spans="1:26" ht="16.5">
      <c r="A426" s="126"/>
      <c r="B426" s="126"/>
      <c r="C426" s="157"/>
      <c r="D426" s="157"/>
      <c r="E426" s="158"/>
      <c r="F426" s="157"/>
      <c r="G426" s="157"/>
      <c r="H426" s="157"/>
      <c r="I426" s="159"/>
      <c r="J426" s="158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</row>
    <row r="427" spans="1:26" ht="16.5">
      <c r="A427" s="126"/>
      <c r="B427" s="131" t="s">
        <v>112</v>
      </c>
      <c r="C427" s="157"/>
      <c r="D427" s="157"/>
      <c r="E427" s="158"/>
      <c r="F427" s="157"/>
      <c r="G427" s="157"/>
      <c r="H427" s="157"/>
      <c r="I427" s="159"/>
      <c r="J427" s="158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</row>
    <row r="428" spans="1:26" ht="16.5">
      <c r="A428" s="126"/>
      <c r="B428" s="126"/>
      <c r="C428" s="157"/>
      <c r="D428" s="157"/>
      <c r="E428" s="158"/>
      <c r="F428" s="157"/>
      <c r="G428" s="157"/>
      <c r="H428" s="157"/>
      <c r="I428" s="159"/>
      <c r="J428" s="158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</row>
    <row r="429" spans="1:26" ht="16.5">
      <c r="A429" s="126"/>
      <c r="B429" s="126"/>
      <c r="C429" s="157" t="s">
        <v>113</v>
      </c>
      <c r="D429" s="157" t="s">
        <v>114</v>
      </c>
      <c r="E429" s="171" t="s">
        <v>115</v>
      </c>
      <c r="F429" s="171" t="s">
        <v>116</v>
      </c>
      <c r="G429" s="171" t="s">
        <v>117</v>
      </c>
      <c r="H429" s="157"/>
      <c r="I429" s="159"/>
      <c r="J429" s="158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</row>
    <row r="430" spans="1:26" ht="16.5">
      <c r="A430" s="126"/>
      <c r="B430" s="126" t="s">
        <v>48</v>
      </c>
      <c r="C430" s="157"/>
      <c r="D430" s="157"/>
      <c r="E430" s="158"/>
      <c r="F430" s="157"/>
      <c r="G430" s="157"/>
      <c r="H430" s="157"/>
      <c r="I430" s="159"/>
      <c r="J430" s="158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</row>
    <row r="431" spans="1:26" ht="16.5">
      <c r="A431" s="126" t="s">
        <v>118</v>
      </c>
      <c r="B431" s="126" t="s">
        <v>119</v>
      </c>
      <c r="C431" s="160">
        <f>INDEX($C$121:$C$318,$H431)</f>
        <v>15385</v>
      </c>
      <c r="D431" s="160">
        <f>INDEX($G$121:$G$318,$H431)</f>
        <v>125</v>
      </c>
      <c r="E431" s="160">
        <f>INDEX($F$121:$F$318,$H431)</f>
        <v>37.58</v>
      </c>
      <c r="F431" s="160">
        <f>INDEX($E$121:$E$318,$H431)</f>
        <v>14677.29</v>
      </c>
      <c r="G431" s="160">
        <f>INDEX($J$121:$J$318,$H431)</f>
        <v>10264.709534399999</v>
      </c>
      <c r="H431" s="161">
        <v>1</v>
      </c>
      <c r="I431" s="159"/>
      <c r="J431" s="158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</row>
    <row r="432" spans="1:26" ht="16.5">
      <c r="A432" s="126" t="s">
        <v>118</v>
      </c>
      <c r="C432" s="160">
        <f t="shared" ref="C432:C440" si="12">INDEX($C$121:$C$318,$H432)</f>
        <v>1562</v>
      </c>
      <c r="D432" s="160">
        <f t="shared" ref="D432:D440" si="13">INDEX($G$121:$G$318,$H432)</f>
        <v>125</v>
      </c>
      <c r="E432" s="160">
        <f t="shared" ref="E432:E440" si="14">INDEX($F$121:$F$318,$H432)</f>
        <v>32.65</v>
      </c>
      <c r="F432" s="160">
        <f t="shared" ref="F432:F440" si="15">INDEX($E$121:$E$318,$H432)</f>
        <v>1490.1479999999999</v>
      </c>
      <c r="G432" s="160">
        <f t="shared" ref="G432:G440" si="16">INDEX($J$121:$J$318,$H432)</f>
        <v>1100.9213423999997</v>
      </c>
      <c r="H432" s="157">
        <f>H431+1</f>
        <v>2</v>
      </c>
      <c r="I432" s="159"/>
      <c r="J432" s="158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</row>
    <row r="433" spans="1:26" ht="16.5">
      <c r="A433" s="126" t="s">
        <v>118</v>
      </c>
      <c r="B433" s="126" t="s">
        <v>120</v>
      </c>
      <c r="C433" s="160">
        <f t="shared" si="12"/>
        <v>344</v>
      </c>
      <c r="D433" s="160">
        <f t="shared" si="13"/>
        <v>125</v>
      </c>
      <c r="E433" s="160">
        <f t="shared" si="14"/>
        <v>37.799999999999997</v>
      </c>
      <c r="F433" s="160">
        <f t="shared" si="15"/>
        <v>688</v>
      </c>
      <c r="G433" s="160">
        <f t="shared" si="16"/>
        <v>479.94880000000001</v>
      </c>
      <c r="H433" s="157">
        <f>H431+12</f>
        <v>13</v>
      </c>
      <c r="I433" s="159"/>
      <c r="J433" s="158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</row>
    <row r="434" spans="1:26" ht="16.5">
      <c r="A434" s="126" t="s">
        <v>118</v>
      </c>
      <c r="C434" s="160">
        <f t="shared" si="12"/>
        <v>83</v>
      </c>
      <c r="D434" s="160">
        <f t="shared" si="13"/>
        <v>125</v>
      </c>
      <c r="E434" s="160">
        <f t="shared" si="14"/>
        <v>33</v>
      </c>
      <c r="F434" s="160">
        <f t="shared" si="15"/>
        <v>166</v>
      </c>
      <c r="G434" s="160">
        <f t="shared" si="16"/>
        <v>122.176</v>
      </c>
      <c r="H434" s="157">
        <f t="shared" ref="H434:H440" si="17">H432+12</f>
        <v>14</v>
      </c>
      <c r="I434" s="159"/>
      <c r="J434" s="158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</row>
    <row r="435" spans="1:26" ht="16.5">
      <c r="A435" s="126" t="s">
        <v>118</v>
      </c>
      <c r="B435" s="126" t="s">
        <v>121</v>
      </c>
      <c r="C435" s="160">
        <f t="shared" si="12"/>
        <v>52</v>
      </c>
      <c r="D435" s="160">
        <f t="shared" si="13"/>
        <v>125</v>
      </c>
      <c r="E435" s="160">
        <f t="shared" si="14"/>
        <v>37</v>
      </c>
      <c r="F435" s="160">
        <f t="shared" si="15"/>
        <v>260</v>
      </c>
      <c r="G435" s="160">
        <f t="shared" si="16"/>
        <v>183.04</v>
      </c>
      <c r="H435" s="157">
        <f t="shared" si="17"/>
        <v>25</v>
      </c>
      <c r="I435" s="159"/>
      <c r="J435" s="158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</row>
    <row r="436" spans="1:26" ht="16.5">
      <c r="A436" s="126" t="s">
        <v>118</v>
      </c>
      <c r="C436" s="160">
        <f t="shared" si="12"/>
        <v>19</v>
      </c>
      <c r="D436" s="160">
        <f t="shared" si="13"/>
        <v>125</v>
      </c>
      <c r="E436" s="160">
        <f t="shared" si="14"/>
        <v>31</v>
      </c>
      <c r="F436" s="160">
        <f t="shared" si="15"/>
        <v>95</v>
      </c>
      <c r="G436" s="160">
        <f t="shared" si="16"/>
        <v>71.44</v>
      </c>
      <c r="H436" s="157">
        <f t="shared" si="17"/>
        <v>26</v>
      </c>
      <c r="I436" s="159"/>
      <c r="J436" s="158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</row>
    <row r="437" spans="1:26" ht="16.5">
      <c r="A437" s="126" t="s">
        <v>118</v>
      </c>
      <c r="B437" s="126" t="s">
        <v>122</v>
      </c>
      <c r="C437" s="160">
        <f t="shared" si="12"/>
        <v>2</v>
      </c>
      <c r="D437" s="160">
        <f t="shared" si="13"/>
        <v>125</v>
      </c>
      <c r="E437" s="160">
        <f t="shared" si="14"/>
        <v>35</v>
      </c>
      <c r="F437" s="160">
        <f t="shared" si="15"/>
        <v>30</v>
      </c>
      <c r="G437" s="160">
        <f t="shared" si="16"/>
        <v>21.6</v>
      </c>
      <c r="H437" s="157">
        <f t="shared" si="17"/>
        <v>37</v>
      </c>
      <c r="I437" s="159"/>
      <c r="J437" s="158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</row>
    <row r="438" spans="1:26" ht="16.5">
      <c r="A438" s="126" t="s">
        <v>118</v>
      </c>
      <c r="C438" s="160">
        <f t="shared" si="12"/>
        <v>0</v>
      </c>
      <c r="D438" s="160">
        <f t="shared" si="13"/>
        <v>125</v>
      </c>
      <c r="E438" s="160">
        <f t="shared" si="14"/>
        <v>0</v>
      </c>
      <c r="F438" s="160">
        <f t="shared" si="15"/>
        <v>0</v>
      </c>
      <c r="G438" s="160">
        <f t="shared" si="16"/>
        <v>0</v>
      </c>
      <c r="H438" s="157">
        <f t="shared" si="17"/>
        <v>38</v>
      </c>
      <c r="I438" s="159"/>
      <c r="J438" s="158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</row>
    <row r="439" spans="1:26" ht="16.5">
      <c r="A439" s="126" t="s">
        <v>118</v>
      </c>
      <c r="B439" s="126" t="s">
        <v>58</v>
      </c>
      <c r="C439" s="160">
        <f t="shared" si="12"/>
        <v>0</v>
      </c>
      <c r="D439" s="160">
        <f t="shared" si="13"/>
        <v>125</v>
      </c>
      <c r="E439" s="160">
        <f t="shared" si="14"/>
        <v>0</v>
      </c>
      <c r="F439" s="160">
        <f t="shared" si="15"/>
        <v>0</v>
      </c>
      <c r="G439" s="160">
        <f t="shared" si="16"/>
        <v>0</v>
      </c>
      <c r="H439" s="157">
        <f t="shared" si="17"/>
        <v>49</v>
      </c>
      <c r="I439" s="159"/>
      <c r="J439" s="158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</row>
    <row r="440" spans="1:26" ht="16.5">
      <c r="A440" s="126" t="s">
        <v>118</v>
      </c>
      <c r="B440" s="126"/>
      <c r="C440" s="160">
        <f t="shared" si="12"/>
        <v>0</v>
      </c>
      <c r="D440" s="160">
        <f t="shared" si="13"/>
        <v>125</v>
      </c>
      <c r="E440" s="160">
        <f t="shared" si="14"/>
        <v>0</v>
      </c>
      <c r="F440" s="160">
        <f t="shared" si="15"/>
        <v>0</v>
      </c>
      <c r="G440" s="160">
        <f t="shared" si="16"/>
        <v>0</v>
      </c>
      <c r="H440" s="157">
        <f t="shared" si="17"/>
        <v>50</v>
      </c>
      <c r="I440" s="159"/>
      <c r="J440" s="158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</row>
    <row r="441" spans="1:26" ht="16.5">
      <c r="A441" s="126" t="s">
        <v>118</v>
      </c>
      <c r="B441" s="126" t="s">
        <v>123</v>
      </c>
      <c r="C441" s="160">
        <f>SUM(C431:C440)</f>
        <v>17447</v>
      </c>
      <c r="D441" s="157">
        <f>MAX(D431:D440)</f>
        <v>125</v>
      </c>
      <c r="E441" s="158">
        <f>SUMPRODUCT(E431:E440,G431:G440)/G441</f>
        <v>37.048019162134459</v>
      </c>
      <c r="F441" s="160">
        <f>SUM(F431:F440)</f>
        <v>17406.438000000002</v>
      </c>
      <c r="G441" s="160">
        <f>SUM(G431:G440)</f>
        <v>12243.835676799999</v>
      </c>
      <c r="H441" s="157"/>
      <c r="I441" s="159"/>
      <c r="J441" s="158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</row>
    <row r="442" spans="1:26" ht="16.5">
      <c r="A442" s="126" t="s">
        <v>118</v>
      </c>
      <c r="B442" s="126" t="s">
        <v>124</v>
      </c>
      <c r="C442" s="157"/>
      <c r="D442" s="157"/>
      <c r="E442" s="158"/>
      <c r="F442" s="157"/>
      <c r="G442" s="157"/>
      <c r="H442" s="157"/>
      <c r="I442" s="159"/>
      <c r="J442" s="158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</row>
    <row r="443" spans="1:26" ht="16.5">
      <c r="A443" s="126" t="s">
        <v>118</v>
      </c>
      <c r="B443" s="126" t="s">
        <v>119</v>
      </c>
      <c r="C443" s="160">
        <f>INDEX($C$121:$C$318,$H443)</f>
        <v>113800</v>
      </c>
      <c r="D443" s="160">
        <f>INDEX($G$121:$G$318,$H443)</f>
        <v>65</v>
      </c>
      <c r="E443" s="160">
        <f>INDEX($F$121:$F$318,$H443)</f>
        <v>39.86</v>
      </c>
      <c r="F443" s="160">
        <f>INDEX($E$121:$E$318,$H443)</f>
        <v>108565.2</v>
      </c>
      <c r="G443" s="160">
        <f>INDEX($J$121:$J$318,$H443)</f>
        <v>87261.033245538478</v>
      </c>
      <c r="H443" s="157">
        <f>H431+3</f>
        <v>4</v>
      </c>
      <c r="I443" s="159"/>
      <c r="J443" s="158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</row>
    <row r="444" spans="1:26" ht="16.5">
      <c r="A444" s="126" t="s">
        <v>118</v>
      </c>
      <c r="C444" s="160">
        <f t="shared" ref="C444:C452" si="18">INDEX($C$121:$C$318,$H444)</f>
        <v>1257</v>
      </c>
      <c r="D444" s="160">
        <f t="shared" ref="D444:D452" si="19">INDEX($G$121:$G$318,$H444)</f>
        <v>70</v>
      </c>
      <c r="E444" s="160">
        <f t="shared" ref="E444:E452" si="20">INDEX($F$121:$F$318,$H444)</f>
        <v>31.66</v>
      </c>
      <c r="F444" s="160">
        <f t="shared" ref="F444:F452" si="21">INDEX($E$121:$E$318,$H444)</f>
        <v>1199.1780000000001</v>
      </c>
      <c r="G444" s="160">
        <f t="shared" ref="G444:G452" si="22">INDEX($J$121:$J$318,$H444)</f>
        <v>656.80692171428564</v>
      </c>
      <c r="H444" s="157">
        <f t="shared" ref="H444:H452" si="23">H432+3</f>
        <v>5</v>
      </c>
      <c r="I444" s="159"/>
      <c r="J444" s="158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</row>
    <row r="445" spans="1:26" ht="16.5">
      <c r="A445" s="126" t="s">
        <v>118</v>
      </c>
      <c r="B445" s="126" t="s">
        <v>120</v>
      </c>
      <c r="C445" s="160">
        <f t="shared" si="18"/>
        <v>2544</v>
      </c>
      <c r="D445" s="160">
        <f t="shared" si="19"/>
        <v>65</v>
      </c>
      <c r="E445" s="160">
        <f t="shared" si="20"/>
        <v>39.93</v>
      </c>
      <c r="F445" s="160">
        <f t="shared" si="21"/>
        <v>5088</v>
      </c>
      <c r="G445" s="160">
        <f t="shared" si="22"/>
        <v>4087.8087876923078</v>
      </c>
      <c r="H445" s="157">
        <f t="shared" si="23"/>
        <v>16</v>
      </c>
      <c r="I445" s="159"/>
      <c r="J445" s="158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</row>
    <row r="446" spans="1:26" ht="16.5">
      <c r="A446" s="126" t="s">
        <v>118</v>
      </c>
      <c r="C446" s="160">
        <f t="shared" si="18"/>
        <v>49</v>
      </c>
      <c r="D446" s="160">
        <f t="shared" si="19"/>
        <v>70</v>
      </c>
      <c r="E446" s="160">
        <f t="shared" si="20"/>
        <v>36</v>
      </c>
      <c r="F446" s="160">
        <f t="shared" si="21"/>
        <v>98</v>
      </c>
      <c r="G446" s="160">
        <f t="shared" si="22"/>
        <v>47.6</v>
      </c>
      <c r="H446" s="157">
        <f t="shared" si="23"/>
        <v>17</v>
      </c>
      <c r="I446" s="159"/>
      <c r="J446" s="158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</row>
    <row r="447" spans="1:26" ht="16.5">
      <c r="A447" s="126" t="s">
        <v>118</v>
      </c>
      <c r="B447" s="126" t="s">
        <v>121</v>
      </c>
      <c r="C447" s="160">
        <f t="shared" si="18"/>
        <v>0</v>
      </c>
      <c r="D447" s="160">
        <f t="shared" si="19"/>
        <v>65</v>
      </c>
      <c r="E447" s="160">
        <f t="shared" si="20"/>
        <v>0</v>
      </c>
      <c r="F447" s="160">
        <f t="shared" si="21"/>
        <v>0</v>
      </c>
      <c r="G447" s="160">
        <f t="shared" si="22"/>
        <v>0</v>
      </c>
      <c r="H447" s="157">
        <f t="shared" si="23"/>
        <v>28</v>
      </c>
      <c r="I447" s="159"/>
      <c r="J447" s="158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</row>
    <row r="448" spans="1:26" ht="16.5">
      <c r="A448" s="126" t="s">
        <v>118</v>
      </c>
      <c r="C448" s="160">
        <f t="shared" si="18"/>
        <v>0</v>
      </c>
      <c r="D448" s="160">
        <f t="shared" si="19"/>
        <v>70</v>
      </c>
      <c r="E448" s="160">
        <f t="shared" si="20"/>
        <v>0</v>
      </c>
      <c r="F448" s="160">
        <f t="shared" si="21"/>
        <v>0</v>
      </c>
      <c r="G448" s="160">
        <f t="shared" si="22"/>
        <v>0</v>
      </c>
      <c r="H448" s="157">
        <f t="shared" si="23"/>
        <v>29</v>
      </c>
      <c r="I448" s="159"/>
      <c r="J448" s="158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</row>
    <row r="449" spans="1:26" ht="16.5">
      <c r="A449" s="126" t="s">
        <v>118</v>
      </c>
      <c r="B449" s="126" t="s">
        <v>122</v>
      </c>
      <c r="C449" s="160">
        <f t="shared" si="18"/>
        <v>0</v>
      </c>
      <c r="D449" s="160">
        <f t="shared" si="19"/>
        <v>65</v>
      </c>
      <c r="E449" s="160">
        <f t="shared" si="20"/>
        <v>0</v>
      </c>
      <c r="F449" s="160">
        <f t="shared" si="21"/>
        <v>0</v>
      </c>
      <c r="G449" s="160">
        <f t="shared" si="22"/>
        <v>0</v>
      </c>
      <c r="H449" s="157">
        <f t="shared" si="23"/>
        <v>40</v>
      </c>
      <c r="I449" s="159"/>
      <c r="J449" s="158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</row>
    <row r="450" spans="1:26" ht="16.5">
      <c r="A450" s="126" t="s">
        <v>118</v>
      </c>
      <c r="C450" s="160">
        <f t="shared" si="18"/>
        <v>0</v>
      </c>
      <c r="D450" s="160">
        <f t="shared" si="19"/>
        <v>70</v>
      </c>
      <c r="E450" s="160">
        <f t="shared" si="20"/>
        <v>0</v>
      </c>
      <c r="F450" s="160">
        <f t="shared" si="21"/>
        <v>0</v>
      </c>
      <c r="G450" s="160">
        <f t="shared" si="22"/>
        <v>0</v>
      </c>
      <c r="H450" s="157">
        <f t="shared" si="23"/>
        <v>41</v>
      </c>
      <c r="I450" s="159"/>
      <c r="J450" s="158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</row>
    <row r="451" spans="1:26" ht="16.5">
      <c r="A451" s="126" t="s">
        <v>118</v>
      </c>
      <c r="B451" s="126" t="s">
        <v>58</v>
      </c>
      <c r="C451" s="160">
        <f t="shared" si="18"/>
        <v>0</v>
      </c>
      <c r="D451" s="160">
        <f t="shared" si="19"/>
        <v>65</v>
      </c>
      <c r="E451" s="160">
        <f t="shared" si="20"/>
        <v>0</v>
      </c>
      <c r="F451" s="160">
        <f t="shared" si="21"/>
        <v>0</v>
      </c>
      <c r="G451" s="160">
        <f t="shared" si="22"/>
        <v>0</v>
      </c>
      <c r="H451" s="157">
        <f t="shared" si="23"/>
        <v>52</v>
      </c>
      <c r="I451" s="159"/>
      <c r="J451" s="158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</row>
    <row r="452" spans="1:26" ht="16.5">
      <c r="A452" s="126" t="s">
        <v>118</v>
      </c>
      <c r="B452" s="126"/>
      <c r="C452" s="160">
        <f t="shared" si="18"/>
        <v>0</v>
      </c>
      <c r="D452" s="160">
        <f t="shared" si="19"/>
        <v>70</v>
      </c>
      <c r="E452" s="160">
        <f t="shared" si="20"/>
        <v>0</v>
      </c>
      <c r="F452" s="160">
        <f t="shared" si="21"/>
        <v>0</v>
      </c>
      <c r="G452" s="160">
        <f t="shared" si="22"/>
        <v>0</v>
      </c>
      <c r="H452" s="157">
        <f t="shared" si="23"/>
        <v>53</v>
      </c>
      <c r="I452" s="159"/>
      <c r="J452" s="158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</row>
    <row r="453" spans="1:26" ht="16.5">
      <c r="A453" s="126" t="s">
        <v>118</v>
      </c>
      <c r="B453" s="126" t="s">
        <v>125</v>
      </c>
      <c r="C453" s="160">
        <f>SUM(C443:C452)</f>
        <v>117650</v>
      </c>
      <c r="D453" s="157">
        <f>MAX(D443:D452)</f>
        <v>70</v>
      </c>
      <c r="E453" s="158">
        <f>SUMPRODUCT(E443:E452,G443:G452)/G453</f>
        <v>39.802604892245519</v>
      </c>
      <c r="F453" s="160">
        <f>SUM(F443:F452)</f>
        <v>114950.378</v>
      </c>
      <c r="G453" s="160">
        <f>SUM(G443:G452)</f>
        <v>92053.248954945084</v>
      </c>
      <c r="H453" s="157"/>
      <c r="I453" s="159"/>
      <c r="J453" s="158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</row>
    <row r="454" spans="1:26" ht="16.5">
      <c r="A454" s="126" t="s">
        <v>118</v>
      </c>
      <c r="B454" s="126" t="s">
        <v>126</v>
      </c>
      <c r="C454" s="157"/>
      <c r="D454" s="157"/>
      <c r="E454" s="158"/>
      <c r="F454" s="157"/>
      <c r="G454" s="157"/>
      <c r="H454" s="157"/>
      <c r="I454" s="159"/>
      <c r="J454" s="158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</row>
    <row r="455" spans="1:26" ht="16.5">
      <c r="A455" s="126" t="s">
        <v>118</v>
      </c>
      <c r="B455" s="126" t="s">
        <v>119</v>
      </c>
      <c r="C455" s="160">
        <f>INDEX($C$121:$C$318,$H455)</f>
        <v>36547</v>
      </c>
      <c r="D455" s="160">
        <f>INDEX($G$121:$G$318,$H455)</f>
        <v>70</v>
      </c>
      <c r="E455" s="160">
        <f>INDEX($F$121:$F$318,$H455)</f>
        <v>13.753</v>
      </c>
      <c r="F455" s="160">
        <f>INDEX($E$121:$E$318,$H455)</f>
        <v>34865.838000000003</v>
      </c>
      <c r="G455" s="160">
        <f>INDEX($J$121:$J$318,$H455)</f>
        <v>28015.696999800006</v>
      </c>
      <c r="H455" s="157">
        <f>H443+3</f>
        <v>7</v>
      </c>
      <c r="I455" s="159"/>
      <c r="J455" s="158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</row>
    <row r="456" spans="1:26" ht="16.5">
      <c r="A456" s="126" t="s">
        <v>118</v>
      </c>
      <c r="C456" s="160">
        <f t="shared" ref="C456:C464" si="24">INDEX($C$121:$C$318,$H456)</f>
        <v>1036</v>
      </c>
      <c r="D456" s="160">
        <f t="shared" ref="D456:D464" si="25">INDEX($G$121:$G$318,$H456)</f>
        <v>65</v>
      </c>
      <c r="E456" s="160">
        <f t="shared" ref="E456:E464" si="26">INDEX($F$121:$F$318,$H456)</f>
        <v>11.95</v>
      </c>
      <c r="F456" s="160">
        <f t="shared" ref="F456:F464" si="27">INDEX($E$121:$E$318,$H456)</f>
        <v>988.34400000000005</v>
      </c>
      <c r="G456" s="160">
        <f t="shared" ref="G456:G464" si="28">INDEX($J$121:$J$318,$H456)</f>
        <v>806.64075692307676</v>
      </c>
      <c r="H456" s="157">
        <f t="shared" ref="H456:H464" si="29">H444+3</f>
        <v>8</v>
      </c>
      <c r="I456" s="159"/>
      <c r="J456" s="158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</row>
    <row r="457" spans="1:26" ht="16.5">
      <c r="A457" s="126" t="s">
        <v>118</v>
      </c>
      <c r="B457" s="126" t="s">
        <v>120</v>
      </c>
      <c r="C457" s="160">
        <f t="shared" si="24"/>
        <v>817</v>
      </c>
      <c r="D457" s="160">
        <f t="shared" si="25"/>
        <v>70</v>
      </c>
      <c r="E457" s="160">
        <f t="shared" si="26"/>
        <v>13.78</v>
      </c>
      <c r="F457" s="160">
        <f t="shared" si="27"/>
        <v>1634</v>
      </c>
      <c r="G457" s="160">
        <f t="shared" si="28"/>
        <v>1312.3354285714283</v>
      </c>
      <c r="H457" s="157">
        <f t="shared" si="29"/>
        <v>19</v>
      </c>
      <c r="I457" s="159"/>
      <c r="J457" s="158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</row>
    <row r="458" spans="1:26" ht="16.5">
      <c r="A458" s="126" t="s">
        <v>118</v>
      </c>
      <c r="C458" s="160">
        <f t="shared" si="24"/>
        <v>52</v>
      </c>
      <c r="D458" s="160">
        <f t="shared" si="25"/>
        <v>65</v>
      </c>
      <c r="E458" s="160">
        <f t="shared" si="26"/>
        <v>13.4</v>
      </c>
      <c r="F458" s="160">
        <f t="shared" si="27"/>
        <v>104</v>
      </c>
      <c r="G458" s="160">
        <f t="shared" si="28"/>
        <v>82.56</v>
      </c>
      <c r="H458" s="157">
        <f t="shared" si="29"/>
        <v>20</v>
      </c>
      <c r="I458" s="159"/>
      <c r="J458" s="158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</row>
    <row r="459" spans="1:26" ht="16.5">
      <c r="A459" s="126" t="s">
        <v>118</v>
      </c>
      <c r="B459" s="126" t="s">
        <v>121</v>
      </c>
      <c r="C459" s="160">
        <f t="shared" si="24"/>
        <v>125</v>
      </c>
      <c r="D459" s="160">
        <f t="shared" si="25"/>
        <v>70</v>
      </c>
      <c r="E459" s="160">
        <f t="shared" si="26"/>
        <v>14</v>
      </c>
      <c r="F459" s="160">
        <f t="shared" si="27"/>
        <v>625</v>
      </c>
      <c r="G459" s="160">
        <f t="shared" si="28"/>
        <v>500</v>
      </c>
      <c r="H459" s="157">
        <f t="shared" si="29"/>
        <v>31</v>
      </c>
      <c r="I459" s="159"/>
      <c r="J459" s="158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</row>
    <row r="460" spans="1:26" ht="16.5">
      <c r="A460" s="126" t="s">
        <v>118</v>
      </c>
      <c r="C460" s="160">
        <f t="shared" si="24"/>
        <v>13</v>
      </c>
      <c r="D460" s="160">
        <f t="shared" si="25"/>
        <v>65</v>
      </c>
      <c r="E460" s="160">
        <f t="shared" si="26"/>
        <v>12</v>
      </c>
      <c r="F460" s="160">
        <f t="shared" si="27"/>
        <v>65</v>
      </c>
      <c r="G460" s="160">
        <f t="shared" si="28"/>
        <v>53</v>
      </c>
      <c r="H460" s="157">
        <f t="shared" si="29"/>
        <v>32</v>
      </c>
      <c r="I460" s="157"/>
      <c r="J460" s="158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</row>
    <row r="461" spans="1:26" ht="16.5">
      <c r="A461" s="126" t="s">
        <v>118</v>
      </c>
      <c r="B461" s="126" t="s">
        <v>122</v>
      </c>
      <c r="C461" s="160">
        <f t="shared" si="24"/>
        <v>5</v>
      </c>
      <c r="D461" s="160">
        <f t="shared" si="25"/>
        <v>70</v>
      </c>
      <c r="E461" s="160">
        <f t="shared" si="26"/>
        <v>15</v>
      </c>
      <c r="F461" s="160">
        <f t="shared" si="27"/>
        <v>75</v>
      </c>
      <c r="G461" s="160">
        <f t="shared" si="28"/>
        <v>58.928571428571438</v>
      </c>
      <c r="H461" s="157">
        <f t="shared" si="29"/>
        <v>43</v>
      </c>
      <c r="I461" s="157"/>
      <c r="J461" s="158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</row>
    <row r="462" spans="1:26" ht="16.5">
      <c r="A462" s="126" t="s">
        <v>118</v>
      </c>
      <c r="C462" s="160">
        <f t="shared" si="24"/>
        <v>0</v>
      </c>
      <c r="D462" s="160">
        <f t="shared" si="25"/>
        <v>65</v>
      </c>
      <c r="E462" s="160">
        <f t="shared" si="26"/>
        <v>0</v>
      </c>
      <c r="F462" s="160">
        <f t="shared" si="27"/>
        <v>0</v>
      </c>
      <c r="G462" s="160">
        <f t="shared" si="28"/>
        <v>0</v>
      </c>
      <c r="H462" s="157">
        <f t="shared" si="29"/>
        <v>44</v>
      </c>
      <c r="I462" s="157"/>
      <c r="J462" s="158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</row>
    <row r="463" spans="1:26" ht="16.5">
      <c r="A463" s="126" t="s">
        <v>118</v>
      </c>
      <c r="B463" s="126" t="s">
        <v>58</v>
      </c>
      <c r="C463" s="160">
        <f t="shared" si="24"/>
        <v>0</v>
      </c>
      <c r="D463" s="160">
        <f t="shared" si="25"/>
        <v>70</v>
      </c>
      <c r="E463" s="160">
        <f t="shared" si="26"/>
        <v>0</v>
      </c>
      <c r="F463" s="160">
        <f t="shared" si="27"/>
        <v>0</v>
      </c>
      <c r="G463" s="160">
        <f t="shared" si="28"/>
        <v>0</v>
      </c>
      <c r="H463" s="157">
        <f t="shared" si="29"/>
        <v>55</v>
      </c>
      <c r="I463" s="157"/>
      <c r="J463" s="158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</row>
    <row r="464" spans="1:26" ht="16.5">
      <c r="A464" s="126" t="s">
        <v>118</v>
      </c>
      <c r="B464" s="126"/>
      <c r="C464" s="160">
        <f t="shared" si="24"/>
        <v>0</v>
      </c>
      <c r="D464" s="160">
        <f t="shared" si="25"/>
        <v>65</v>
      </c>
      <c r="E464" s="160">
        <f t="shared" si="26"/>
        <v>0</v>
      </c>
      <c r="F464" s="160">
        <f t="shared" si="27"/>
        <v>0</v>
      </c>
      <c r="G464" s="160">
        <f t="shared" si="28"/>
        <v>0</v>
      </c>
      <c r="H464" s="157">
        <f t="shared" si="29"/>
        <v>56</v>
      </c>
      <c r="I464" s="157"/>
      <c r="J464" s="158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</row>
    <row r="465" spans="1:26" ht="16.5">
      <c r="A465" s="126" t="s">
        <v>118</v>
      </c>
      <c r="B465" s="126" t="s">
        <v>127</v>
      </c>
      <c r="C465" s="160">
        <f>SUM(C455:C464)</f>
        <v>38595</v>
      </c>
      <c r="D465" s="157">
        <f>MAX(D455:D464)</f>
        <v>70</v>
      </c>
      <c r="E465" s="158">
        <f>SUMPRODUCT(E455:E464,G455:G464)/G465</f>
        <v>13.709404621371309</v>
      </c>
      <c r="F465" s="160">
        <f>SUM(F455:F464)</f>
        <v>38357.182000000001</v>
      </c>
      <c r="G465" s="160">
        <f>SUM(G455:G464)</f>
        <v>30829.161756723082</v>
      </c>
      <c r="H465" s="157"/>
      <c r="I465" s="157"/>
      <c r="J465" s="158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</row>
    <row r="466" spans="1:26" ht="16.5">
      <c r="A466" s="126" t="s">
        <v>128</v>
      </c>
      <c r="B466" s="126" t="s">
        <v>48</v>
      </c>
      <c r="C466" s="157"/>
      <c r="D466" s="157"/>
      <c r="E466" s="158"/>
      <c r="F466" s="157"/>
      <c r="G466" s="157"/>
      <c r="H466" s="157"/>
      <c r="I466" s="157"/>
      <c r="J466" s="158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</row>
    <row r="467" spans="1:26" ht="16.5">
      <c r="A467" s="126" t="s">
        <v>128</v>
      </c>
      <c r="B467" s="126" t="s">
        <v>119</v>
      </c>
      <c r="C467" s="160">
        <f>INDEX($C$121:$C$318,$H467)</f>
        <v>18774</v>
      </c>
      <c r="D467" s="160">
        <f>INDEX($G$121:$G$318,$H467)</f>
        <v>125</v>
      </c>
      <c r="E467" s="160">
        <f>INDEX($F$121:$F$318,$H467)</f>
        <v>17.27</v>
      </c>
      <c r="F467" s="160">
        <f>INDEX($E$121:$E$318,$H467)</f>
        <v>17910.396000000001</v>
      </c>
      <c r="G467" s="160">
        <f>INDEX($J$121:$J$318,$H467)</f>
        <v>15435.895688640001</v>
      </c>
      <c r="H467" s="161">
        <v>64</v>
      </c>
      <c r="I467" s="157"/>
      <c r="J467" s="158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</row>
    <row r="468" spans="1:26" ht="16.5">
      <c r="A468" s="126" t="s">
        <v>128</v>
      </c>
      <c r="C468" s="160">
        <f t="shared" ref="C468:C476" si="30">INDEX($C$121:$C$318,$H468)</f>
        <v>2967</v>
      </c>
      <c r="D468" s="160">
        <f t="shared" ref="D468:D476" si="31">INDEX($G$121:$G$318,$H468)</f>
        <v>125</v>
      </c>
      <c r="E468" s="160">
        <f t="shared" ref="E468:E476" si="32">INDEX($F$121:$F$318,$H468)</f>
        <v>19.5</v>
      </c>
      <c r="F468" s="160">
        <f t="shared" ref="F468:F476" si="33">INDEX($E$121:$E$318,$H468)</f>
        <v>2830.518</v>
      </c>
      <c r="G468" s="160">
        <f t="shared" ref="G468:G476" si="34">INDEX($J$121:$J$318,$H468)</f>
        <v>2388.9571919999998</v>
      </c>
      <c r="H468" s="157">
        <f>H467+1</f>
        <v>65</v>
      </c>
      <c r="I468" s="157"/>
      <c r="J468" s="158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</row>
    <row r="469" spans="1:26" ht="16.5">
      <c r="A469" s="126" t="s">
        <v>128</v>
      </c>
      <c r="B469" s="126" t="s">
        <v>120</v>
      </c>
      <c r="C469" s="160">
        <f t="shared" si="30"/>
        <v>420</v>
      </c>
      <c r="D469" s="160">
        <f t="shared" si="31"/>
        <v>125</v>
      </c>
      <c r="E469" s="160">
        <f t="shared" si="32"/>
        <v>17.350000000000001</v>
      </c>
      <c r="F469" s="160">
        <f t="shared" si="33"/>
        <v>840</v>
      </c>
      <c r="G469" s="160">
        <f t="shared" si="34"/>
        <v>723.40800000000002</v>
      </c>
      <c r="H469" s="157">
        <f>H467+12</f>
        <v>76</v>
      </c>
      <c r="I469" s="157"/>
      <c r="J469" s="158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</row>
    <row r="470" spans="1:26" ht="16.5">
      <c r="A470" s="126" t="s">
        <v>128</v>
      </c>
      <c r="C470" s="160">
        <f t="shared" si="30"/>
        <v>108</v>
      </c>
      <c r="D470" s="160">
        <f t="shared" si="31"/>
        <v>125</v>
      </c>
      <c r="E470" s="160">
        <f t="shared" si="32"/>
        <v>19.5</v>
      </c>
      <c r="F470" s="160">
        <f t="shared" si="33"/>
        <v>216</v>
      </c>
      <c r="G470" s="160">
        <f t="shared" si="34"/>
        <v>182.304</v>
      </c>
      <c r="H470" s="157">
        <f t="shared" ref="H470:H476" si="35">H468+12</f>
        <v>77</v>
      </c>
      <c r="I470" s="157"/>
      <c r="J470" s="158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</row>
    <row r="471" spans="1:26" ht="16.5">
      <c r="A471" s="126" t="s">
        <v>128</v>
      </c>
      <c r="B471" s="126" t="s">
        <v>121</v>
      </c>
      <c r="C471" s="160">
        <f t="shared" si="30"/>
        <v>152</v>
      </c>
      <c r="D471" s="160">
        <f t="shared" si="31"/>
        <v>125</v>
      </c>
      <c r="E471" s="160">
        <f t="shared" si="32"/>
        <v>17.600000000000001</v>
      </c>
      <c r="F471" s="160">
        <f t="shared" si="33"/>
        <v>760</v>
      </c>
      <c r="G471" s="160">
        <f t="shared" si="34"/>
        <v>652.99199999999996</v>
      </c>
      <c r="H471" s="157">
        <f t="shared" si="35"/>
        <v>88</v>
      </c>
      <c r="I471" s="157"/>
      <c r="J471" s="158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</row>
    <row r="472" spans="1:26" ht="16.5">
      <c r="A472" s="126" t="s">
        <v>128</v>
      </c>
      <c r="C472" s="160">
        <f t="shared" si="30"/>
        <v>20</v>
      </c>
      <c r="D472" s="160">
        <f t="shared" si="31"/>
        <v>125</v>
      </c>
      <c r="E472" s="160">
        <f t="shared" si="32"/>
        <v>19.5</v>
      </c>
      <c r="F472" s="160">
        <f t="shared" si="33"/>
        <v>100</v>
      </c>
      <c r="G472" s="160">
        <f t="shared" si="34"/>
        <v>84.4</v>
      </c>
      <c r="H472" s="157">
        <f t="shared" si="35"/>
        <v>89</v>
      </c>
      <c r="I472" s="157"/>
      <c r="J472" s="158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</row>
    <row r="473" spans="1:26" ht="16.5">
      <c r="A473" s="126" t="s">
        <v>128</v>
      </c>
      <c r="B473" s="126" t="s">
        <v>122</v>
      </c>
      <c r="C473" s="160">
        <f t="shared" si="30"/>
        <v>17</v>
      </c>
      <c r="D473" s="160">
        <f t="shared" si="31"/>
        <v>125</v>
      </c>
      <c r="E473" s="160">
        <f t="shared" si="32"/>
        <v>17.899999999999999</v>
      </c>
      <c r="F473" s="160">
        <f t="shared" si="33"/>
        <v>255</v>
      </c>
      <c r="G473" s="160">
        <f t="shared" si="34"/>
        <v>218.48400000000001</v>
      </c>
      <c r="H473" s="157">
        <f t="shared" si="35"/>
        <v>100</v>
      </c>
      <c r="I473" s="157"/>
      <c r="J473" s="158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</row>
    <row r="474" spans="1:26" ht="16.5">
      <c r="A474" s="126" t="s">
        <v>128</v>
      </c>
      <c r="C474" s="160">
        <f t="shared" si="30"/>
        <v>3</v>
      </c>
      <c r="D474" s="160">
        <f t="shared" si="31"/>
        <v>125</v>
      </c>
      <c r="E474" s="160">
        <f t="shared" si="32"/>
        <v>19.5</v>
      </c>
      <c r="F474" s="160">
        <f t="shared" si="33"/>
        <v>45</v>
      </c>
      <c r="G474" s="160">
        <f t="shared" si="34"/>
        <v>37.979999999999997</v>
      </c>
      <c r="H474" s="157">
        <f t="shared" si="35"/>
        <v>101</v>
      </c>
      <c r="I474" s="157"/>
      <c r="J474" s="158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</row>
    <row r="475" spans="1:26" ht="16.5">
      <c r="A475" s="126" t="s">
        <v>128</v>
      </c>
      <c r="B475" s="126" t="s">
        <v>58</v>
      </c>
      <c r="C475" s="160">
        <f t="shared" si="30"/>
        <v>1</v>
      </c>
      <c r="D475" s="160">
        <f t="shared" si="31"/>
        <v>125</v>
      </c>
      <c r="E475" s="160">
        <f t="shared" si="32"/>
        <v>6.25</v>
      </c>
      <c r="F475" s="160">
        <f t="shared" si="33"/>
        <v>30</v>
      </c>
      <c r="G475" s="160">
        <f t="shared" si="34"/>
        <v>28.5</v>
      </c>
      <c r="H475" s="157">
        <f t="shared" si="35"/>
        <v>112</v>
      </c>
      <c r="I475" s="157"/>
      <c r="J475" s="158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</row>
    <row r="476" spans="1:26" ht="16.5">
      <c r="A476" s="126" t="s">
        <v>128</v>
      </c>
      <c r="B476" s="126"/>
      <c r="C476" s="160">
        <f t="shared" si="30"/>
        <v>0</v>
      </c>
      <c r="D476" s="160">
        <f t="shared" si="31"/>
        <v>125</v>
      </c>
      <c r="E476" s="160">
        <f t="shared" si="32"/>
        <v>0</v>
      </c>
      <c r="F476" s="160">
        <f t="shared" si="33"/>
        <v>0</v>
      </c>
      <c r="G476" s="160">
        <f t="shared" si="34"/>
        <v>0</v>
      </c>
      <c r="H476" s="157">
        <f t="shared" si="35"/>
        <v>113</v>
      </c>
      <c r="I476" s="157"/>
      <c r="J476" s="158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</row>
    <row r="477" spans="1:26" ht="16.5">
      <c r="A477" s="126" t="s">
        <v>128</v>
      </c>
      <c r="B477" s="126" t="s">
        <v>123</v>
      </c>
      <c r="C477" s="160">
        <f>SUM(C467:C476)</f>
        <v>22462</v>
      </c>
      <c r="D477" s="157">
        <f>MAX(D467:D476)</f>
        <v>125</v>
      </c>
      <c r="E477" s="158">
        <f>SUMPRODUCT(E467:E476,G467:G476)/G477</f>
        <v>17.579005175236759</v>
      </c>
      <c r="F477" s="160">
        <f>SUM(F467:F476)</f>
        <v>22986.914000000001</v>
      </c>
      <c r="G477" s="160">
        <f>SUM(G467:G476)</f>
        <v>19752.920880639998</v>
      </c>
      <c r="H477" s="157"/>
      <c r="I477" s="157"/>
      <c r="J477" s="158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</row>
    <row r="478" spans="1:26" ht="16.5">
      <c r="A478" s="126" t="s">
        <v>128</v>
      </c>
      <c r="B478" s="126" t="s">
        <v>124</v>
      </c>
      <c r="C478" s="157"/>
      <c r="D478" s="157"/>
      <c r="E478" s="158"/>
      <c r="F478" s="157"/>
      <c r="G478" s="157"/>
      <c r="H478" s="157"/>
      <c r="I478" s="157"/>
      <c r="J478" s="158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</row>
    <row r="479" spans="1:26" ht="16.5">
      <c r="A479" s="126" t="s">
        <v>128</v>
      </c>
      <c r="B479" s="126" t="s">
        <v>119</v>
      </c>
      <c r="C479" s="160">
        <f>INDEX($C$121:$C$318,$H479)</f>
        <v>5640</v>
      </c>
      <c r="D479" s="160">
        <f>INDEX($G$121:$G$318,$H479)</f>
        <v>65</v>
      </c>
      <c r="E479" s="160">
        <f>INDEX($F$121:$F$318,$H479)</f>
        <v>59.85</v>
      </c>
      <c r="F479" s="160">
        <f>INDEX($E$121:$E$318,$H479)</f>
        <v>5380.56</v>
      </c>
      <c r="G479" s="160">
        <f>INDEX($J$121:$J$318,$H479)</f>
        <v>3795.1986904615387</v>
      </c>
      <c r="H479" s="157">
        <f>H467+3</f>
        <v>67</v>
      </c>
      <c r="I479" s="157"/>
      <c r="J479" s="158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</row>
    <row r="480" spans="1:26" ht="16.5">
      <c r="A480" s="126" t="s">
        <v>128</v>
      </c>
      <c r="C480" s="160">
        <f t="shared" ref="C480:C488" si="36">INDEX($C$121:$C$318,$H480)</f>
        <v>11</v>
      </c>
      <c r="D480" s="160">
        <f t="shared" ref="D480:D488" si="37">INDEX($G$121:$G$318,$H480)</f>
        <v>70</v>
      </c>
      <c r="E480" s="160">
        <f t="shared" ref="E480:E488" si="38">INDEX($F$121:$F$318,$H480)</f>
        <v>35</v>
      </c>
      <c r="F480" s="160">
        <f t="shared" ref="F480:F488" si="39">INDEX($E$121:$E$318,$H480)</f>
        <v>10.494</v>
      </c>
      <c r="G480" s="160">
        <f t="shared" ref="G480:G488" si="40">INDEX($J$121:$J$318,$H480)</f>
        <v>5.2469999999999999</v>
      </c>
      <c r="H480" s="157">
        <f t="shared" ref="H480:H488" si="41">H468+3</f>
        <v>68</v>
      </c>
      <c r="I480" s="157"/>
      <c r="J480" s="158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</row>
    <row r="481" spans="1:26" ht="16.5">
      <c r="A481" s="126" t="s">
        <v>128</v>
      </c>
      <c r="B481" s="126" t="s">
        <v>120</v>
      </c>
      <c r="C481" s="160">
        <f t="shared" si="36"/>
        <v>126</v>
      </c>
      <c r="D481" s="160">
        <f t="shared" si="37"/>
        <v>65</v>
      </c>
      <c r="E481" s="160">
        <f t="shared" si="38"/>
        <v>59.85</v>
      </c>
      <c r="F481" s="160">
        <f t="shared" si="39"/>
        <v>252</v>
      </c>
      <c r="G481" s="160">
        <f t="shared" si="40"/>
        <v>177.74916923076924</v>
      </c>
      <c r="H481" s="157">
        <f t="shared" si="41"/>
        <v>79</v>
      </c>
      <c r="I481" s="157"/>
      <c r="J481" s="158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</row>
    <row r="482" spans="1:26" ht="16.5">
      <c r="A482" s="126" t="s">
        <v>128</v>
      </c>
      <c r="C482" s="160">
        <f t="shared" si="36"/>
        <v>0</v>
      </c>
      <c r="D482" s="160">
        <f t="shared" si="37"/>
        <v>70</v>
      </c>
      <c r="E482" s="160">
        <f t="shared" si="38"/>
        <v>0</v>
      </c>
      <c r="F482" s="160">
        <f t="shared" si="39"/>
        <v>0</v>
      </c>
      <c r="G482" s="160">
        <f t="shared" si="40"/>
        <v>0</v>
      </c>
      <c r="H482" s="157">
        <f t="shared" si="41"/>
        <v>80</v>
      </c>
      <c r="I482" s="157"/>
      <c r="J482" s="158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</row>
    <row r="483" spans="1:26" ht="16.5">
      <c r="A483" s="126" t="s">
        <v>128</v>
      </c>
      <c r="B483" s="126" t="s">
        <v>121</v>
      </c>
      <c r="C483" s="160">
        <f t="shared" si="36"/>
        <v>0</v>
      </c>
      <c r="D483" s="160">
        <f t="shared" si="37"/>
        <v>65</v>
      </c>
      <c r="E483" s="160">
        <f t="shared" si="38"/>
        <v>0</v>
      </c>
      <c r="F483" s="160">
        <f t="shared" si="39"/>
        <v>0</v>
      </c>
      <c r="G483" s="160">
        <f t="shared" si="40"/>
        <v>0</v>
      </c>
      <c r="H483" s="157">
        <f t="shared" si="41"/>
        <v>91</v>
      </c>
      <c r="I483" s="157"/>
      <c r="J483" s="158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</row>
    <row r="484" spans="1:26" ht="16.5">
      <c r="A484" s="126" t="s">
        <v>128</v>
      </c>
      <c r="C484" s="160">
        <f t="shared" si="36"/>
        <v>0</v>
      </c>
      <c r="D484" s="160">
        <f t="shared" si="37"/>
        <v>70</v>
      </c>
      <c r="E484" s="160">
        <f t="shared" si="38"/>
        <v>0</v>
      </c>
      <c r="F484" s="160">
        <f t="shared" si="39"/>
        <v>0</v>
      </c>
      <c r="G484" s="160">
        <f t="shared" si="40"/>
        <v>0</v>
      </c>
      <c r="H484" s="157">
        <f t="shared" si="41"/>
        <v>92</v>
      </c>
      <c r="I484" s="157"/>
      <c r="J484" s="158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</row>
    <row r="485" spans="1:26" ht="16.5">
      <c r="A485" s="126" t="s">
        <v>128</v>
      </c>
      <c r="B485" s="126" t="s">
        <v>122</v>
      </c>
      <c r="C485" s="160">
        <f t="shared" si="36"/>
        <v>0</v>
      </c>
      <c r="D485" s="160">
        <f t="shared" si="37"/>
        <v>65</v>
      </c>
      <c r="E485" s="160">
        <f t="shared" si="38"/>
        <v>0</v>
      </c>
      <c r="F485" s="160">
        <f t="shared" si="39"/>
        <v>0</v>
      </c>
      <c r="G485" s="160">
        <f t="shared" si="40"/>
        <v>0</v>
      </c>
      <c r="H485" s="157">
        <f t="shared" si="41"/>
        <v>103</v>
      </c>
      <c r="I485" s="157"/>
      <c r="J485" s="158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</row>
    <row r="486" spans="1:26" ht="16.5">
      <c r="A486" s="126" t="s">
        <v>128</v>
      </c>
      <c r="C486" s="160">
        <f t="shared" si="36"/>
        <v>0</v>
      </c>
      <c r="D486" s="160">
        <f t="shared" si="37"/>
        <v>70</v>
      </c>
      <c r="E486" s="160">
        <f t="shared" si="38"/>
        <v>0</v>
      </c>
      <c r="F486" s="160">
        <f t="shared" si="39"/>
        <v>0</v>
      </c>
      <c r="G486" s="160">
        <f t="shared" si="40"/>
        <v>0</v>
      </c>
      <c r="H486" s="157">
        <f t="shared" si="41"/>
        <v>104</v>
      </c>
      <c r="I486" s="157"/>
      <c r="J486" s="158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</row>
    <row r="487" spans="1:26" ht="16.5">
      <c r="A487" s="126" t="s">
        <v>128</v>
      </c>
      <c r="B487" s="126" t="s">
        <v>58</v>
      </c>
      <c r="C487" s="160">
        <f t="shared" si="36"/>
        <v>0</v>
      </c>
      <c r="D487" s="160">
        <f t="shared" si="37"/>
        <v>65</v>
      </c>
      <c r="E487" s="160">
        <f t="shared" si="38"/>
        <v>0</v>
      </c>
      <c r="F487" s="160">
        <f t="shared" si="39"/>
        <v>0</v>
      </c>
      <c r="G487" s="160">
        <f t="shared" si="40"/>
        <v>0</v>
      </c>
      <c r="H487" s="157">
        <f t="shared" si="41"/>
        <v>115</v>
      </c>
      <c r="I487" s="157"/>
      <c r="J487" s="158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</row>
    <row r="488" spans="1:26" ht="16.5">
      <c r="A488" s="126" t="s">
        <v>128</v>
      </c>
      <c r="B488" s="126"/>
      <c r="C488" s="160">
        <f t="shared" si="36"/>
        <v>0</v>
      </c>
      <c r="D488" s="160">
        <f t="shared" si="37"/>
        <v>70</v>
      </c>
      <c r="E488" s="160">
        <f t="shared" si="38"/>
        <v>0</v>
      </c>
      <c r="F488" s="160">
        <f t="shared" si="39"/>
        <v>0</v>
      </c>
      <c r="G488" s="160">
        <f t="shared" si="40"/>
        <v>0</v>
      </c>
      <c r="H488" s="157">
        <f t="shared" si="41"/>
        <v>116</v>
      </c>
      <c r="I488" s="157"/>
      <c r="J488" s="158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</row>
    <row r="489" spans="1:26" ht="16.5">
      <c r="A489" s="126" t="s">
        <v>128</v>
      </c>
      <c r="B489" s="126" t="s">
        <v>125</v>
      </c>
      <c r="C489" s="160">
        <f>SUM(C479:C488)</f>
        <v>5777</v>
      </c>
      <c r="D489" s="157">
        <f>MAX(D479:D488)</f>
        <v>70</v>
      </c>
      <c r="E489" s="158">
        <f>SUMPRODUCT(E479:E488,G479:G488)/G489</f>
        <v>59.817224343050377</v>
      </c>
      <c r="F489" s="160">
        <f>SUM(F479:F488)</f>
        <v>5643.0540000000001</v>
      </c>
      <c r="G489" s="160">
        <f>SUM(G479:G488)</f>
        <v>3978.194859692308</v>
      </c>
      <c r="H489" s="157"/>
      <c r="I489" s="157"/>
      <c r="J489" s="158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</row>
    <row r="490" spans="1:26" ht="16.5">
      <c r="A490" s="126" t="s">
        <v>128</v>
      </c>
      <c r="B490" s="126" t="s">
        <v>126</v>
      </c>
      <c r="C490" s="157"/>
      <c r="D490" s="157"/>
      <c r="E490" s="158"/>
      <c r="F490" s="157"/>
      <c r="G490" s="157"/>
      <c r="H490" s="157"/>
      <c r="I490" s="157"/>
      <c r="J490" s="158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</row>
    <row r="491" spans="1:26" ht="16.5">
      <c r="A491" s="126" t="s">
        <v>128</v>
      </c>
      <c r="B491" s="126" t="s">
        <v>119</v>
      </c>
      <c r="C491" s="160">
        <f>INDEX($C$121:$C$318,$H491)</f>
        <v>31365</v>
      </c>
      <c r="D491" s="160">
        <f>INDEX($G$121:$G$318,$H491)</f>
        <v>70</v>
      </c>
      <c r="E491" s="160">
        <f>INDEX($F$121:$F$318,$H491)</f>
        <v>11.208</v>
      </c>
      <c r="F491" s="160">
        <f>INDEX($E$121:$E$318,$H491)</f>
        <v>29922.21</v>
      </c>
      <c r="G491" s="160">
        <f>INDEX($J$121:$J$318,$H491)</f>
        <v>25131.236718857144</v>
      </c>
      <c r="H491" s="157">
        <f>H479+3</f>
        <v>70</v>
      </c>
      <c r="I491" s="157"/>
      <c r="J491" s="158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</row>
    <row r="492" spans="1:26" ht="16.5">
      <c r="A492" s="126" t="s">
        <v>128</v>
      </c>
      <c r="C492" s="160">
        <f t="shared" ref="C492:C500" si="42">INDEX($C$121:$C$318,$H492)</f>
        <v>602</v>
      </c>
      <c r="D492" s="160">
        <f t="shared" ref="D492:D500" si="43">INDEX($G$121:$G$318,$H492)</f>
        <v>65</v>
      </c>
      <c r="E492" s="160">
        <f t="shared" ref="E492:E500" si="44">INDEX($F$121:$F$318,$H492)</f>
        <v>11.6</v>
      </c>
      <c r="F492" s="160">
        <f t="shared" ref="F492:F500" si="45">INDEX($E$121:$E$318,$H492)</f>
        <v>574.30799999999999</v>
      </c>
      <c r="G492" s="160">
        <f t="shared" ref="G492:G500" si="46">INDEX($J$121:$J$318,$H492)</f>
        <v>471.81611076923076</v>
      </c>
      <c r="H492" s="157">
        <f t="shared" ref="H492:H500" si="47">H480+3</f>
        <v>71</v>
      </c>
      <c r="I492" s="157"/>
      <c r="J492" s="158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</row>
    <row r="493" spans="1:26" ht="16.5">
      <c r="A493" s="126" t="s">
        <v>128</v>
      </c>
      <c r="B493" s="126" t="s">
        <v>120</v>
      </c>
      <c r="C493" s="160">
        <f t="shared" si="42"/>
        <v>701</v>
      </c>
      <c r="D493" s="160">
        <f t="shared" si="43"/>
        <v>70</v>
      </c>
      <c r="E493" s="160">
        <f t="shared" si="44"/>
        <v>11.21</v>
      </c>
      <c r="F493" s="160">
        <f t="shared" si="45"/>
        <v>1402</v>
      </c>
      <c r="G493" s="160">
        <f t="shared" si="46"/>
        <v>1177.4797142857144</v>
      </c>
      <c r="H493" s="157">
        <f t="shared" si="47"/>
        <v>82</v>
      </c>
      <c r="I493" s="157"/>
      <c r="J493" s="158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</row>
    <row r="494" spans="1:26" ht="16.5">
      <c r="A494" s="126" t="s">
        <v>128</v>
      </c>
      <c r="C494" s="160">
        <f t="shared" si="42"/>
        <v>22</v>
      </c>
      <c r="D494" s="160">
        <f t="shared" si="43"/>
        <v>65</v>
      </c>
      <c r="E494" s="160">
        <f t="shared" si="44"/>
        <v>11.6</v>
      </c>
      <c r="F494" s="160">
        <f t="shared" si="45"/>
        <v>44</v>
      </c>
      <c r="G494" s="160">
        <f t="shared" si="46"/>
        <v>36.147692307692303</v>
      </c>
      <c r="H494" s="157">
        <f t="shared" si="47"/>
        <v>83</v>
      </c>
      <c r="I494" s="157"/>
      <c r="J494" s="158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</row>
    <row r="495" spans="1:26" ht="16.5">
      <c r="A495" s="126" t="s">
        <v>128</v>
      </c>
      <c r="B495" s="126" t="s">
        <v>121</v>
      </c>
      <c r="C495" s="160">
        <f t="shared" si="42"/>
        <v>253</v>
      </c>
      <c r="D495" s="160">
        <f t="shared" si="43"/>
        <v>70</v>
      </c>
      <c r="E495" s="160">
        <f t="shared" si="44"/>
        <v>11.205</v>
      </c>
      <c r="F495" s="160">
        <f t="shared" si="45"/>
        <v>1265</v>
      </c>
      <c r="G495" s="160">
        <f t="shared" si="46"/>
        <v>1062.509642857143</v>
      </c>
      <c r="H495" s="157">
        <f t="shared" si="47"/>
        <v>94</v>
      </c>
      <c r="I495" s="157"/>
      <c r="J495" s="158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</row>
    <row r="496" spans="1:26" ht="16.5">
      <c r="A496" s="126" t="s">
        <v>128</v>
      </c>
      <c r="C496" s="160">
        <f t="shared" si="42"/>
        <v>4</v>
      </c>
      <c r="D496" s="160">
        <f t="shared" si="43"/>
        <v>65</v>
      </c>
      <c r="E496" s="160">
        <f t="shared" si="44"/>
        <v>11.3</v>
      </c>
      <c r="F496" s="160">
        <f t="shared" si="45"/>
        <v>20</v>
      </c>
      <c r="G496" s="160">
        <f t="shared" si="46"/>
        <v>16.523076923076925</v>
      </c>
      <c r="H496" s="157">
        <f t="shared" si="47"/>
        <v>95</v>
      </c>
      <c r="I496" s="157"/>
      <c r="J496" s="158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</row>
    <row r="497" spans="1:26" ht="16.5">
      <c r="A497" s="126" t="s">
        <v>128</v>
      </c>
      <c r="B497" s="126" t="s">
        <v>122</v>
      </c>
      <c r="C497" s="160">
        <f t="shared" si="42"/>
        <v>28</v>
      </c>
      <c r="D497" s="160">
        <f t="shared" si="43"/>
        <v>70</v>
      </c>
      <c r="E497" s="160">
        <f t="shared" si="44"/>
        <v>10.9</v>
      </c>
      <c r="F497" s="160">
        <f t="shared" si="45"/>
        <v>420</v>
      </c>
      <c r="G497" s="160">
        <f t="shared" si="46"/>
        <v>354.6</v>
      </c>
      <c r="H497" s="157">
        <f t="shared" si="47"/>
        <v>106</v>
      </c>
      <c r="I497" s="157"/>
      <c r="J497" s="158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</row>
    <row r="498" spans="1:26" ht="16.5">
      <c r="A498" s="126" t="s">
        <v>128</v>
      </c>
      <c r="C498" s="160">
        <f t="shared" si="42"/>
        <v>1</v>
      </c>
      <c r="D498" s="160">
        <f t="shared" si="43"/>
        <v>65</v>
      </c>
      <c r="E498" s="160">
        <f t="shared" si="44"/>
        <v>20</v>
      </c>
      <c r="F498" s="160">
        <f t="shared" si="45"/>
        <v>15</v>
      </c>
      <c r="G498" s="160">
        <f t="shared" si="46"/>
        <v>10.384615384615385</v>
      </c>
      <c r="H498" s="157">
        <f t="shared" si="47"/>
        <v>107</v>
      </c>
      <c r="I498" s="157"/>
      <c r="J498" s="158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</row>
    <row r="499" spans="1:26" ht="16.5">
      <c r="A499" s="126" t="s">
        <v>128</v>
      </c>
      <c r="B499" s="126" t="s">
        <v>58</v>
      </c>
      <c r="C499" s="160">
        <f t="shared" si="42"/>
        <v>2</v>
      </c>
      <c r="D499" s="160">
        <f t="shared" si="43"/>
        <v>70</v>
      </c>
      <c r="E499" s="160">
        <f t="shared" si="44"/>
        <v>13.25</v>
      </c>
      <c r="F499" s="160">
        <f t="shared" si="45"/>
        <v>60</v>
      </c>
      <c r="G499" s="160">
        <f t="shared" si="46"/>
        <v>48.642857142857146</v>
      </c>
      <c r="H499" s="157">
        <f t="shared" si="47"/>
        <v>118</v>
      </c>
      <c r="I499" s="157"/>
      <c r="J499" s="158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</row>
    <row r="500" spans="1:26" ht="16.5">
      <c r="A500" s="126" t="s">
        <v>128</v>
      </c>
      <c r="B500" s="126"/>
      <c r="C500" s="160">
        <f t="shared" si="42"/>
        <v>0</v>
      </c>
      <c r="D500" s="160">
        <f t="shared" si="43"/>
        <v>65</v>
      </c>
      <c r="E500" s="160">
        <f t="shared" si="44"/>
        <v>0</v>
      </c>
      <c r="F500" s="160">
        <f t="shared" si="45"/>
        <v>0</v>
      </c>
      <c r="G500" s="160">
        <f t="shared" si="46"/>
        <v>0</v>
      </c>
      <c r="H500" s="157">
        <f t="shared" si="47"/>
        <v>119</v>
      </c>
      <c r="I500" s="157"/>
      <c r="J500" s="158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</row>
    <row r="501" spans="1:26" ht="16.5">
      <c r="A501" s="126" t="s">
        <v>128</v>
      </c>
      <c r="B501" s="126" t="s">
        <v>127</v>
      </c>
      <c r="C501" s="160">
        <f>SUM(C491:C500)</f>
        <v>32978</v>
      </c>
      <c r="D501" s="157">
        <f>MAX(D491:D500)</f>
        <v>70</v>
      </c>
      <c r="E501" s="158">
        <f>SUMPRODUCT(E491:E500,G491:G500)/G501</f>
        <v>11.217933923322601</v>
      </c>
      <c r="F501" s="160">
        <f>SUM(F491:F500)</f>
        <v>33722.517999999996</v>
      </c>
      <c r="G501" s="160">
        <f>SUM(G491:G500)</f>
        <v>28309.340428527474</v>
      </c>
      <c r="H501" s="157"/>
      <c r="I501" s="157"/>
      <c r="J501" s="158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</row>
    <row r="502" spans="1:26" ht="16.5">
      <c r="A502" s="126" t="s">
        <v>129</v>
      </c>
      <c r="B502" s="126" t="s">
        <v>48</v>
      </c>
      <c r="C502" s="157"/>
      <c r="D502" s="157"/>
      <c r="E502" s="158"/>
      <c r="F502" s="157"/>
      <c r="G502" s="157"/>
      <c r="H502" s="157"/>
      <c r="I502" s="157"/>
      <c r="J502" s="158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</row>
    <row r="503" spans="1:26" ht="16.5">
      <c r="A503" s="126" t="s">
        <v>129</v>
      </c>
      <c r="B503" s="126" t="s">
        <v>119</v>
      </c>
      <c r="C503" s="160">
        <f>INDEX($C$121:$C$318,$H503)</f>
        <v>45800</v>
      </c>
      <c r="D503" s="160">
        <f>INDEX($G$121:$G$318,$H503)</f>
        <v>125</v>
      </c>
      <c r="E503" s="160">
        <f>INDEX($F$121:$F$318,$H503)</f>
        <v>22.952000000000002</v>
      </c>
      <c r="F503" s="160">
        <f>INDEX($E$121:$E$318,$H503)</f>
        <v>43693.2</v>
      </c>
      <c r="G503" s="160">
        <f>INDEX($J$121:$J$318,$H503)</f>
        <v>35670.429388800003</v>
      </c>
      <c r="H503" s="161">
        <v>127</v>
      </c>
      <c r="I503" s="157"/>
      <c r="J503" s="158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</row>
    <row r="504" spans="1:26" ht="16.5">
      <c r="A504" s="126" t="s">
        <v>129</v>
      </c>
      <c r="C504" s="160">
        <f t="shared" ref="C504:C512" si="48">INDEX($C$121:$C$318,$H504)</f>
        <v>2403</v>
      </c>
      <c r="D504" s="160">
        <f t="shared" ref="D504:D512" si="49">INDEX($G$121:$G$318,$H504)</f>
        <v>125</v>
      </c>
      <c r="E504" s="160">
        <f t="shared" ref="E504:E512" si="50">INDEX($F$121:$F$318,$H504)</f>
        <v>21.45</v>
      </c>
      <c r="F504" s="160">
        <f t="shared" ref="F504:F512" si="51">INDEX($E$121:$E$318,$H504)</f>
        <v>2292.462</v>
      </c>
      <c r="G504" s="160">
        <f t="shared" ref="G504:G512" si="52">INDEX($J$121:$J$318,$H504)</f>
        <v>1899.0755207999998</v>
      </c>
      <c r="H504" s="157">
        <f>H503+1</f>
        <v>128</v>
      </c>
      <c r="I504" s="157"/>
      <c r="J504" s="158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</row>
    <row r="505" spans="1:26" ht="16.5">
      <c r="A505" s="126" t="s">
        <v>129</v>
      </c>
      <c r="B505" s="126" t="s">
        <v>120</v>
      </c>
      <c r="C505" s="160">
        <f t="shared" si="48"/>
        <v>1024</v>
      </c>
      <c r="D505" s="160">
        <f t="shared" si="49"/>
        <v>125</v>
      </c>
      <c r="E505" s="160">
        <f t="shared" si="50"/>
        <v>23</v>
      </c>
      <c r="F505" s="160">
        <f t="shared" si="51"/>
        <v>2048</v>
      </c>
      <c r="G505" s="160">
        <f t="shared" si="52"/>
        <v>1671.1679999999999</v>
      </c>
      <c r="H505" s="157">
        <f>H503+12</f>
        <v>139</v>
      </c>
      <c r="I505" s="157"/>
      <c r="J505" s="158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</row>
    <row r="506" spans="1:26" ht="16.5">
      <c r="A506" s="126" t="s">
        <v>129</v>
      </c>
      <c r="C506" s="160">
        <f t="shared" si="48"/>
        <v>140</v>
      </c>
      <c r="D506" s="160">
        <f t="shared" si="49"/>
        <v>125</v>
      </c>
      <c r="E506" s="160">
        <f t="shared" si="50"/>
        <v>21</v>
      </c>
      <c r="F506" s="160">
        <f t="shared" si="51"/>
        <v>280</v>
      </c>
      <c r="G506" s="160">
        <f t="shared" si="52"/>
        <v>232.96</v>
      </c>
      <c r="H506" s="157">
        <f t="shared" ref="H506:H512" si="53">H504+12</f>
        <v>140</v>
      </c>
      <c r="I506" s="157"/>
      <c r="J506" s="158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</row>
    <row r="507" spans="1:26" ht="16.5">
      <c r="A507" s="126" t="s">
        <v>129</v>
      </c>
      <c r="B507" s="126" t="s">
        <v>121</v>
      </c>
      <c r="C507" s="160">
        <f t="shared" si="48"/>
        <v>331</v>
      </c>
      <c r="D507" s="160">
        <f t="shared" si="49"/>
        <v>125</v>
      </c>
      <c r="E507" s="160">
        <f t="shared" si="50"/>
        <v>23</v>
      </c>
      <c r="F507" s="160">
        <f t="shared" si="51"/>
        <v>1655</v>
      </c>
      <c r="G507" s="160">
        <f t="shared" si="52"/>
        <v>1350.4799999999998</v>
      </c>
      <c r="H507" s="157">
        <f t="shared" si="53"/>
        <v>151</v>
      </c>
      <c r="I507" s="157"/>
      <c r="J507" s="158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</row>
    <row r="508" spans="1:26" ht="16.5">
      <c r="A508" s="126" t="s">
        <v>129</v>
      </c>
      <c r="C508" s="160">
        <f t="shared" si="48"/>
        <v>24</v>
      </c>
      <c r="D508" s="160">
        <f t="shared" si="49"/>
        <v>125</v>
      </c>
      <c r="E508" s="160">
        <f t="shared" si="50"/>
        <v>20</v>
      </c>
      <c r="F508" s="160">
        <f t="shared" si="51"/>
        <v>120</v>
      </c>
      <c r="G508" s="160">
        <f t="shared" si="52"/>
        <v>100.8</v>
      </c>
      <c r="H508" s="157">
        <f t="shared" si="53"/>
        <v>152</v>
      </c>
      <c r="I508" s="157"/>
      <c r="J508" s="158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</row>
    <row r="509" spans="1:26" ht="16.5">
      <c r="A509" s="126" t="s">
        <v>129</v>
      </c>
      <c r="B509" s="126" t="s">
        <v>122</v>
      </c>
      <c r="C509" s="160">
        <f t="shared" si="48"/>
        <v>34</v>
      </c>
      <c r="D509" s="160">
        <f t="shared" si="49"/>
        <v>125</v>
      </c>
      <c r="E509" s="160">
        <f t="shared" si="50"/>
        <v>22.91</v>
      </c>
      <c r="F509" s="160">
        <f t="shared" si="51"/>
        <v>510</v>
      </c>
      <c r="G509" s="160">
        <f t="shared" si="52"/>
        <v>416.52719999999994</v>
      </c>
      <c r="H509" s="157">
        <f t="shared" si="53"/>
        <v>163</v>
      </c>
      <c r="I509" s="157"/>
      <c r="J509" s="158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</row>
    <row r="510" spans="1:26" ht="16.5">
      <c r="A510" s="126" t="s">
        <v>129</v>
      </c>
      <c r="C510" s="160">
        <f t="shared" si="48"/>
        <v>10</v>
      </c>
      <c r="D510" s="160">
        <f t="shared" si="49"/>
        <v>125</v>
      </c>
      <c r="E510" s="160">
        <f t="shared" si="50"/>
        <v>37.5</v>
      </c>
      <c r="F510" s="160">
        <f t="shared" si="51"/>
        <v>150</v>
      </c>
      <c r="G510" s="160">
        <f t="shared" si="52"/>
        <v>105</v>
      </c>
      <c r="H510" s="157">
        <f t="shared" si="53"/>
        <v>164</v>
      </c>
      <c r="I510" s="157"/>
      <c r="J510" s="158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</row>
    <row r="511" spans="1:26" ht="16.5">
      <c r="A511" s="126" t="s">
        <v>129</v>
      </c>
      <c r="B511" s="126" t="s">
        <v>58</v>
      </c>
      <c r="C511" s="160">
        <f t="shared" si="48"/>
        <v>11</v>
      </c>
      <c r="D511" s="160">
        <f t="shared" si="49"/>
        <v>125</v>
      </c>
      <c r="E511" s="160">
        <f t="shared" si="50"/>
        <v>26.5</v>
      </c>
      <c r="F511" s="160">
        <f t="shared" si="51"/>
        <v>330</v>
      </c>
      <c r="G511" s="160">
        <f t="shared" si="52"/>
        <v>260.04000000000002</v>
      </c>
      <c r="H511" s="157">
        <f t="shared" si="53"/>
        <v>175</v>
      </c>
      <c r="I511" s="157"/>
      <c r="J511" s="158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</row>
    <row r="512" spans="1:26" ht="16.5">
      <c r="A512" s="126" t="s">
        <v>129</v>
      </c>
      <c r="B512" s="126"/>
      <c r="C512" s="160">
        <f t="shared" si="48"/>
        <v>4</v>
      </c>
      <c r="D512" s="160">
        <f t="shared" si="49"/>
        <v>125</v>
      </c>
      <c r="E512" s="160">
        <f t="shared" si="50"/>
        <v>52.75</v>
      </c>
      <c r="F512" s="160">
        <f t="shared" si="51"/>
        <v>120</v>
      </c>
      <c r="G512" s="160">
        <f t="shared" si="52"/>
        <v>69.36</v>
      </c>
      <c r="H512" s="157">
        <f t="shared" si="53"/>
        <v>176</v>
      </c>
      <c r="I512" s="157"/>
      <c r="J512" s="158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</row>
    <row r="513" spans="1:26" ht="16.5">
      <c r="A513" s="126" t="s">
        <v>129</v>
      </c>
      <c r="B513" s="126" t="s">
        <v>123</v>
      </c>
      <c r="C513" s="160">
        <f>SUM(C503:C512)</f>
        <v>49781</v>
      </c>
      <c r="D513" s="157">
        <f>MAX(D503:D512)</f>
        <v>125</v>
      </c>
      <c r="E513" s="158">
        <f>SUMPRODUCT(E503:E512,G503:G512)/G513</f>
        <v>22.976889630145813</v>
      </c>
      <c r="F513" s="160">
        <f>SUM(F503:F512)</f>
        <v>51198.661999999997</v>
      </c>
      <c r="G513" s="160">
        <f>SUM(G503:G512)</f>
        <v>41775.840109600002</v>
      </c>
      <c r="H513" s="157"/>
      <c r="I513" s="157"/>
      <c r="J513" s="158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</row>
    <row r="514" spans="1:26" ht="16.5">
      <c r="A514" s="126" t="s">
        <v>129</v>
      </c>
      <c r="B514" s="126" t="s">
        <v>124</v>
      </c>
      <c r="C514" s="157"/>
      <c r="D514" s="157"/>
      <c r="E514" s="158"/>
      <c r="F514" s="157"/>
      <c r="G514" s="157"/>
      <c r="H514" s="157"/>
      <c r="I514" s="157"/>
      <c r="J514" s="158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</row>
    <row r="515" spans="1:26" ht="16.5">
      <c r="A515" s="126" t="s">
        <v>129</v>
      </c>
      <c r="B515" s="126" t="s">
        <v>119</v>
      </c>
      <c r="C515" s="160">
        <f>INDEX($C$121:$C$318,$H515)</f>
        <v>35</v>
      </c>
      <c r="D515" s="160">
        <f>INDEX($G$121:$G$318,$H515)</f>
        <v>65</v>
      </c>
      <c r="E515" s="160">
        <f>INDEX($F$121:$F$318,$H515)</f>
        <v>23.65</v>
      </c>
      <c r="F515" s="160">
        <f>INDEX($E$121:$E$318,$H515)</f>
        <v>33.39</v>
      </c>
      <c r="G515" s="160">
        <f>INDEX($J$121:$J$318,$H515)</f>
        <v>29.50237661538462</v>
      </c>
      <c r="H515" s="157">
        <f>H503+3</f>
        <v>130</v>
      </c>
      <c r="I515" s="157"/>
      <c r="J515" s="158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</row>
    <row r="516" spans="1:26" ht="16.5">
      <c r="A516" s="126" t="s">
        <v>129</v>
      </c>
      <c r="C516" s="160">
        <f t="shared" ref="C516:C524" si="54">INDEX($C$121:$C$318,$H516)</f>
        <v>0</v>
      </c>
      <c r="D516" s="160">
        <f t="shared" ref="D516:D524" si="55">INDEX($G$121:$G$318,$H516)</f>
        <v>70</v>
      </c>
      <c r="E516" s="160">
        <f t="shared" ref="E516:E524" si="56">INDEX($F$121:$F$318,$H516)</f>
        <v>0</v>
      </c>
      <c r="F516" s="160">
        <f t="shared" ref="F516:F524" si="57">INDEX($E$121:$E$318,$H516)</f>
        <v>0</v>
      </c>
      <c r="G516" s="160">
        <f t="shared" ref="G516:G524" si="58">INDEX($J$121:$J$318,$H516)</f>
        <v>0</v>
      </c>
      <c r="H516" s="157">
        <f t="shared" ref="H516:H524" si="59">H504+3</f>
        <v>131</v>
      </c>
      <c r="I516" s="157"/>
      <c r="J516" s="158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</row>
    <row r="517" spans="1:26" ht="16.5">
      <c r="A517" s="126" t="s">
        <v>129</v>
      </c>
      <c r="B517" s="126" t="s">
        <v>120</v>
      </c>
      <c r="C517" s="160">
        <f t="shared" si="54"/>
        <v>1</v>
      </c>
      <c r="D517" s="160">
        <f t="shared" si="55"/>
        <v>65</v>
      </c>
      <c r="E517" s="160">
        <f t="shared" si="56"/>
        <v>50.8</v>
      </c>
      <c r="F517" s="160">
        <f t="shared" si="57"/>
        <v>2</v>
      </c>
      <c r="G517" s="160">
        <f t="shared" si="58"/>
        <v>1.4998153846153848</v>
      </c>
      <c r="H517" s="157">
        <f t="shared" si="59"/>
        <v>142</v>
      </c>
      <c r="I517" s="157"/>
      <c r="J517" s="158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</row>
    <row r="518" spans="1:26" ht="16.5">
      <c r="A518" s="126" t="s">
        <v>129</v>
      </c>
      <c r="C518" s="160">
        <f t="shared" si="54"/>
        <v>0</v>
      </c>
      <c r="D518" s="160">
        <f t="shared" si="55"/>
        <v>70</v>
      </c>
      <c r="E518" s="160">
        <f t="shared" si="56"/>
        <v>0</v>
      </c>
      <c r="F518" s="160">
        <f t="shared" si="57"/>
        <v>0</v>
      </c>
      <c r="G518" s="160">
        <f t="shared" si="58"/>
        <v>0</v>
      </c>
      <c r="H518" s="157">
        <f t="shared" si="59"/>
        <v>143</v>
      </c>
      <c r="I518" s="157"/>
      <c r="J518" s="158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</row>
    <row r="519" spans="1:26" ht="16.5">
      <c r="A519" s="126" t="s">
        <v>129</v>
      </c>
      <c r="B519" s="126" t="s">
        <v>121</v>
      </c>
      <c r="C519" s="160">
        <f t="shared" si="54"/>
        <v>0</v>
      </c>
      <c r="D519" s="160">
        <f t="shared" si="55"/>
        <v>65</v>
      </c>
      <c r="E519" s="160">
        <f t="shared" si="56"/>
        <v>0</v>
      </c>
      <c r="F519" s="160">
        <f t="shared" si="57"/>
        <v>0</v>
      </c>
      <c r="G519" s="160">
        <f t="shared" si="58"/>
        <v>0</v>
      </c>
      <c r="H519" s="157">
        <f t="shared" si="59"/>
        <v>154</v>
      </c>
      <c r="I519" s="157"/>
      <c r="J519" s="158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</row>
    <row r="520" spans="1:26" ht="16.5">
      <c r="A520" s="126" t="s">
        <v>129</v>
      </c>
      <c r="C520" s="160">
        <f t="shared" si="54"/>
        <v>0</v>
      </c>
      <c r="D520" s="160">
        <f t="shared" si="55"/>
        <v>70</v>
      </c>
      <c r="E520" s="160">
        <f t="shared" si="56"/>
        <v>0</v>
      </c>
      <c r="F520" s="160">
        <f t="shared" si="57"/>
        <v>0</v>
      </c>
      <c r="G520" s="160">
        <f t="shared" si="58"/>
        <v>0</v>
      </c>
      <c r="H520" s="157">
        <f t="shared" si="59"/>
        <v>155</v>
      </c>
      <c r="I520" s="157"/>
      <c r="J520" s="158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</row>
    <row r="521" spans="1:26" ht="16.5">
      <c r="A521" s="126" t="s">
        <v>129</v>
      </c>
      <c r="B521" s="126" t="s">
        <v>122</v>
      </c>
      <c r="C521" s="160">
        <f t="shared" si="54"/>
        <v>0</v>
      </c>
      <c r="D521" s="160">
        <f t="shared" si="55"/>
        <v>65</v>
      </c>
      <c r="E521" s="160">
        <f t="shared" si="56"/>
        <v>0</v>
      </c>
      <c r="F521" s="160">
        <f t="shared" si="57"/>
        <v>0</v>
      </c>
      <c r="G521" s="160">
        <f t="shared" si="58"/>
        <v>0</v>
      </c>
      <c r="H521" s="157">
        <f t="shared" si="59"/>
        <v>166</v>
      </c>
      <c r="I521" s="157"/>
      <c r="J521" s="158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</row>
    <row r="522" spans="1:26" ht="16.5">
      <c r="A522" s="126" t="s">
        <v>129</v>
      </c>
      <c r="C522" s="160">
        <f t="shared" si="54"/>
        <v>0</v>
      </c>
      <c r="D522" s="160">
        <f t="shared" si="55"/>
        <v>70</v>
      </c>
      <c r="E522" s="160">
        <f t="shared" si="56"/>
        <v>0</v>
      </c>
      <c r="F522" s="160">
        <f t="shared" si="57"/>
        <v>0</v>
      </c>
      <c r="G522" s="160">
        <f t="shared" si="58"/>
        <v>0</v>
      </c>
      <c r="H522" s="157">
        <f t="shared" si="59"/>
        <v>167</v>
      </c>
      <c r="I522" s="157"/>
      <c r="J522" s="158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</row>
    <row r="523" spans="1:26" ht="16.5">
      <c r="A523" s="126" t="s">
        <v>129</v>
      </c>
      <c r="B523" s="126" t="s">
        <v>58</v>
      </c>
      <c r="C523" s="160">
        <f t="shared" si="54"/>
        <v>0</v>
      </c>
      <c r="D523" s="160">
        <f t="shared" si="55"/>
        <v>65</v>
      </c>
      <c r="E523" s="160">
        <f t="shared" si="56"/>
        <v>0</v>
      </c>
      <c r="F523" s="160">
        <f t="shared" si="57"/>
        <v>0</v>
      </c>
      <c r="G523" s="160">
        <f t="shared" si="58"/>
        <v>0</v>
      </c>
      <c r="H523" s="157">
        <f t="shared" si="59"/>
        <v>178</v>
      </c>
      <c r="I523" s="157"/>
      <c r="J523" s="158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</row>
    <row r="524" spans="1:26" ht="16.5">
      <c r="A524" s="126" t="s">
        <v>129</v>
      </c>
      <c r="B524" s="126"/>
      <c r="C524" s="160">
        <f t="shared" si="54"/>
        <v>0</v>
      </c>
      <c r="D524" s="160">
        <f t="shared" si="55"/>
        <v>70</v>
      </c>
      <c r="E524" s="160">
        <f t="shared" si="56"/>
        <v>0</v>
      </c>
      <c r="F524" s="160">
        <f t="shared" si="57"/>
        <v>0</v>
      </c>
      <c r="G524" s="160">
        <f t="shared" si="58"/>
        <v>0</v>
      </c>
      <c r="H524" s="157">
        <f t="shared" si="59"/>
        <v>179</v>
      </c>
      <c r="I524" s="3"/>
      <c r="J524" s="5"/>
    </row>
    <row r="525" spans="1:26" ht="16.5">
      <c r="A525" s="126" t="s">
        <v>129</v>
      </c>
      <c r="B525" s="126" t="s">
        <v>125</v>
      </c>
      <c r="C525" s="160">
        <f>SUM(C515:C524)</f>
        <v>36</v>
      </c>
      <c r="D525" s="157">
        <f>MAX(D515:D524)</f>
        <v>70</v>
      </c>
      <c r="E525" s="158">
        <f>SUMPRODUCT(E515:E524,G515:G524)/G525</f>
        <v>24.963455116086877</v>
      </c>
      <c r="F525" s="160">
        <f>SUM(F515:F524)</f>
        <v>35.39</v>
      </c>
      <c r="G525" s="160">
        <f>SUM(G515:G524)</f>
        <v>31.002192000000004</v>
      </c>
      <c r="H525" s="157"/>
      <c r="I525" s="3"/>
      <c r="J525" s="5"/>
    </row>
    <row r="526" spans="1:26" ht="16.5">
      <c r="A526" s="126" t="s">
        <v>129</v>
      </c>
      <c r="B526" s="126" t="s">
        <v>126</v>
      </c>
      <c r="C526" s="157"/>
      <c r="D526" s="157"/>
      <c r="E526" s="158"/>
      <c r="F526" s="157"/>
      <c r="G526" s="157"/>
      <c r="H526" s="157"/>
      <c r="I526" s="3"/>
      <c r="J526" s="5"/>
    </row>
    <row r="527" spans="1:26" ht="16.5">
      <c r="A527" s="126" t="s">
        <v>129</v>
      </c>
      <c r="B527" s="126" t="s">
        <v>119</v>
      </c>
      <c r="C527" s="160">
        <f>INDEX($C$121:$C$318,$H527)</f>
        <v>36287</v>
      </c>
      <c r="D527" s="160">
        <f>INDEX($G$121:$G$318,$H527)</f>
        <v>70</v>
      </c>
      <c r="E527" s="160">
        <f>INDEX($F$121:$F$318,$H527)</f>
        <v>7.55</v>
      </c>
      <c r="F527" s="160">
        <f>INDEX($E$121:$E$318,$H527)</f>
        <v>34617.798000000003</v>
      </c>
      <c r="G527" s="160">
        <f>INDEX($J$121:$J$318,$H527)</f>
        <v>30884.021215714289</v>
      </c>
      <c r="H527" s="157">
        <f>H515+3</f>
        <v>133</v>
      </c>
      <c r="I527" s="3"/>
      <c r="J527" s="5"/>
    </row>
    <row r="528" spans="1:26" ht="16.5">
      <c r="A528" s="126" t="s">
        <v>129</v>
      </c>
      <c r="C528" s="160">
        <f t="shared" ref="C528:C536" si="60">INDEX($C$121:$C$318,$H528)</f>
        <v>3470</v>
      </c>
      <c r="D528" s="160">
        <f t="shared" ref="D528:D536" si="61">INDEX($G$121:$G$318,$H528)</f>
        <v>65</v>
      </c>
      <c r="E528" s="160">
        <f t="shared" ref="E528:E536" si="62">INDEX($F$121:$F$318,$H528)</f>
        <v>12.42</v>
      </c>
      <c r="F528" s="160">
        <f t="shared" ref="F528:F536" si="63">INDEX($E$121:$E$318,$H528)</f>
        <v>3310.38</v>
      </c>
      <c r="G528" s="160">
        <f t="shared" ref="G528:G536" si="64">INDEX($J$121:$J$318,$H528)</f>
        <v>2677.8427753846154</v>
      </c>
      <c r="H528" s="157">
        <f t="shared" ref="H528:H536" si="65">H516+3</f>
        <v>134</v>
      </c>
      <c r="I528" s="3"/>
      <c r="J528" s="5"/>
    </row>
    <row r="529" spans="1:10" ht="16.5">
      <c r="A529" s="126" t="s">
        <v>129</v>
      </c>
      <c r="B529" s="126" t="s">
        <v>120</v>
      </c>
      <c r="C529" s="160">
        <f t="shared" si="60"/>
        <v>811</v>
      </c>
      <c r="D529" s="160">
        <f t="shared" si="61"/>
        <v>70</v>
      </c>
      <c r="E529" s="160">
        <f t="shared" si="62"/>
        <v>7.55</v>
      </c>
      <c r="F529" s="160">
        <f t="shared" si="63"/>
        <v>1622</v>
      </c>
      <c r="G529" s="160">
        <f t="shared" si="64"/>
        <v>1447.0557142857144</v>
      </c>
      <c r="H529" s="157">
        <f t="shared" si="65"/>
        <v>145</v>
      </c>
      <c r="I529" s="3"/>
      <c r="J529" s="5"/>
    </row>
    <row r="530" spans="1:10" ht="16.5">
      <c r="A530" s="126" t="s">
        <v>129</v>
      </c>
      <c r="C530" s="160">
        <f t="shared" si="60"/>
        <v>155</v>
      </c>
      <c r="D530" s="160">
        <f t="shared" si="61"/>
        <v>65</v>
      </c>
      <c r="E530" s="160">
        <f t="shared" si="62"/>
        <v>11.1</v>
      </c>
      <c r="F530" s="160">
        <f t="shared" si="63"/>
        <v>310</v>
      </c>
      <c r="G530" s="160">
        <f t="shared" si="64"/>
        <v>257.06153846153842</v>
      </c>
      <c r="H530" s="157">
        <f t="shared" si="65"/>
        <v>146</v>
      </c>
      <c r="I530" s="3"/>
      <c r="J530" s="5"/>
    </row>
    <row r="531" spans="1:10" ht="16.5">
      <c r="A531" s="126" t="s">
        <v>129</v>
      </c>
      <c r="B531" s="126" t="s">
        <v>121</v>
      </c>
      <c r="C531" s="160">
        <f t="shared" si="60"/>
        <v>262</v>
      </c>
      <c r="D531" s="160">
        <f t="shared" si="61"/>
        <v>70</v>
      </c>
      <c r="E531" s="160">
        <f t="shared" si="62"/>
        <v>7.55</v>
      </c>
      <c r="F531" s="160">
        <f t="shared" si="63"/>
        <v>1310</v>
      </c>
      <c r="G531" s="160">
        <f t="shared" si="64"/>
        <v>1168.707142857143</v>
      </c>
      <c r="H531" s="157">
        <f t="shared" si="65"/>
        <v>157</v>
      </c>
      <c r="I531" s="3"/>
      <c r="J531" s="5"/>
    </row>
    <row r="532" spans="1:10" ht="16.5">
      <c r="A532" s="126" t="s">
        <v>129</v>
      </c>
      <c r="C532" s="160">
        <f t="shared" si="60"/>
        <v>29</v>
      </c>
      <c r="D532" s="160">
        <f t="shared" si="61"/>
        <v>65</v>
      </c>
      <c r="E532" s="160">
        <f t="shared" si="62"/>
        <v>11.5</v>
      </c>
      <c r="F532" s="160">
        <f t="shared" si="63"/>
        <v>145</v>
      </c>
      <c r="G532" s="160">
        <f t="shared" si="64"/>
        <v>119.34615384615384</v>
      </c>
      <c r="H532" s="157">
        <f t="shared" si="65"/>
        <v>158</v>
      </c>
      <c r="I532" s="3"/>
      <c r="J532" s="5"/>
    </row>
    <row r="533" spans="1:10" ht="16.5">
      <c r="A533" s="126" t="s">
        <v>129</v>
      </c>
      <c r="B533" s="126" t="s">
        <v>122</v>
      </c>
      <c r="C533" s="160">
        <f t="shared" si="60"/>
        <v>27</v>
      </c>
      <c r="D533" s="160">
        <f t="shared" si="61"/>
        <v>70</v>
      </c>
      <c r="E533" s="160">
        <f t="shared" si="62"/>
        <v>7.55</v>
      </c>
      <c r="F533" s="160">
        <f t="shared" si="63"/>
        <v>405</v>
      </c>
      <c r="G533" s="160">
        <f t="shared" si="64"/>
        <v>361.31785714285718</v>
      </c>
      <c r="H533" s="157">
        <f t="shared" si="65"/>
        <v>169</v>
      </c>
      <c r="I533" s="3"/>
      <c r="J533" s="5"/>
    </row>
    <row r="534" spans="1:10" ht="16.5">
      <c r="A534" s="126" t="s">
        <v>129</v>
      </c>
      <c r="C534" s="160">
        <f t="shared" si="60"/>
        <v>15</v>
      </c>
      <c r="D534" s="160">
        <f t="shared" si="61"/>
        <v>65</v>
      </c>
      <c r="E534" s="160">
        <f t="shared" si="62"/>
        <v>7.55</v>
      </c>
      <c r="F534" s="160">
        <f t="shared" si="63"/>
        <v>225</v>
      </c>
      <c r="G534" s="160">
        <f t="shared" si="64"/>
        <v>198.86538461538458</v>
      </c>
      <c r="H534" s="157">
        <f t="shared" si="65"/>
        <v>170</v>
      </c>
      <c r="I534" s="3"/>
      <c r="J534" s="5"/>
    </row>
    <row r="535" spans="1:10" ht="16.5">
      <c r="A535" s="126" t="s">
        <v>129</v>
      </c>
      <c r="B535" s="126" t="s">
        <v>58</v>
      </c>
      <c r="C535" s="160">
        <f t="shared" si="60"/>
        <v>8</v>
      </c>
      <c r="D535" s="160">
        <f t="shared" si="61"/>
        <v>70</v>
      </c>
      <c r="E535" s="160">
        <f t="shared" si="62"/>
        <v>4.5</v>
      </c>
      <c r="F535" s="160">
        <f t="shared" si="63"/>
        <v>240</v>
      </c>
      <c r="G535" s="160">
        <f t="shared" si="64"/>
        <v>224.57142857142858</v>
      </c>
      <c r="H535" s="157">
        <f t="shared" si="65"/>
        <v>181</v>
      </c>
      <c r="I535" s="3"/>
      <c r="J535" s="5"/>
    </row>
    <row r="536" spans="1:10" ht="16.5">
      <c r="A536" s="126" t="s">
        <v>129</v>
      </c>
      <c r="B536" s="126"/>
      <c r="C536" s="160">
        <f t="shared" si="60"/>
        <v>7</v>
      </c>
      <c r="D536" s="160">
        <f t="shared" si="61"/>
        <v>65</v>
      </c>
      <c r="E536" s="160">
        <f t="shared" si="62"/>
        <v>14</v>
      </c>
      <c r="F536" s="160">
        <f t="shared" si="63"/>
        <v>210</v>
      </c>
      <c r="G536" s="160">
        <f t="shared" si="64"/>
        <v>164.76923076923077</v>
      </c>
      <c r="H536" s="157">
        <f t="shared" si="65"/>
        <v>182</v>
      </c>
      <c r="I536" s="3"/>
      <c r="J536" s="5"/>
    </row>
    <row r="537" spans="1:10" ht="16.5">
      <c r="A537" s="126" t="s">
        <v>129</v>
      </c>
      <c r="B537" s="126" t="s">
        <v>127</v>
      </c>
      <c r="C537" s="160">
        <f>SUM(C527:C536)</f>
        <v>41071</v>
      </c>
      <c r="D537" s="157">
        <f>MAX(D527:D536)</f>
        <v>70</v>
      </c>
      <c r="E537" s="158">
        <f>SUMPRODUCT(E527:E536,G527:G536)/G537</f>
        <v>7.944706512708767</v>
      </c>
      <c r="F537" s="160">
        <f>SUM(F527:F536)</f>
        <v>42395.178</v>
      </c>
      <c r="G537" s="160">
        <f>SUM(G527:G536)</f>
        <v>37503.558441648354</v>
      </c>
      <c r="H537" s="157"/>
      <c r="I537" s="3"/>
      <c r="J537" s="5"/>
    </row>
    <row r="538" spans="1:10" ht="16.5">
      <c r="A538" s="126" t="s">
        <v>130</v>
      </c>
      <c r="B538" s="2" t="s">
        <v>48</v>
      </c>
      <c r="I538" s="3"/>
      <c r="J538" s="5"/>
    </row>
    <row r="539" spans="1:10" ht="16.5">
      <c r="A539" s="126" t="s">
        <v>130</v>
      </c>
      <c r="B539" s="2" t="s">
        <v>58</v>
      </c>
      <c r="C539" s="160">
        <f>INDEX($C$121:$C$318,$H539)</f>
        <v>8</v>
      </c>
      <c r="D539" s="160">
        <f>INDEX($G$121:$G$318,$H539)</f>
        <v>125</v>
      </c>
      <c r="E539" s="160">
        <f>INDEX($F$121:$F$318,$H539)</f>
        <v>22.5</v>
      </c>
      <c r="F539" s="160">
        <f>INDEX($E$121:$E$318,$H539)</f>
        <v>240</v>
      </c>
      <c r="G539" s="160">
        <f>INDEX($J$121:$J$318,$H539)</f>
        <v>196.8</v>
      </c>
      <c r="H539" s="157">
        <v>190</v>
      </c>
      <c r="I539" s="3"/>
      <c r="J539" s="5"/>
    </row>
    <row r="540" spans="1:10" ht="16.5">
      <c r="A540" s="126" t="s">
        <v>130</v>
      </c>
      <c r="C540" s="160">
        <f>INDEX($C$121:$C$318,$H540)</f>
        <v>1</v>
      </c>
      <c r="D540" s="160">
        <f>INDEX($G$121:$G$318,$H540)</f>
        <v>125</v>
      </c>
      <c r="E540" s="160">
        <f>INDEX($F$121:$F$318,$H540)</f>
        <v>27.5</v>
      </c>
      <c r="F540" s="160">
        <f>INDEX($E$121:$E$318,$H540)</f>
        <v>30</v>
      </c>
      <c r="G540" s="160">
        <f>INDEX($J$121:$J$318,$H540)</f>
        <v>23.4</v>
      </c>
      <c r="H540" s="157">
        <f>H539+1</f>
        <v>191</v>
      </c>
      <c r="I540" s="3"/>
      <c r="J540" s="5"/>
    </row>
    <row r="541" spans="1:10" ht="16.5">
      <c r="A541" s="126" t="s">
        <v>130</v>
      </c>
      <c r="B541" s="2" t="s">
        <v>131</v>
      </c>
      <c r="C541" s="160">
        <f>SUM(C539:C540)</f>
        <v>9</v>
      </c>
      <c r="D541" s="157">
        <f>MAX(D539:D540)</f>
        <v>125</v>
      </c>
      <c r="E541" s="158">
        <f>SUMPRODUCT(E539:E540,G539:G540)/G541</f>
        <v>23.031335149863757</v>
      </c>
      <c r="F541" s="160">
        <f>SUM(F539:F540)</f>
        <v>270</v>
      </c>
      <c r="G541" s="160">
        <f>SUM(G539:G540)</f>
        <v>220.20000000000002</v>
      </c>
      <c r="H541" s="3"/>
      <c r="I541" s="3"/>
      <c r="J541" s="5"/>
    </row>
    <row r="542" spans="1:10">
      <c r="C542" s="3"/>
      <c r="D542" s="3"/>
      <c r="E542" s="5"/>
      <c r="F542" s="3"/>
      <c r="G542" s="3"/>
      <c r="H542" s="3"/>
      <c r="I542" s="3"/>
      <c r="J542" s="5"/>
    </row>
    <row r="543" spans="1:10">
      <c r="C543" s="3"/>
      <c r="D543" s="3"/>
      <c r="E543" s="5"/>
      <c r="F543" s="3"/>
      <c r="G543" s="3"/>
      <c r="H543" s="3"/>
      <c r="I543" s="3"/>
      <c r="J543" s="5"/>
    </row>
    <row r="544" spans="1:10">
      <c r="C544" s="3"/>
      <c r="D544" s="3"/>
      <c r="E544" s="5"/>
      <c r="F544" s="3"/>
      <c r="G544" s="3"/>
      <c r="H544" s="3"/>
      <c r="I544" s="3"/>
      <c r="J544" s="5"/>
    </row>
    <row r="545" spans="3:10">
      <c r="C545" s="3"/>
      <c r="D545" s="3"/>
      <c r="E545" s="5"/>
      <c r="F545" s="3"/>
      <c r="G545" s="3"/>
      <c r="H545" s="3"/>
      <c r="I545" s="3"/>
      <c r="J545" s="5"/>
    </row>
    <row r="546" spans="3:10">
      <c r="C546" s="3"/>
      <c r="D546" s="3"/>
      <c r="E546" s="5"/>
      <c r="F546" s="3"/>
      <c r="G546" s="3"/>
      <c r="H546" s="3"/>
      <c r="I546" s="3"/>
      <c r="J546" s="5"/>
    </row>
    <row r="547" spans="3:10">
      <c r="C547" s="3"/>
      <c r="D547" s="3"/>
      <c r="E547" s="5"/>
      <c r="F547" s="3"/>
      <c r="G547" s="3"/>
      <c r="H547" s="3"/>
      <c r="I547" s="3"/>
      <c r="J547" s="5"/>
    </row>
    <row r="548" spans="3:10">
      <c r="C548" s="3"/>
      <c r="D548" s="3"/>
      <c r="E548" s="5"/>
      <c r="F548" s="3"/>
      <c r="G548" s="3"/>
      <c r="H548" s="3"/>
      <c r="I548" s="3"/>
      <c r="J548" s="5"/>
    </row>
    <row r="549" spans="3:10">
      <c r="C549" s="3"/>
      <c r="D549" s="3"/>
      <c r="E549" s="5"/>
      <c r="F549" s="3"/>
      <c r="G549" s="3"/>
      <c r="H549" s="3"/>
      <c r="I549" s="3"/>
      <c r="J549" s="5"/>
    </row>
    <row r="550" spans="3:10">
      <c r="C550" s="3"/>
      <c r="D550" s="3"/>
      <c r="E550" s="5"/>
      <c r="F550" s="3"/>
      <c r="G550" s="3"/>
      <c r="H550" s="3"/>
      <c r="I550" s="3"/>
      <c r="J550" s="5"/>
    </row>
    <row r="551" spans="3:10">
      <c r="C551" s="3"/>
      <c r="D551" s="3"/>
      <c r="E551" s="5"/>
      <c r="F551" s="3"/>
      <c r="G551" s="3"/>
      <c r="H551" s="3"/>
      <c r="I551" s="3"/>
      <c r="J551" s="5"/>
    </row>
    <row r="552" spans="3:10">
      <c r="C552" s="3"/>
      <c r="D552" s="3"/>
      <c r="E552" s="5"/>
      <c r="F552" s="3"/>
      <c r="G552" s="3"/>
      <c r="H552" s="3"/>
      <c r="I552" s="3"/>
      <c r="J552" s="5"/>
    </row>
    <row r="553" spans="3:10">
      <c r="C553" s="3"/>
      <c r="D553" s="3"/>
      <c r="E553" s="5"/>
      <c r="F553" s="3"/>
      <c r="G553" s="3"/>
      <c r="H553" s="3"/>
      <c r="I553" s="3"/>
      <c r="J553" s="5"/>
    </row>
    <row r="554" spans="3:10">
      <c r="C554" s="3"/>
      <c r="D554" s="3"/>
      <c r="E554" s="5"/>
      <c r="F554" s="3"/>
      <c r="G554" s="3"/>
      <c r="H554" s="3"/>
      <c r="I554" s="3"/>
      <c r="J554" s="5"/>
    </row>
    <row r="555" spans="3:10">
      <c r="C555" s="3"/>
      <c r="D555" s="3"/>
      <c r="E555" s="5"/>
      <c r="F555" s="3"/>
      <c r="G555" s="3"/>
      <c r="H555" s="3"/>
      <c r="I555" s="3"/>
      <c r="J555" s="5"/>
    </row>
    <row r="556" spans="3:10">
      <c r="C556" s="3"/>
      <c r="D556" s="3"/>
      <c r="E556" s="5"/>
      <c r="F556" s="3"/>
      <c r="G556" s="3"/>
      <c r="H556" s="3"/>
      <c r="I556" s="3"/>
      <c r="J556" s="5"/>
    </row>
    <row r="557" spans="3:10">
      <c r="C557" s="3"/>
      <c r="D557" s="3"/>
      <c r="E557" s="5"/>
      <c r="F557" s="3"/>
      <c r="G557" s="3"/>
      <c r="H557" s="3"/>
      <c r="I557" s="3"/>
      <c r="J557" s="5"/>
    </row>
    <row r="558" spans="3:10">
      <c r="C558" s="3"/>
      <c r="D558" s="3"/>
      <c r="E558" s="5"/>
      <c r="F558" s="3"/>
      <c r="G558" s="3"/>
      <c r="H558" s="3"/>
      <c r="I558" s="3"/>
      <c r="J558" s="5"/>
    </row>
    <row r="559" spans="3:10">
      <c r="C559" s="3"/>
      <c r="D559" s="3"/>
      <c r="E559" s="5"/>
      <c r="F559" s="3"/>
      <c r="G559" s="3"/>
      <c r="H559" s="3"/>
      <c r="I559" s="3"/>
      <c r="J559" s="5"/>
    </row>
    <row r="560" spans="3:10">
      <c r="C560" s="3"/>
      <c r="D560" s="3"/>
      <c r="E560" s="5"/>
      <c r="F560" s="3"/>
      <c r="G560" s="3"/>
      <c r="H560" s="3"/>
      <c r="I560" s="3"/>
      <c r="J560" s="5"/>
    </row>
    <row r="561" spans="3:10">
      <c r="C561" s="3"/>
      <c r="D561" s="3"/>
      <c r="E561" s="5"/>
      <c r="F561" s="3"/>
      <c r="G561" s="3"/>
      <c r="H561" s="3"/>
      <c r="I561" s="3"/>
      <c r="J561" s="5"/>
    </row>
    <row r="562" spans="3:10">
      <c r="C562" s="3"/>
      <c r="D562" s="3"/>
      <c r="E562" s="5"/>
      <c r="F562" s="3"/>
      <c r="G562" s="3"/>
      <c r="H562" s="3"/>
      <c r="I562" s="3"/>
      <c r="J562" s="5"/>
    </row>
    <row r="563" spans="3:10">
      <c r="C563" s="3"/>
      <c r="D563" s="3"/>
      <c r="E563" s="5"/>
      <c r="F563" s="3"/>
      <c r="G563" s="3"/>
      <c r="H563" s="3"/>
      <c r="I563" s="3"/>
      <c r="J563" s="5"/>
    </row>
    <row r="564" spans="3:10">
      <c r="C564" s="3"/>
      <c r="D564" s="3"/>
      <c r="E564" s="5"/>
      <c r="F564" s="3"/>
      <c r="G564" s="3"/>
      <c r="H564" s="3"/>
      <c r="I564" s="3"/>
      <c r="J564" s="5"/>
    </row>
    <row r="565" spans="3:10">
      <c r="C565" s="3"/>
      <c r="D565" s="3"/>
      <c r="E565" s="5"/>
      <c r="F565" s="3"/>
      <c r="G565" s="3"/>
      <c r="H565" s="3"/>
      <c r="I565" s="3"/>
      <c r="J565" s="5"/>
    </row>
    <row r="566" spans="3:10">
      <c r="C566" s="3"/>
      <c r="D566" s="3"/>
      <c r="E566" s="5"/>
      <c r="F566" s="3"/>
      <c r="G566" s="3"/>
      <c r="H566" s="3"/>
      <c r="I566" s="3"/>
      <c r="J566" s="5"/>
    </row>
    <row r="567" spans="3:10">
      <c r="C567" s="3"/>
      <c r="D567" s="3"/>
      <c r="E567" s="5"/>
      <c r="F567" s="3"/>
      <c r="G567" s="3"/>
      <c r="H567" s="3"/>
      <c r="I567" s="3"/>
      <c r="J567" s="5"/>
    </row>
    <row r="568" spans="3:10">
      <c r="C568" s="3"/>
      <c r="D568" s="3"/>
      <c r="E568" s="5"/>
      <c r="F568" s="3"/>
      <c r="G568" s="3"/>
      <c r="H568" s="3"/>
      <c r="I568" s="3"/>
      <c r="J568" s="5"/>
    </row>
    <row r="569" spans="3:10">
      <c r="C569" s="3"/>
      <c r="D569" s="3"/>
      <c r="E569" s="5"/>
      <c r="F569" s="3"/>
      <c r="G569" s="3"/>
      <c r="H569" s="3"/>
      <c r="I569" s="3"/>
      <c r="J569" s="5"/>
    </row>
    <row r="570" spans="3:10">
      <c r="C570" s="3"/>
      <c r="D570" s="3"/>
      <c r="E570" s="5"/>
      <c r="F570" s="3"/>
      <c r="G570" s="3"/>
      <c r="H570" s="3"/>
      <c r="I570" s="3"/>
      <c r="J570" s="5"/>
    </row>
    <row r="571" spans="3:10">
      <c r="C571" s="3"/>
      <c r="D571" s="3"/>
      <c r="E571" s="5"/>
      <c r="F571" s="3"/>
      <c r="G571" s="3"/>
      <c r="H571" s="3"/>
      <c r="I571" s="3"/>
      <c r="J571" s="5"/>
    </row>
    <row r="572" spans="3:10">
      <c r="C572" s="3"/>
      <c r="D572" s="3"/>
      <c r="E572" s="5"/>
      <c r="F572" s="3"/>
      <c r="G572" s="3"/>
      <c r="H572" s="3"/>
      <c r="I572" s="3"/>
      <c r="J572" s="5"/>
    </row>
    <row r="573" spans="3:10">
      <c r="C573" s="3"/>
      <c r="D573" s="3"/>
      <c r="E573" s="5"/>
      <c r="F573" s="3"/>
      <c r="G573" s="3"/>
      <c r="H573" s="3"/>
      <c r="I573" s="3"/>
      <c r="J573" s="5"/>
    </row>
    <row r="574" spans="3:10">
      <c r="C574" s="3"/>
      <c r="D574" s="3"/>
      <c r="E574" s="5"/>
      <c r="F574" s="3"/>
      <c r="G574" s="3"/>
      <c r="H574" s="3"/>
      <c r="I574" s="3"/>
      <c r="J574" s="5"/>
    </row>
    <row r="575" spans="3:10">
      <c r="C575" s="3"/>
      <c r="D575" s="3"/>
      <c r="E575" s="5"/>
      <c r="F575" s="3"/>
      <c r="G575" s="3"/>
      <c r="H575" s="3"/>
      <c r="I575" s="3"/>
      <c r="J575" s="5"/>
    </row>
    <row r="576" spans="3:10">
      <c r="C576" s="3"/>
      <c r="D576" s="3"/>
      <c r="E576" s="5"/>
      <c r="F576" s="3"/>
      <c r="G576" s="3"/>
      <c r="H576" s="3"/>
      <c r="I576" s="3"/>
      <c r="J576" s="5"/>
    </row>
    <row r="577" spans="3:10">
      <c r="C577" s="3"/>
      <c r="D577" s="3"/>
      <c r="E577" s="5"/>
      <c r="F577" s="3"/>
      <c r="G577" s="3"/>
      <c r="H577" s="3"/>
      <c r="I577" s="3"/>
      <c r="J577" s="5"/>
    </row>
    <row r="578" spans="3:10">
      <c r="C578" s="3"/>
      <c r="D578" s="3"/>
      <c r="E578" s="5"/>
      <c r="F578" s="3"/>
      <c r="G578" s="3"/>
      <c r="H578" s="3"/>
      <c r="I578" s="3"/>
      <c r="J578" s="5"/>
    </row>
    <row r="579" spans="3:10">
      <c r="C579" s="3"/>
      <c r="D579" s="3"/>
      <c r="E579" s="5"/>
      <c r="F579" s="3"/>
      <c r="G579" s="3"/>
      <c r="H579" s="3"/>
      <c r="I579" s="3"/>
      <c r="J579" s="5"/>
    </row>
    <row r="580" spans="3:10">
      <c r="C580" s="3"/>
      <c r="D580" s="3"/>
      <c r="E580" s="5"/>
      <c r="F580" s="3"/>
      <c r="G580" s="3"/>
      <c r="H580" s="3"/>
      <c r="I580" s="3"/>
      <c r="J580" s="5"/>
    </row>
    <row r="581" spans="3:10">
      <c r="C581" s="3"/>
      <c r="D581" s="3"/>
      <c r="E581" s="5"/>
      <c r="F581" s="3"/>
      <c r="G581" s="3"/>
      <c r="H581" s="3"/>
      <c r="I581" s="3"/>
      <c r="J581" s="5"/>
    </row>
    <row r="582" spans="3:10">
      <c r="C582" s="3"/>
      <c r="D582" s="3"/>
      <c r="E582" s="5"/>
      <c r="F582" s="3"/>
      <c r="G582" s="3"/>
      <c r="H582" s="3"/>
      <c r="I582" s="3"/>
      <c r="J582" s="5"/>
    </row>
    <row r="583" spans="3:10">
      <c r="C583" s="3"/>
      <c r="D583" s="3"/>
      <c r="E583" s="5"/>
      <c r="F583" s="3"/>
      <c r="G583" s="3"/>
      <c r="H583" s="3"/>
      <c r="I583" s="3"/>
      <c r="J583" s="5"/>
    </row>
    <row r="584" spans="3:10">
      <c r="C584" s="3"/>
      <c r="D584" s="3"/>
      <c r="E584" s="5"/>
      <c r="F584" s="3"/>
      <c r="G584" s="3"/>
      <c r="H584" s="3"/>
      <c r="I584" s="3"/>
      <c r="J584" s="5"/>
    </row>
    <row r="585" spans="3:10">
      <c r="C585" s="3"/>
      <c r="D585" s="3"/>
      <c r="E585" s="5"/>
      <c r="F585" s="3"/>
      <c r="G585" s="3"/>
      <c r="H585" s="3"/>
      <c r="I585" s="3"/>
      <c r="J585" s="5"/>
    </row>
    <row r="586" spans="3:10">
      <c r="C586" s="3"/>
      <c r="D586" s="3"/>
      <c r="E586" s="5"/>
      <c r="F586" s="3"/>
      <c r="G586" s="3"/>
      <c r="H586" s="3"/>
      <c r="I586" s="3"/>
      <c r="J586" s="5"/>
    </row>
    <row r="587" spans="3:10">
      <c r="C587" s="3"/>
      <c r="D587" s="3"/>
      <c r="E587" s="5"/>
      <c r="F587" s="3"/>
      <c r="G587" s="3"/>
      <c r="H587" s="3"/>
      <c r="I587" s="3"/>
      <c r="J587" s="5"/>
    </row>
    <row r="588" spans="3:10">
      <c r="C588" s="3"/>
      <c r="D588" s="3"/>
      <c r="E588" s="5"/>
      <c r="F588" s="3"/>
      <c r="G588" s="3"/>
      <c r="H588" s="3"/>
      <c r="I588" s="3"/>
      <c r="J588" s="5"/>
    </row>
    <row r="589" spans="3:10">
      <c r="C589" s="3"/>
      <c r="D589" s="3"/>
      <c r="E589" s="5"/>
      <c r="F589" s="3"/>
      <c r="G589" s="3"/>
      <c r="H589" s="3"/>
      <c r="I589" s="3"/>
      <c r="J589" s="5"/>
    </row>
    <row r="590" spans="3:10">
      <c r="C590" s="3"/>
      <c r="D590" s="3"/>
      <c r="E590" s="5"/>
      <c r="F590" s="3"/>
      <c r="G590" s="3"/>
      <c r="H590" s="3"/>
      <c r="I590" s="3"/>
      <c r="J590" s="5"/>
    </row>
    <row r="591" spans="3:10">
      <c r="C591" s="3"/>
      <c r="D591" s="3"/>
      <c r="E591" s="5"/>
      <c r="F591" s="3"/>
      <c r="G591" s="3"/>
      <c r="H591" s="3"/>
      <c r="I591" s="3"/>
      <c r="J591" s="5"/>
    </row>
    <row r="592" spans="3:10">
      <c r="C592" s="3"/>
      <c r="D592" s="3"/>
      <c r="E592" s="5"/>
      <c r="F592" s="3"/>
      <c r="G592" s="3"/>
      <c r="H592" s="3"/>
      <c r="I592" s="3"/>
      <c r="J592" s="5"/>
    </row>
    <row r="593" spans="3:10">
      <c r="C593" s="3"/>
      <c r="D593" s="3"/>
      <c r="E593" s="5"/>
      <c r="F593" s="3"/>
      <c r="G593" s="3"/>
      <c r="H593" s="3"/>
      <c r="I593" s="3"/>
      <c r="J593" s="5"/>
    </row>
    <row r="594" spans="3:10">
      <c r="C594" s="3"/>
      <c r="D594" s="3"/>
      <c r="E594" s="5"/>
      <c r="F594" s="3"/>
      <c r="G594" s="3"/>
      <c r="H594" s="3"/>
      <c r="I594" s="3"/>
      <c r="J594" s="5"/>
    </row>
    <row r="595" spans="3:10">
      <c r="C595" s="3"/>
      <c r="D595" s="3"/>
      <c r="E595" s="5"/>
      <c r="F595" s="3"/>
      <c r="G595" s="3"/>
      <c r="H595" s="3"/>
      <c r="I595" s="3"/>
      <c r="J595" s="5"/>
    </row>
    <row r="596" spans="3:10">
      <c r="C596" s="3"/>
      <c r="D596" s="3"/>
      <c r="E596" s="5"/>
      <c r="F596" s="3"/>
      <c r="G596" s="3"/>
      <c r="H596" s="3"/>
      <c r="I596" s="3"/>
      <c r="J596" s="5"/>
    </row>
    <row r="597" spans="3:10">
      <c r="C597" s="3"/>
      <c r="D597" s="3"/>
      <c r="E597" s="5"/>
      <c r="F597" s="3"/>
      <c r="G597" s="3"/>
      <c r="H597" s="3"/>
      <c r="I597" s="3"/>
      <c r="J597" s="5"/>
    </row>
    <row r="598" spans="3:10">
      <c r="C598" s="3"/>
      <c r="D598" s="3"/>
      <c r="E598" s="5"/>
      <c r="F598" s="3"/>
      <c r="G598" s="3"/>
      <c r="H598" s="3"/>
      <c r="I598" s="3"/>
      <c r="J598" s="5"/>
    </row>
    <row r="599" spans="3:10">
      <c r="C599" s="3"/>
      <c r="D599" s="3"/>
      <c r="E599" s="5"/>
      <c r="F599" s="3"/>
      <c r="G599" s="3"/>
      <c r="H599" s="3"/>
      <c r="I599" s="3"/>
      <c r="J599" s="5"/>
    </row>
    <row r="600" spans="3:10">
      <c r="C600" s="3"/>
      <c r="D600" s="3"/>
      <c r="E600" s="5"/>
      <c r="F600" s="3"/>
      <c r="G600" s="3"/>
      <c r="H600" s="3"/>
      <c r="I600" s="3"/>
      <c r="J600" s="5"/>
    </row>
    <row r="601" spans="3:10">
      <c r="C601" s="3"/>
      <c r="D601" s="3"/>
      <c r="E601" s="5"/>
      <c r="F601" s="3"/>
      <c r="G601" s="3"/>
      <c r="H601" s="3"/>
      <c r="I601" s="3"/>
      <c r="J601" s="5"/>
    </row>
    <row r="602" spans="3:10">
      <c r="C602" s="3"/>
      <c r="D602" s="3"/>
      <c r="E602" s="5"/>
      <c r="F602" s="3"/>
      <c r="G602" s="3"/>
      <c r="H602" s="3"/>
      <c r="I602" s="3"/>
      <c r="J602" s="5"/>
    </row>
    <row r="603" spans="3:10">
      <c r="C603" s="3"/>
      <c r="D603" s="3"/>
      <c r="E603" s="5"/>
      <c r="F603" s="3"/>
      <c r="G603" s="3"/>
      <c r="H603" s="3"/>
      <c r="I603" s="3"/>
      <c r="J603" s="5"/>
    </row>
    <row r="604" spans="3:10">
      <c r="C604" s="3"/>
      <c r="D604" s="3"/>
      <c r="E604" s="5"/>
      <c r="F604" s="3"/>
      <c r="G604" s="3"/>
      <c r="H604" s="3"/>
      <c r="I604" s="3"/>
      <c r="J604" s="5"/>
    </row>
    <row r="605" spans="3:10">
      <c r="C605" s="3"/>
      <c r="D605" s="3"/>
      <c r="E605" s="5"/>
      <c r="F605" s="3"/>
      <c r="G605" s="3"/>
      <c r="H605" s="3"/>
      <c r="I605" s="3"/>
      <c r="J605" s="5"/>
    </row>
    <row r="606" spans="3:10">
      <c r="C606" s="3"/>
      <c r="D606" s="3"/>
      <c r="E606" s="5"/>
      <c r="F606" s="3"/>
      <c r="G606" s="3"/>
      <c r="H606" s="3"/>
      <c r="I606" s="3"/>
      <c r="J606" s="5"/>
    </row>
    <row r="607" spans="3:10">
      <c r="C607" s="3"/>
      <c r="D607" s="3"/>
      <c r="E607" s="5"/>
      <c r="F607" s="3"/>
      <c r="G607" s="3"/>
      <c r="H607" s="3"/>
      <c r="I607" s="3"/>
      <c r="J607" s="5"/>
    </row>
    <row r="608" spans="3:10">
      <c r="C608" s="3"/>
      <c r="D608" s="3"/>
      <c r="E608" s="5"/>
      <c r="F608" s="3"/>
      <c r="G608" s="3"/>
      <c r="H608" s="3"/>
      <c r="I608" s="3"/>
      <c r="J608" s="5"/>
    </row>
    <row r="609" spans="3:10">
      <c r="C609" s="3"/>
      <c r="D609" s="3"/>
      <c r="E609" s="5"/>
      <c r="F609" s="3"/>
      <c r="G609" s="3"/>
      <c r="H609" s="3"/>
      <c r="I609" s="3"/>
      <c r="J609" s="5"/>
    </row>
    <row r="610" spans="3:10">
      <c r="C610" s="3"/>
      <c r="D610" s="3"/>
      <c r="E610" s="5"/>
      <c r="F610" s="3"/>
      <c r="G610" s="3"/>
      <c r="H610" s="3"/>
      <c r="I610" s="3"/>
      <c r="J610" s="5"/>
    </row>
    <row r="611" spans="3:10">
      <c r="C611" s="3"/>
      <c r="D611" s="3"/>
      <c r="E611" s="5"/>
      <c r="F611" s="3"/>
      <c r="G611" s="3"/>
      <c r="H611" s="3"/>
      <c r="I611" s="3"/>
      <c r="J611" s="5"/>
    </row>
    <row r="612" spans="3:10">
      <c r="C612" s="3"/>
      <c r="D612" s="3"/>
      <c r="E612" s="5"/>
      <c r="F612" s="3"/>
      <c r="G612" s="3"/>
      <c r="H612" s="3"/>
      <c r="I612" s="3"/>
      <c r="J612" s="5"/>
    </row>
    <row r="613" spans="3:10">
      <c r="C613" s="3"/>
      <c r="D613" s="3"/>
      <c r="E613" s="5"/>
      <c r="F613" s="3"/>
      <c r="G613" s="3"/>
      <c r="H613" s="3"/>
      <c r="I613" s="3"/>
      <c r="J613" s="5"/>
    </row>
    <row r="614" spans="3:10">
      <c r="C614" s="3"/>
      <c r="D614" s="3"/>
      <c r="E614" s="5"/>
      <c r="F614" s="3"/>
      <c r="G614" s="3"/>
      <c r="H614" s="3"/>
      <c r="I614" s="3"/>
      <c r="J614" s="5"/>
    </row>
    <row r="615" spans="3:10">
      <c r="C615" s="3"/>
      <c r="D615" s="3"/>
      <c r="E615" s="5"/>
      <c r="F615" s="3"/>
      <c r="G615" s="3"/>
      <c r="H615" s="3"/>
      <c r="I615" s="3"/>
      <c r="J615" s="5"/>
    </row>
    <row r="616" spans="3:10">
      <c r="C616" s="3"/>
      <c r="D616" s="3"/>
      <c r="E616" s="5"/>
      <c r="F616" s="3"/>
      <c r="G616" s="3"/>
      <c r="H616" s="3"/>
      <c r="I616" s="3"/>
      <c r="J616" s="5"/>
    </row>
    <row r="617" spans="3:10">
      <c r="C617" s="3"/>
      <c r="D617" s="3"/>
      <c r="E617" s="5"/>
      <c r="F617" s="3"/>
      <c r="G617" s="3"/>
      <c r="H617" s="3"/>
      <c r="I617" s="3"/>
      <c r="J617" s="5"/>
    </row>
    <row r="618" spans="3:10">
      <c r="C618" s="3"/>
      <c r="D618" s="3"/>
      <c r="E618" s="5"/>
      <c r="F618" s="3"/>
      <c r="G618" s="3"/>
      <c r="H618" s="3"/>
      <c r="I618" s="3"/>
      <c r="J618" s="5"/>
    </row>
    <row r="619" spans="3:10">
      <c r="C619" s="3"/>
      <c r="D619" s="3"/>
      <c r="E619" s="5"/>
      <c r="F619" s="3"/>
      <c r="G619" s="3"/>
      <c r="H619" s="3"/>
      <c r="I619" s="3"/>
      <c r="J619" s="5"/>
    </row>
    <row r="620" spans="3:10">
      <c r="C620" s="3"/>
      <c r="D620" s="3"/>
      <c r="E620" s="5"/>
      <c r="F620" s="3"/>
      <c r="G620" s="3"/>
      <c r="H620" s="3"/>
      <c r="I620" s="3"/>
      <c r="J620" s="5"/>
    </row>
    <row r="621" spans="3:10">
      <c r="C621" s="3"/>
      <c r="D621" s="3"/>
      <c r="E621" s="5"/>
      <c r="F621" s="3"/>
      <c r="G621" s="3"/>
      <c r="H621" s="3"/>
      <c r="I621" s="3"/>
      <c r="J621" s="5"/>
    </row>
    <row r="622" spans="3:10">
      <c r="C622" s="3"/>
      <c r="D622" s="3"/>
      <c r="E622" s="5"/>
      <c r="F622" s="3"/>
      <c r="G622" s="3"/>
      <c r="H622" s="3"/>
      <c r="I622" s="3"/>
      <c r="J622" s="5"/>
    </row>
    <row r="623" spans="3:10">
      <c r="C623" s="3"/>
      <c r="D623" s="3"/>
      <c r="E623" s="5"/>
      <c r="F623" s="3"/>
      <c r="G623" s="3"/>
      <c r="H623" s="3"/>
      <c r="I623" s="3"/>
      <c r="J623" s="5"/>
    </row>
    <row r="624" spans="3:10">
      <c r="C624" s="3"/>
      <c r="D624" s="3"/>
      <c r="E624" s="5"/>
      <c r="F624" s="3"/>
      <c r="G624" s="3"/>
      <c r="H624" s="3"/>
      <c r="I624" s="3"/>
      <c r="J624" s="5"/>
    </row>
    <row r="625" spans="3:10">
      <c r="C625" s="3"/>
      <c r="D625" s="3"/>
      <c r="E625" s="5"/>
      <c r="F625" s="3"/>
      <c r="G625" s="3"/>
      <c r="H625" s="3"/>
      <c r="I625" s="3"/>
      <c r="J625" s="5"/>
    </row>
    <row r="626" spans="3:10">
      <c r="C626" s="3"/>
      <c r="D626" s="3"/>
      <c r="E626" s="5"/>
      <c r="F626" s="3"/>
      <c r="G626" s="3"/>
      <c r="H626" s="3"/>
      <c r="I626" s="3"/>
      <c r="J626" s="5"/>
    </row>
    <row r="627" spans="3:10">
      <c r="C627" s="3"/>
      <c r="D627" s="3"/>
      <c r="E627" s="5"/>
      <c r="F627" s="3"/>
      <c r="G627" s="3"/>
      <c r="H627" s="3"/>
      <c r="I627" s="3"/>
      <c r="J627" s="5"/>
    </row>
    <row r="628" spans="3:10">
      <c r="C628" s="3"/>
      <c r="D628" s="3"/>
      <c r="E628" s="5"/>
      <c r="F628" s="3"/>
      <c r="G628" s="3"/>
      <c r="H628" s="3"/>
      <c r="I628" s="3"/>
      <c r="J628" s="5"/>
    </row>
    <row r="629" spans="3:10">
      <c r="C629" s="3"/>
      <c r="D629" s="3"/>
      <c r="E629" s="5"/>
      <c r="F629" s="3"/>
      <c r="G629" s="3"/>
      <c r="H629" s="3"/>
      <c r="I629" s="3"/>
      <c r="J629" s="5"/>
    </row>
    <row r="630" spans="3:10">
      <c r="C630" s="3"/>
      <c r="D630" s="3"/>
      <c r="E630" s="5"/>
      <c r="F630" s="3"/>
      <c r="G630" s="3"/>
      <c r="H630" s="3"/>
      <c r="I630" s="3"/>
      <c r="J630" s="5"/>
    </row>
    <row r="631" spans="3:10">
      <c r="C631" s="3"/>
      <c r="D631" s="3"/>
      <c r="E631" s="5"/>
      <c r="F631" s="3"/>
      <c r="G631" s="3"/>
      <c r="H631" s="3"/>
      <c r="I631" s="3"/>
      <c r="J631" s="5"/>
    </row>
    <row r="632" spans="3:10">
      <c r="C632" s="3"/>
      <c r="D632" s="3"/>
      <c r="E632" s="5"/>
      <c r="F632" s="3"/>
      <c r="G632" s="3"/>
      <c r="H632" s="3"/>
      <c r="I632" s="3"/>
      <c r="J632" s="5"/>
    </row>
    <row r="633" spans="3:10">
      <c r="C633" s="3"/>
      <c r="D633" s="3"/>
      <c r="E633" s="5"/>
      <c r="F633" s="3"/>
      <c r="G633" s="3"/>
      <c r="H633" s="3"/>
      <c r="I633" s="3"/>
      <c r="J633" s="5"/>
    </row>
    <row r="634" spans="3:10">
      <c r="C634" s="3"/>
      <c r="D634" s="3"/>
      <c r="E634" s="5"/>
      <c r="F634" s="3"/>
      <c r="G634" s="3"/>
      <c r="H634" s="3"/>
      <c r="I634" s="3"/>
      <c r="J634" s="5"/>
    </row>
    <row r="635" spans="3:10">
      <c r="C635" s="3"/>
      <c r="D635" s="3"/>
      <c r="E635" s="5"/>
      <c r="F635" s="3"/>
      <c r="G635" s="3"/>
      <c r="H635" s="3"/>
      <c r="I635" s="3"/>
      <c r="J635" s="5"/>
    </row>
    <row r="636" spans="3:10">
      <c r="C636" s="3"/>
      <c r="D636" s="3"/>
      <c r="E636" s="5"/>
      <c r="F636" s="3"/>
      <c r="G636" s="3"/>
      <c r="H636" s="3"/>
      <c r="I636" s="3"/>
      <c r="J636" s="5"/>
    </row>
    <row r="637" spans="3:10">
      <c r="C637" s="3"/>
      <c r="D637" s="3"/>
      <c r="E637" s="5"/>
      <c r="F637" s="3"/>
      <c r="G637" s="3"/>
      <c r="H637" s="3"/>
      <c r="I637" s="3"/>
      <c r="J637" s="5"/>
    </row>
    <row r="638" spans="3:10">
      <c r="C638" s="3"/>
      <c r="D638" s="3"/>
      <c r="E638" s="5"/>
      <c r="F638" s="3"/>
      <c r="G638" s="3"/>
      <c r="H638" s="3"/>
      <c r="I638" s="3"/>
      <c r="J638" s="5"/>
    </row>
    <row r="639" spans="3:10">
      <c r="C639" s="3"/>
      <c r="D639" s="3"/>
      <c r="E639" s="5"/>
      <c r="F639" s="3"/>
      <c r="G639" s="3"/>
      <c r="H639" s="3"/>
      <c r="I639" s="3"/>
      <c r="J639" s="5"/>
    </row>
    <row r="640" spans="3:10">
      <c r="C640" s="3"/>
      <c r="D640" s="3"/>
      <c r="E640" s="5"/>
      <c r="F640" s="3"/>
      <c r="G640" s="3"/>
      <c r="H640" s="3"/>
      <c r="I640" s="3"/>
      <c r="J640" s="5"/>
    </row>
    <row r="641" spans="3:10">
      <c r="C641" s="3"/>
      <c r="D641" s="3"/>
      <c r="E641" s="5"/>
      <c r="F641" s="3"/>
      <c r="G641" s="3"/>
      <c r="H641" s="3"/>
      <c r="I641" s="3"/>
      <c r="J641" s="5"/>
    </row>
    <row r="642" spans="3:10">
      <c r="C642" s="3"/>
      <c r="D642" s="3"/>
      <c r="E642" s="5"/>
      <c r="F642" s="3"/>
      <c r="G642" s="3"/>
      <c r="H642" s="3"/>
      <c r="I642" s="3"/>
      <c r="J642" s="5"/>
    </row>
    <row r="643" spans="3:10">
      <c r="C643" s="3"/>
      <c r="D643" s="3"/>
      <c r="E643" s="5"/>
      <c r="F643" s="3"/>
      <c r="G643" s="3"/>
      <c r="H643" s="3"/>
      <c r="I643" s="3"/>
      <c r="J643" s="5"/>
    </row>
    <row r="644" spans="3:10">
      <c r="C644" s="3"/>
      <c r="D644" s="3"/>
      <c r="E644" s="5"/>
      <c r="F644" s="3"/>
      <c r="G644" s="3"/>
      <c r="H644" s="3"/>
      <c r="I644" s="3"/>
      <c r="J644" s="5"/>
    </row>
    <row r="645" spans="3:10">
      <c r="C645" s="3"/>
      <c r="D645" s="3"/>
      <c r="E645" s="5"/>
      <c r="F645" s="3"/>
      <c r="G645" s="3"/>
      <c r="H645" s="3"/>
      <c r="I645" s="3"/>
      <c r="J645" s="5"/>
    </row>
    <row r="646" spans="3:10">
      <c r="C646" s="3"/>
      <c r="D646" s="3"/>
      <c r="E646" s="5"/>
      <c r="F646" s="3"/>
      <c r="G646" s="3"/>
      <c r="H646" s="3"/>
      <c r="I646" s="3"/>
      <c r="J646" s="5"/>
    </row>
    <row r="647" spans="3:10">
      <c r="C647" s="3"/>
      <c r="D647" s="3"/>
      <c r="E647" s="5"/>
      <c r="F647" s="3"/>
      <c r="G647" s="3"/>
      <c r="H647" s="3"/>
      <c r="I647" s="3"/>
      <c r="J647" s="5"/>
    </row>
    <row r="648" spans="3:10">
      <c r="C648" s="3"/>
      <c r="D648" s="3"/>
      <c r="E648" s="5"/>
      <c r="F648" s="3"/>
      <c r="G648" s="3"/>
      <c r="H648" s="3"/>
      <c r="I648" s="3"/>
      <c r="J648" s="5"/>
    </row>
    <row r="649" spans="3:10">
      <c r="C649" s="3"/>
      <c r="D649" s="3"/>
      <c r="E649" s="5"/>
      <c r="F649" s="3"/>
      <c r="G649" s="3"/>
      <c r="H649" s="3"/>
      <c r="I649" s="3"/>
      <c r="J649" s="5"/>
    </row>
    <row r="650" spans="3:10">
      <c r="C650" s="3"/>
      <c r="D650" s="3"/>
      <c r="E650" s="5"/>
      <c r="F650" s="3"/>
      <c r="G650" s="3"/>
      <c r="H650" s="3"/>
      <c r="I650" s="3"/>
      <c r="J650" s="5"/>
    </row>
    <row r="651" spans="3:10">
      <c r="C651" s="3"/>
      <c r="D651" s="3"/>
      <c r="E651" s="5"/>
      <c r="F651" s="3"/>
      <c r="G651" s="3"/>
      <c r="H651" s="3"/>
      <c r="I651" s="3"/>
      <c r="J651" s="5"/>
    </row>
    <row r="652" spans="3:10">
      <c r="C652" s="3"/>
      <c r="D652" s="3"/>
      <c r="E652" s="5"/>
      <c r="F652" s="3"/>
      <c r="G652" s="3"/>
      <c r="H652" s="3"/>
      <c r="I652" s="3"/>
      <c r="J652" s="5"/>
    </row>
    <row r="653" spans="3:10">
      <c r="C653" s="3"/>
      <c r="D653" s="3"/>
      <c r="E653" s="5"/>
      <c r="F653" s="3"/>
      <c r="G653" s="3"/>
      <c r="H653" s="3"/>
      <c r="I653" s="3"/>
      <c r="J653" s="5"/>
    </row>
    <row r="654" spans="3:10">
      <c r="C654" s="3"/>
      <c r="D654" s="3"/>
      <c r="E654" s="5"/>
      <c r="F654" s="3"/>
      <c r="G654" s="3"/>
      <c r="H654" s="3"/>
      <c r="I654" s="3"/>
      <c r="J654" s="5"/>
    </row>
    <row r="655" spans="3:10">
      <c r="C655" s="3"/>
      <c r="D655" s="3"/>
      <c r="E655" s="5"/>
      <c r="F655" s="3"/>
      <c r="G655" s="3"/>
      <c r="H655" s="3"/>
      <c r="I655" s="3"/>
      <c r="J655" s="5"/>
    </row>
    <row r="656" spans="3:10">
      <c r="C656" s="3"/>
      <c r="D656" s="3"/>
      <c r="E656" s="5"/>
      <c r="F656" s="3"/>
      <c r="G656" s="3"/>
      <c r="H656" s="3"/>
      <c r="I656" s="3"/>
      <c r="J656" s="5"/>
    </row>
    <row r="657" spans="3:10">
      <c r="C657" s="3"/>
      <c r="D657" s="3"/>
      <c r="E657" s="5"/>
      <c r="F657" s="3"/>
      <c r="G657" s="3"/>
      <c r="H657" s="3"/>
      <c r="I657" s="3"/>
      <c r="J657" s="5"/>
    </row>
    <row r="658" spans="3:10">
      <c r="C658" s="3"/>
      <c r="D658" s="3"/>
      <c r="E658" s="5"/>
      <c r="F658" s="3"/>
      <c r="G658" s="3"/>
      <c r="H658" s="3"/>
      <c r="I658" s="3"/>
      <c r="J658" s="5"/>
    </row>
    <row r="659" spans="3:10">
      <c r="C659" s="3"/>
      <c r="D659" s="3"/>
      <c r="E659" s="5"/>
      <c r="F659" s="3"/>
      <c r="G659" s="3"/>
      <c r="H659" s="3"/>
      <c r="I659" s="3"/>
      <c r="J659" s="5"/>
    </row>
    <row r="660" spans="3:10">
      <c r="C660" s="3"/>
      <c r="D660" s="3"/>
      <c r="E660" s="5"/>
      <c r="F660" s="3"/>
      <c r="G660" s="3"/>
      <c r="H660" s="3"/>
      <c r="I660" s="3"/>
      <c r="J660" s="5"/>
    </row>
    <row r="661" spans="3:10">
      <c r="C661" s="3"/>
      <c r="D661" s="3"/>
      <c r="E661" s="5"/>
      <c r="F661" s="3"/>
      <c r="G661" s="3"/>
      <c r="H661" s="3"/>
      <c r="I661" s="3"/>
      <c r="J661" s="5"/>
    </row>
    <row r="662" spans="3:10">
      <c r="C662" s="3"/>
      <c r="D662" s="3"/>
      <c r="E662" s="5"/>
      <c r="F662" s="3"/>
      <c r="G662" s="3"/>
      <c r="H662" s="3"/>
      <c r="I662" s="3"/>
      <c r="J662" s="5"/>
    </row>
    <row r="663" spans="3:10">
      <c r="C663" s="3"/>
      <c r="D663" s="3"/>
      <c r="E663" s="5"/>
      <c r="F663" s="3"/>
      <c r="G663" s="3"/>
      <c r="H663" s="3"/>
      <c r="I663" s="3"/>
      <c r="J663" s="5"/>
    </row>
    <row r="664" spans="3:10">
      <c r="C664" s="3"/>
      <c r="D664" s="3"/>
      <c r="E664" s="5"/>
      <c r="F664" s="3"/>
      <c r="G664" s="3"/>
      <c r="H664" s="3"/>
      <c r="I664" s="3"/>
      <c r="J664" s="5"/>
    </row>
    <row r="665" spans="3:10">
      <c r="C665" s="3"/>
      <c r="D665" s="3"/>
      <c r="E665" s="5"/>
      <c r="F665" s="3"/>
      <c r="G665" s="3"/>
      <c r="H665" s="3"/>
      <c r="I665" s="3"/>
      <c r="J665" s="5"/>
    </row>
    <row r="666" spans="3:10">
      <c r="C666" s="3"/>
      <c r="D666" s="3"/>
      <c r="E666" s="5"/>
      <c r="F666" s="3"/>
      <c r="G666" s="3"/>
      <c r="H666" s="3"/>
      <c r="I666" s="3"/>
      <c r="J666" s="5"/>
    </row>
    <row r="667" spans="3:10">
      <c r="C667" s="3"/>
      <c r="D667" s="3"/>
      <c r="E667" s="5"/>
      <c r="F667" s="3"/>
      <c r="G667" s="3"/>
      <c r="H667" s="3"/>
      <c r="I667" s="3"/>
      <c r="J667" s="5"/>
    </row>
    <row r="668" spans="3:10">
      <c r="C668" s="3"/>
      <c r="D668" s="3"/>
      <c r="E668" s="5"/>
      <c r="F668" s="3"/>
      <c r="G668" s="3"/>
      <c r="H668" s="3"/>
      <c r="I668" s="3"/>
      <c r="J668" s="5"/>
    </row>
    <row r="669" spans="3:10">
      <c r="C669" s="3"/>
      <c r="D669" s="3"/>
      <c r="E669" s="5"/>
      <c r="F669" s="3"/>
      <c r="G669" s="3"/>
      <c r="H669" s="3"/>
      <c r="I669" s="3"/>
      <c r="J669" s="5"/>
    </row>
    <row r="670" spans="3:10">
      <c r="C670" s="3"/>
      <c r="D670" s="3"/>
      <c r="E670" s="5"/>
      <c r="F670" s="3"/>
      <c r="G670" s="3"/>
      <c r="H670" s="3"/>
      <c r="I670" s="3"/>
      <c r="J670" s="5"/>
    </row>
    <row r="671" spans="3:10">
      <c r="C671" s="3"/>
      <c r="D671" s="3"/>
      <c r="E671" s="5"/>
      <c r="F671" s="3"/>
      <c r="G671" s="3"/>
      <c r="H671" s="3"/>
      <c r="I671" s="3"/>
      <c r="J671" s="5"/>
    </row>
    <row r="672" spans="3:10">
      <c r="C672" s="3"/>
      <c r="D672" s="3"/>
      <c r="E672" s="5"/>
      <c r="F672" s="3"/>
      <c r="G672" s="3"/>
      <c r="H672" s="3"/>
      <c r="I672" s="3"/>
      <c r="J672" s="5"/>
    </row>
    <row r="673" spans="3:10">
      <c r="C673" s="3"/>
      <c r="D673" s="3"/>
      <c r="E673" s="5"/>
      <c r="F673" s="3"/>
      <c r="G673" s="3"/>
      <c r="H673" s="3"/>
      <c r="I673" s="3"/>
      <c r="J673" s="5"/>
    </row>
    <row r="674" spans="3:10">
      <c r="C674" s="3"/>
      <c r="D674" s="3"/>
      <c r="E674" s="5"/>
      <c r="F674" s="3"/>
      <c r="G674" s="3"/>
      <c r="H674" s="3"/>
      <c r="I674" s="3"/>
      <c r="J674" s="5"/>
    </row>
    <row r="675" spans="3:10">
      <c r="C675" s="3"/>
      <c r="D675" s="3"/>
      <c r="E675" s="5"/>
      <c r="F675" s="3"/>
      <c r="G675" s="3"/>
      <c r="H675" s="3"/>
      <c r="I675" s="3"/>
      <c r="J675" s="5"/>
    </row>
    <row r="676" spans="3:10">
      <c r="C676" s="3"/>
      <c r="D676" s="3"/>
      <c r="E676" s="5"/>
      <c r="F676" s="3"/>
      <c r="G676" s="3"/>
      <c r="H676" s="3"/>
      <c r="I676" s="3"/>
      <c r="J676" s="5"/>
    </row>
    <row r="677" spans="3:10">
      <c r="C677" s="3"/>
      <c r="D677" s="3"/>
      <c r="E677" s="5"/>
      <c r="F677" s="3"/>
      <c r="G677" s="3"/>
      <c r="H677" s="3"/>
      <c r="I677" s="3"/>
      <c r="J677" s="5"/>
    </row>
    <row r="678" spans="3:10">
      <c r="C678" s="3"/>
      <c r="D678" s="3"/>
      <c r="E678" s="5"/>
      <c r="F678" s="3"/>
      <c r="G678" s="3"/>
      <c r="H678" s="3"/>
      <c r="I678" s="3"/>
      <c r="J678" s="5"/>
    </row>
    <row r="679" spans="3:10">
      <c r="C679" s="3"/>
      <c r="D679" s="3"/>
      <c r="E679" s="5"/>
      <c r="F679" s="3"/>
      <c r="G679" s="3"/>
      <c r="H679" s="3"/>
      <c r="I679" s="3"/>
      <c r="J679" s="5"/>
    </row>
    <row r="680" spans="3:10">
      <c r="C680" s="3"/>
      <c r="D680" s="3"/>
      <c r="E680" s="5"/>
      <c r="F680" s="3"/>
      <c r="G680" s="3"/>
      <c r="H680" s="3"/>
      <c r="I680" s="3"/>
      <c r="J680" s="5"/>
    </row>
    <row r="681" spans="3:10">
      <c r="C681" s="3"/>
      <c r="D681" s="3"/>
      <c r="E681" s="5"/>
      <c r="F681" s="3"/>
      <c r="G681" s="3"/>
      <c r="H681" s="3"/>
      <c r="I681" s="3"/>
      <c r="J681" s="5"/>
    </row>
    <row r="682" spans="3:10">
      <c r="C682" s="3"/>
      <c r="D682" s="3"/>
      <c r="E682" s="5"/>
      <c r="F682" s="3"/>
      <c r="G682" s="3"/>
      <c r="H682" s="3"/>
      <c r="I682" s="3"/>
      <c r="J682" s="5"/>
    </row>
    <row r="683" spans="3:10">
      <c r="C683" s="3"/>
      <c r="D683" s="3"/>
      <c r="E683" s="5"/>
      <c r="F683" s="3"/>
      <c r="G683" s="3"/>
      <c r="H683" s="3"/>
      <c r="I683" s="3"/>
      <c r="J683" s="5"/>
    </row>
    <row r="684" spans="3:10">
      <c r="C684" s="3"/>
      <c r="D684" s="3"/>
      <c r="E684" s="5"/>
      <c r="F684" s="3"/>
      <c r="G684" s="3"/>
      <c r="H684" s="3"/>
      <c r="I684" s="3"/>
      <c r="J684" s="5"/>
    </row>
    <row r="685" spans="3:10">
      <c r="C685" s="3"/>
      <c r="D685" s="3"/>
      <c r="E685" s="5"/>
      <c r="F685" s="3"/>
      <c r="G685" s="3"/>
      <c r="H685" s="3"/>
      <c r="I685" s="3"/>
      <c r="J685" s="5"/>
    </row>
    <row r="686" spans="3:10">
      <c r="C686" s="3"/>
      <c r="D686" s="3"/>
      <c r="E686" s="5"/>
      <c r="F686" s="3"/>
      <c r="G686" s="3"/>
      <c r="H686" s="3"/>
      <c r="I686" s="3"/>
      <c r="J686" s="5"/>
    </row>
    <row r="687" spans="3:10">
      <c r="C687" s="3"/>
      <c r="D687" s="3"/>
      <c r="E687" s="5"/>
      <c r="F687" s="3"/>
      <c r="G687" s="3"/>
      <c r="H687" s="3"/>
      <c r="I687" s="3"/>
      <c r="J687" s="5"/>
    </row>
    <row r="688" spans="3:10">
      <c r="C688" s="3"/>
      <c r="D688" s="3"/>
      <c r="E688" s="5"/>
      <c r="F688" s="3"/>
      <c r="G688" s="3"/>
      <c r="H688" s="3"/>
      <c r="I688" s="3"/>
      <c r="J688" s="5"/>
    </row>
    <row r="689" spans="3:10">
      <c r="C689" s="3"/>
      <c r="D689" s="3"/>
      <c r="E689" s="5"/>
      <c r="F689" s="3"/>
      <c r="G689" s="3"/>
      <c r="H689" s="3"/>
      <c r="I689" s="3"/>
      <c r="J689" s="5"/>
    </row>
    <row r="690" spans="3:10">
      <c r="C690" s="3"/>
      <c r="D690" s="3"/>
      <c r="E690" s="5"/>
      <c r="F690" s="3"/>
      <c r="G690" s="3"/>
      <c r="H690" s="3"/>
      <c r="I690" s="3"/>
      <c r="J690" s="5"/>
    </row>
    <row r="691" spans="3:10">
      <c r="C691" s="3"/>
      <c r="D691" s="3"/>
      <c r="E691" s="5"/>
      <c r="F691" s="3"/>
      <c r="G691" s="3"/>
      <c r="H691" s="3"/>
      <c r="I691" s="3"/>
      <c r="J691" s="5"/>
    </row>
    <row r="692" spans="3:10">
      <c r="C692" s="3"/>
      <c r="D692" s="3"/>
      <c r="E692" s="5"/>
      <c r="F692" s="3"/>
      <c r="G692" s="3"/>
      <c r="H692" s="3"/>
      <c r="I692" s="3"/>
      <c r="J692" s="5"/>
    </row>
    <row r="693" spans="3:10">
      <c r="C693" s="3"/>
      <c r="D693" s="3"/>
      <c r="E693" s="5"/>
      <c r="F693" s="3"/>
      <c r="G693" s="3"/>
      <c r="H693" s="3"/>
      <c r="I693" s="3"/>
      <c r="J693" s="5"/>
    </row>
    <row r="694" spans="3:10">
      <c r="C694" s="3"/>
      <c r="D694" s="3"/>
      <c r="E694" s="5"/>
      <c r="F694" s="3"/>
      <c r="G694" s="3"/>
      <c r="H694" s="3"/>
      <c r="I694" s="3"/>
      <c r="J694" s="5"/>
    </row>
    <row r="695" spans="3:10">
      <c r="C695" s="3"/>
      <c r="D695" s="3"/>
      <c r="E695" s="5"/>
      <c r="F695" s="3"/>
      <c r="G695" s="3"/>
      <c r="H695" s="3"/>
      <c r="I695" s="3"/>
      <c r="J695" s="5"/>
    </row>
    <row r="696" spans="3:10">
      <c r="C696" s="3"/>
      <c r="D696" s="3"/>
      <c r="E696" s="5"/>
      <c r="F696" s="3"/>
      <c r="G696" s="3"/>
      <c r="H696" s="3"/>
      <c r="I696" s="3"/>
      <c r="J696" s="5"/>
    </row>
    <row r="697" spans="3:10">
      <c r="C697" s="3"/>
      <c r="D697" s="3"/>
      <c r="E697" s="5"/>
      <c r="F697" s="3"/>
      <c r="G697" s="3"/>
      <c r="H697" s="3"/>
      <c r="I697" s="3"/>
      <c r="J697" s="5"/>
    </row>
    <row r="698" spans="3:10">
      <c r="C698" s="3"/>
      <c r="D698" s="3"/>
      <c r="E698" s="5"/>
      <c r="F698" s="3"/>
      <c r="G698" s="3"/>
      <c r="H698" s="3"/>
      <c r="I698" s="3"/>
      <c r="J698" s="5"/>
    </row>
    <row r="699" spans="3:10">
      <c r="C699" s="3"/>
      <c r="D699" s="3"/>
      <c r="E699" s="5"/>
      <c r="F699" s="3"/>
      <c r="G699" s="3"/>
      <c r="H699" s="3"/>
      <c r="I699" s="3"/>
      <c r="J699" s="5"/>
    </row>
    <row r="700" spans="3:10">
      <c r="C700" s="3"/>
      <c r="D700" s="3"/>
      <c r="E700" s="5"/>
      <c r="F700" s="3"/>
      <c r="G700" s="3"/>
      <c r="H700" s="3"/>
      <c r="I700" s="3"/>
      <c r="J700" s="5"/>
    </row>
    <row r="701" spans="3:10">
      <c r="C701" s="3"/>
      <c r="D701" s="3"/>
      <c r="E701" s="5"/>
      <c r="F701" s="3"/>
      <c r="G701" s="3"/>
      <c r="H701" s="3"/>
      <c r="I701" s="3"/>
      <c r="J701" s="5"/>
    </row>
    <row r="702" spans="3:10">
      <c r="C702" s="3"/>
      <c r="D702" s="3"/>
      <c r="E702" s="5"/>
      <c r="F702" s="3"/>
      <c r="G702" s="3"/>
      <c r="H702" s="3"/>
      <c r="I702" s="3"/>
      <c r="J702" s="5"/>
    </row>
    <row r="703" spans="3:10">
      <c r="C703" s="3"/>
      <c r="D703" s="3"/>
      <c r="E703" s="5"/>
      <c r="F703" s="3"/>
      <c r="G703" s="3"/>
      <c r="H703" s="3"/>
      <c r="I703" s="3"/>
      <c r="J703" s="5"/>
    </row>
    <row r="704" spans="3:10">
      <c r="C704" s="3"/>
      <c r="D704" s="3"/>
      <c r="E704" s="5"/>
      <c r="F704" s="3"/>
      <c r="G704" s="3"/>
      <c r="H704" s="3"/>
      <c r="I704" s="3"/>
      <c r="J704" s="5"/>
    </row>
    <row r="705" spans="3:10">
      <c r="C705" s="3"/>
      <c r="D705" s="3"/>
      <c r="E705" s="5"/>
      <c r="F705" s="3"/>
      <c r="G705" s="3"/>
      <c r="H705" s="3"/>
      <c r="I705" s="3"/>
      <c r="J705" s="5"/>
    </row>
    <row r="706" spans="3:10">
      <c r="C706" s="3"/>
      <c r="D706" s="3"/>
      <c r="E706" s="5"/>
      <c r="F706" s="3"/>
      <c r="G706" s="3"/>
      <c r="H706" s="3"/>
      <c r="I706" s="3"/>
      <c r="J706" s="5"/>
    </row>
    <row r="707" spans="3:10">
      <c r="C707" s="3"/>
      <c r="D707" s="3"/>
      <c r="E707" s="5"/>
      <c r="F707" s="3"/>
      <c r="G707" s="3"/>
      <c r="H707" s="3"/>
      <c r="I707" s="3"/>
      <c r="J707" s="5"/>
    </row>
    <row r="708" spans="3:10">
      <c r="C708" s="3"/>
      <c r="D708" s="3"/>
      <c r="E708" s="5"/>
      <c r="F708" s="3"/>
      <c r="G708" s="3"/>
      <c r="H708" s="3"/>
      <c r="I708" s="3"/>
      <c r="J708" s="5"/>
    </row>
    <row r="709" spans="3:10">
      <c r="C709" s="3"/>
      <c r="D709" s="3"/>
      <c r="E709" s="5"/>
      <c r="F709" s="3"/>
      <c r="G709" s="3"/>
      <c r="H709" s="3"/>
      <c r="I709" s="3"/>
      <c r="J709" s="5"/>
    </row>
    <row r="710" spans="3:10">
      <c r="C710" s="3"/>
      <c r="D710" s="3"/>
      <c r="E710" s="5"/>
      <c r="F710" s="3"/>
      <c r="G710" s="3"/>
      <c r="H710" s="3"/>
      <c r="I710" s="3"/>
      <c r="J710" s="5"/>
    </row>
    <row r="711" spans="3:10">
      <c r="C711" s="3"/>
      <c r="D711" s="3"/>
      <c r="E711" s="5"/>
      <c r="F711" s="3"/>
      <c r="G711" s="3"/>
      <c r="H711" s="3"/>
      <c r="I711" s="3"/>
      <c r="J711" s="5"/>
    </row>
    <row r="712" spans="3:10">
      <c r="C712" s="3"/>
      <c r="D712" s="3"/>
      <c r="E712" s="5"/>
      <c r="F712" s="3"/>
      <c r="G712" s="3"/>
      <c r="H712" s="3"/>
      <c r="I712" s="3"/>
      <c r="J712" s="5"/>
    </row>
    <row r="713" spans="3:10">
      <c r="C713" s="3"/>
      <c r="D713" s="3"/>
      <c r="E713" s="5"/>
      <c r="F713" s="3"/>
      <c r="G713" s="3"/>
      <c r="H713" s="3"/>
      <c r="I713" s="3"/>
      <c r="J713" s="5"/>
    </row>
    <row r="714" spans="3:10">
      <c r="C714" s="3"/>
      <c r="D714" s="3"/>
      <c r="E714" s="5"/>
      <c r="F714" s="3"/>
      <c r="G714" s="3"/>
      <c r="H714" s="3"/>
      <c r="I714" s="3"/>
      <c r="J714" s="5"/>
    </row>
    <row r="715" spans="3:10">
      <c r="C715" s="3"/>
      <c r="D715" s="3"/>
      <c r="E715" s="5"/>
      <c r="F715" s="3"/>
      <c r="G715" s="3"/>
      <c r="H715" s="3"/>
      <c r="I715" s="3"/>
      <c r="J715" s="5"/>
    </row>
    <row r="716" spans="3:10">
      <c r="C716" s="3"/>
      <c r="D716" s="3"/>
      <c r="E716" s="5"/>
      <c r="F716" s="3"/>
      <c r="G716" s="3"/>
      <c r="H716" s="3"/>
      <c r="I716" s="3"/>
      <c r="J716" s="5"/>
    </row>
    <row r="717" spans="3:10">
      <c r="C717" s="3"/>
      <c r="D717" s="3"/>
      <c r="E717" s="5"/>
      <c r="F717" s="3"/>
      <c r="G717" s="3"/>
      <c r="H717" s="3"/>
      <c r="I717" s="3"/>
      <c r="J717" s="5"/>
    </row>
    <row r="718" spans="3:10">
      <c r="C718" s="3"/>
      <c r="D718" s="3"/>
      <c r="E718" s="5"/>
      <c r="F718" s="3"/>
      <c r="G718" s="3"/>
      <c r="H718" s="3"/>
      <c r="I718" s="3"/>
      <c r="J718" s="5"/>
    </row>
    <row r="719" spans="3:10">
      <c r="C719" s="3"/>
      <c r="D719" s="3"/>
      <c r="E719" s="5"/>
      <c r="F719" s="3"/>
      <c r="G719" s="3"/>
      <c r="H719" s="3"/>
      <c r="I719" s="3"/>
      <c r="J719" s="5"/>
    </row>
    <row r="720" spans="3:10">
      <c r="C720" s="3"/>
      <c r="D720" s="3"/>
      <c r="E720" s="5"/>
      <c r="F720" s="3"/>
      <c r="G720" s="3"/>
      <c r="H720" s="3"/>
      <c r="I720" s="3"/>
      <c r="J720" s="5"/>
    </row>
    <row r="721" spans="3:10">
      <c r="C721" s="3"/>
      <c r="D721" s="3"/>
      <c r="E721" s="5"/>
      <c r="F721" s="3"/>
      <c r="G721" s="3"/>
      <c r="H721" s="3"/>
      <c r="I721" s="3"/>
      <c r="J721" s="5"/>
    </row>
    <row r="722" spans="3:10">
      <c r="C722" s="3"/>
      <c r="D722" s="3"/>
      <c r="E722" s="5"/>
      <c r="F722" s="3"/>
      <c r="G722" s="3"/>
      <c r="H722" s="3"/>
      <c r="I722" s="3"/>
      <c r="J722" s="5"/>
    </row>
    <row r="723" spans="3:10">
      <c r="C723" s="3"/>
      <c r="D723" s="3"/>
      <c r="E723" s="5"/>
      <c r="F723" s="3"/>
      <c r="G723" s="3"/>
      <c r="H723" s="3"/>
      <c r="I723" s="3"/>
      <c r="J723" s="5"/>
    </row>
    <row r="724" spans="3:10">
      <c r="C724" s="3"/>
      <c r="D724" s="3"/>
      <c r="E724" s="5"/>
      <c r="F724" s="3"/>
      <c r="G724" s="3"/>
      <c r="H724" s="3"/>
      <c r="I724" s="3"/>
      <c r="J724" s="5"/>
    </row>
    <row r="725" spans="3:10">
      <c r="C725" s="3"/>
      <c r="D725" s="3"/>
      <c r="E725" s="5"/>
      <c r="F725" s="3"/>
      <c r="G725" s="3"/>
      <c r="H725" s="3"/>
      <c r="I725" s="3"/>
      <c r="J725" s="5"/>
    </row>
    <row r="726" spans="3:10">
      <c r="C726" s="3"/>
      <c r="D726" s="3"/>
      <c r="E726" s="5"/>
      <c r="F726" s="3"/>
      <c r="G726" s="3"/>
      <c r="H726" s="3"/>
      <c r="I726" s="3"/>
      <c r="J726" s="5"/>
    </row>
    <row r="727" spans="3:10">
      <c r="C727" s="3"/>
      <c r="D727" s="3"/>
      <c r="E727" s="5"/>
      <c r="F727" s="3"/>
      <c r="G727" s="3"/>
      <c r="H727" s="3"/>
      <c r="I727" s="3"/>
      <c r="J727" s="5"/>
    </row>
    <row r="728" spans="3:10">
      <c r="C728" s="3"/>
      <c r="D728" s="3"/>
      <c r="E728" s="5"/>
      <c r="F728" s="3"/>
      <c r="G728" s="3"/>
      <c r="H728" s="3"/>
      <c r="I728" s="3"/>
      <c r="J728" s="5"/>
    </row>
    <row r="729" spans="3:10">
      <c r="C729" s="3"/>
      <c r="D729" s="3"/>
      <c r="E729" s="5"/>
      <c r="F729" s="3"/>
      <c r="G729" s="3"/>
      <c r="H729" s="3"/>
      <c r="I729" s="3"/>
      <c r="J729" s="5"/>
    </row>
    <row r="730" spans="3:10">
      <c r="C730" s="3"/>
      <c r="D730" s="3"/>
      <c r="E730" s="5"/>
      <c r="F730" s="3"/>
      <c r="G730" s="3"/>
      <c r="H730" s="3"/>
      <c r="I730" s="3"/>
      <c r="J730" s="5"/>
    </row>
    <row r="731" spans="3:10">
      <c r="C731" s="3"/>
      <c r="D731" s="3"/>
      <c r="E731" s="5"/>
      <c r="F731" s="3"/>
      <c r="G731" s="3"/>
      <c r="H731" s="3"/>
      <c r="I731" s="3"/>
      <c r="J731" s="5"/>
    </row>
    <row r="732" spans="3:10">
      <c r="C732" s="3"/>
      <c r="D732" s="3"/>
      <c r="E732" s="5"/>
      <c r="F732" s="3"/>
      <c r="G732" s="3"/>
      <c r="H732" s="3"/>
      <c r="I732" s="3"/>
      <c r="J732" s="5"/>
    </row>
    <row r="733" spans="3:10">
      <c r="C733" s="3"/>
      <c r="D733" s="3"/>
      <c r="E733" s="5"/>
      <c r="F733" s="3"/>
      <c r="G733" s="3"/>
      <c r="H733" s="3"/>
      <c r="I733" s="3"/>
      <c r="J733" s="5"/>
    </row>
    <row r="734" spans="3:10">
      <c r="C734" s="3"/>
      <c r="D734" s="3"/>
      <c r="E734" s="5"/>
      <c r="F734" s="3"/>
      <c r="G734" s="3"/>
      <c r="H734" s="3"/>
      <c r="I734" s="3"/>
      <c r="J734" s="5"/>
    </row>
    <row r="735" spans="3:10">
      <c r="C735" s="3"/>
      <c r="D735" s="3"/>
      <c r="E735" s="5"/>
      <c r="F735" s="3"/>
      <c r="G735" s="3"/>
      <c r="H735" s="3"/>
      <c r="I735" s="3"/>
      <c r="J735" s="5"/>
    </row>
    <row r="736" spans="3:10">
      <c r="C736" s="3"/>
      <c r="D736" s="3"/>
      <c r="E736" s="5"/>
      <c r="F736" s="3"/>
      <c r="G736" s="3"/>
      <c r="H736" s="3"/>
      <c r="I736" s="3"/>
      <c r="J736" s="5"/>
    </row>
    <row r="737" spans="3:10">
      <c r="C737" s="3"/>
      <c r="D737" s="3"/>
      <c r="E737" s="5"/>
      <c r="F737" s="3"/>
      <c r="G737" s="3"/>
      <c r="H737" s="3"/>
      <c r="I737" s="3"/>
      <c r="J737" s="5"/>
    </row>
    <row r="738" spans="3:10">
      <c r="C738" s="3"/>
      <c r="D738" s="3"/>
      <c r="E738" s="5"/>
      <c r="F738" s="3"/>
      <c r="G738" s="3"/>
      <c r="H738" s="3"/>
      <c r="I738" s="3"/>
      <c r="J738" s="5"/>
    </row>
    <row r="739" spans="3:10">
      <c r="C739" s="3"/>
      <c r="D739" s="3"/>
      <c r="E739" s="5"/>
      <c r="F739" s="3"/>
      <c r="G739" s="3"/>
      <c r="H739" s="3"/>
      <c r="I739" s="3"/>
      <c r="J739" s="5"/>
    </row>
    <row r="740" spans="3:10">
      <c r="C740" s="3"/>
      <c r="D740" s="3"/>
      <c r="E740" s="5"/>
      <c r="F740" s="3"/>
      <c r="G740" s="3"/>
      <c r="H740" s="3"/>
      <c r="I740" s="3"/>
      <c r="J740" s="5"/>
    </row>
    <row r="741" spans="3:10">
      <c r="C741" s="3"/>
      <c r="D741" s="3"/>
      <c r="E741" s="5"/>
      <c r="F741" s="3"/>
      <c r="G741" s="3"/>
      <c r="H741" s="3"/>
      <c r="I741" s="3"/>
      <c r="J741" s="5"/>
    </row>
    <row r="742" spans="3:10">
      <c r="C742" s="3"/>
      <c r="D742" s="3"/>
      <c r="E742" s="5"/>
      <c r="F742" s="3"/>
      <c r="G742" s="3"/>
      <c r="H742" s="3"/>
      <c r="I742" s="3"/>
      <c r="J742" s="5"/>
    </row>
    <row r="743" spans="3:10">
      <c r="C743" s="3"/>
      <c r="D743" s="3"/>
      <c r="E743" s="5"/>
      <c r="F743" s="3"/>
      <c r="G743" s="3"/>
      <c r="H743" s="3"/>
      <c r="I743" s="3"/>
      <c r="J743" s="5"/>
    </row>
    <row r="744" spans="3:10">
      <c r="C744" s="3"/>
      <c r="D744" s="3"/>
      <c r="E744" s="5"/>
      <c r="F744" s="3"/>
      <c r="G744" s="3"/>
      <c r="H744" s="3"/>
      <c r="I744" s="3"/>
      <c r="J744" s="5"/>
    </row>
    <row r="745" spans="3:10">
      <c r="C745" s="3"/>
      <c r="D745" s="3"/>
      <c r="E745" s="5"/>
      <c r="F745" s="3"/>
      <c r="G745" s="3"/>
      <c r="H745" s="3"/>
      <c r="I745" s="3"/>
      <c r="J745" s="5"/>
    </row>
    <row r="746" spans="3:10">
      <c r="C746" s="3"/>
      <c r="D746" s="3"/>
      <c r="E746" s="5"/>
      <c r="F746" s="3"/>
      <c r="G746" s="3"/>
      <c r="H746" s="3"/>
      <c r="I746" s="3"/>
      <c r="J746" s="5"/>
    </row>
    <row r="747" spans="3:10">
      <c r="C747" s="3"/>
      <c r="D747" s="3"/>
      <c r="E747" s="5"/>
      <c r="F747" s="3"/>
      <c r="G747" s="3"/>
      <c r="H747" s="3"/>
      <c r="I747" s="3"/>
      <c r="J747" s="5"/>
    </row>
    <row r="748" spans="3:10">
      <c r="C748" s="3"/>
      <c r="D748" s="3"/>
      <c r="E748" s="5"/>
      <c r="F748" s="3"/>
      <c r="G748" s="3"/>
      <c r="H748" s="3"/>
      <c r="I748" s="3"/>
      <c r="J748" s="5"/>
    </row>
    <row r="749" spans="3:10">
      <c r="C749" s="3"/>
      <c r="D749" s="3"/>
      <c r="E749" s="5"/>
      <c r="F749" s="3"/>
      <c r="G749" s="3"/>
      <c r="H749" s="3"/>
      <c r="I749" s="3"/>
      <c r="J749" s="5"/>
    </row>
    <row r="750" spans="3:10">
      <c r="C750" s="3"/>
      <c r="D750" s="3"/>
      <c r="E750" s="5"/>
      <c r="F750" s="3"/>
      <c r="G750" s="3"/>
      <c r="H750" s="3"/>
      <c r="I750" s="3"/>
      <c r="J750" s="5"/>
    </row>
    <row r="751" spans="3:10">
      <c r="C751" s="3"/>
      <c r="D751" s="3"/>
      <c r="E751" s="5"/>
      <c r="F751" s="3"/>
      <c r="G751" s="3"/>
      <c r="H751" s="3"/>
      <c r="I751" s="3"/>
      <c r="J751" s="5"/>
    </row>
    <row r="752" spans="3:10">
      <c r="C752" s="3"/>
      <c r="D752" s="3"/>
      <c r="E752" s="5"/>
      <c r="F752" s="3"/>
      <c r="G752" s="3"/>
      <c r="H752" s="3"/>
      <c r="I752" s="3"/>
      <c r="J752" s="5"/>
    </row>
    <row r="753" spans="3:10">
      <c r="C753" s="3"/>
      <c r="D753" s="3"/>
      <c r="E753" s="5"/>
      <c r="F753" s="3"/>
      <c r="G753" s="3"/>
      <c r="H753" s="3"/>
      <c r="I753" s="3"/>
      <c r="J753" s="5"/>
    </row>
    <row r="754" spans="3:10">
      <c r="C754" s="3"/>
      <c r="D754" s="3"/>
      <c r="E754" s="5"/>
      <c r="F754" s="3"/>
      <c r="G754" s="3"/>
      <c r="H754" s="3"/>
      <c r="I754" s="3"/>
      <c r="J754" s="5"/>
    </row>
    <row r="755" spans="3:10">
      <c r="C755" s="3"/>
      <c r="D755" s="3"/>
      <c r="E755" s="5"/>
      <c r="F755" s="3"/>
      <c r="G755" s="3"/>
      <c r="H755" s="3"/>
      <c r="I755" s="3"/>
      <c r="J755" s="5"/>
    </row>
    <row r="756" spans="3:10">
      <c r="C756" s="3"/>
      <c r="D756" s="3"/>
      <c r="E756" s="5"/>
      <c r="F756" s="3"/>
      <c r="G756" s="3"/>
      <c r="H756" s="3"/>
      <c r="I756" s="3"/>
      <c r="J756" s="5"/>
    </row>
    <row r="757" spans="3:10">
      <c r="C757" s="3"/>
      <c r="D757" s="3"/>
      <c r="E757" s="5"/>
      <c r="F757" s="3"/>
      <c r="G757" s="3"/>
      <c r="H757" s="3"/>
      <c r="I757" s="3"/>
      <c r="J757" s="5"/>
    </row>
    <row r="758" spans="3:10">
      <c r="C758" s="3"/>
      <c r="D758" s="3"/>
      <c r="E758" s="5"/>
      <c r="F758" s="3"/>
      <c r="G758" s="3"/>
      <c r="H758" s="3"/>
      <c r="I758" s="3"/>
      <c r="J758" s="5"/>
    </row>
    <row r="759" spans="3:10">
      <c r="C759" s="3"/>
      <c r="D759" s="3"/>
      <c r="E759" s="5"/>
      <c r="F759" s="3"/>
      <c r="G759" s="3"/>
      <c r="H759" s="3"/>
      <c r="I759" s="3"/>
      <c r="J759" s="5"/>
    </row>
    <row r="760" spans="3:10">
      <c r="C760" s="3"/>
      <c r="D760" s="3"/>
      <c r="E760" s="5"/>
      <c r="F760" s="3"/>
      <c r="G760" s="3"/>
      <c r="H760" s="3"/>
      <c r="I760" s="3"/>
      <c r="J760" s="5"/>
    </row>
    <row r="761" spans="3:10">
      <c r="C761" s="3"/>
      <c r="D761" s="3"/>
      <c r="E761" s="5"/>
      <c r="F761" s="3"/>
      <c r="G761" s="3"/>
      <c r="H761" s="3"/>
      <c r="I761" s="3"/>
      <c r="J761" s="5"/>
    </row>
    <row r="762" spans="3:10">
      <c r="C762" s="3"/>
      <c r="D762" s="3"/>
      <c r="E762" s="5"/>
      <c r="F762" s="3"/>
      <c r="G762" s="3"/>
      <c r="H762" s="3"/>
      <c r="I762" s="3"/>
      <c r="J762" s="5"/>
    </row>
    <row r="763" spans="3:10">
      <c r="C763" s="3"/>
      <c r="D763" s="3"/>
      <c r="E763" s="5"/>
      <c r="F763" s="3"/>
      <c r="G763" s="3"/>
      <c r="H763" s="3"/>
      <c r="I763" s="3"/>
      <c r="J763" s="5"/>
    </row>
    <row r="764" spans="3:10">
      <c r="C764" s="3"/>
      <c r="D764" s="3"/>
      <c r="E764" s="5"/>
      <c r="F764" s="3"/>
      <c r="G764" s="3"/>
      <c r="H764" s="3"/>
      <c r="I764" s="3"/>
      <c r="J764" s="5"/>
    </row>
    <row r="765" spans="3:10">
      <c r="C765" s="3"/>
      <c r="D765" s="3"/>
      <c r="E765" s="5"/>
      <c r="F765" s="3"/>
      <c r="G765" s="3"/>
      <c r="H765" s="3"/>
      <c r="I765" s="3"/>
      <c r="J765" s="5"/>
    </row>
    <row r="766" spans="3:10">
      <c r="C766" s="3"/>
      <c r="D766" s="3"/>
      <c r="E766" s="5"/>
      <c r="F766" s="3"/>
      <c r="G766" s="3"/>
      <c r="H766" s="3"/>
      <c r="I766" s="3"/>
      <c r="J766" s="5"/>
    </row>
    <row r="767" spans="3:10">
      <c r="C767" s="3"/>
      <c r="D767" s="3"/>
      <c r="E767" s="5"/>
      <c r="F767" s="3"/>
      <c r="G767" s="3"/>
      <c r="H767" s="3"/>
      <c r="I767" s="3"/>
      <c r="J767" s="5"/>
    </row>
    <row r="768" spans="3:10">
      <c r="C768" s="3"/>
      <c r="D768" s="3"/>
      <c r="E768" s="5"/>
      <c r="F768" s="3"/>
      <c r="G768" s="3"/>
      <c r="H768" s="3"/>
      <c r="I768" s="3"/>
      <c r="J768" s="5"/>
    </row>
    <row r="769" spans="3:10">
      <c r="C769" s="3"/>
      <c r="D769" s="3"/>
      <c r="E769" s="5"/>
      <c r="F769" s="3"/>
      <c r="G769" s="3"/>
      <c r="H769" s="3"/>
      <c r="I769" s="3"/>
      <c r="J769" s="5"/>
    </row>
    <row r="770" spans="3:10">
      <c r="C770" s="3"/>
      <c r="D770" s="3"/>
      <c r="E770" s="5"/>
      <c r="F770" s="3"/>
      <c r="G770" s="3"/>
      <c r="H770" s="3"/>
      <c r="I770" s="3"/>
      <c r="J770" s="5"/>
    </row>
    <row r="771" spans="3:10">
      <c r="C771" s="3"/>
      <c r="D771" s="3"/>
      <c r="E771" s="5"/>
      <c r="F771" s="3"/>
      <c r="G771" s="3"/>
      <c r="H771" s="3"/>
      <c r="I771" s="3"/>
      <c r="J771" s="5"/>
    </row>
    <row r="772" spans="3:10">
      <c r="C772" s="3"/>
      <c r="D772" s="3"/>
      <c r="E772" s="5"/>
      <c r="F772" s="3"/>
      <c r="G772" s="3"/>
      <c r="H772" s="3"/>
      <c r="I772" s="3"/>
      <c r="J772" s="5"/>
    </row>
    <row r="773" spans="3:10">
      <c r="C773" s="3"/>
      <c r="D773" s="3"/>
      <c r="E773" s="5"/>
      <c r="F773" s="3"/>
      <c r="G773" s="3"/>
      <c r="H773" s="3"/>
      <c r="I773" s="3"/>
      <c r="J773" s="5"/>
    </row>
    <row r="774" spans="3:10">
      <c r="C774" s="3"/>
      <c r="D774" s="3"/>
      <c r="E774" s="5"/>
      <c r="F774" s="3"/>
      <c r="G774" s="3"/>
      <c r="H774" s="3"/>
      <c r="I774" s="3"/>
      <c r="J774" s="5"/>
    </row>
    <row r="775" spans="3:10">
      <c r="C775" s="3"/>
      <c r="D775" s="3"/>
      <c r="E775" s="5"/>
      <c r="F775" s="3"/>
      <c r="G775" s="3"/>
      <c r="H775" s="3"/>
      <c r="I775" s="3"/>
      <c r="J775" s="5"/>
    </row>
    <row r="776" spans="3:10">
      <c r="C776" s="3"/>
      <c r="D776" s="3"/>
      <c r="E776" s="5"/>
      <c r="F776" s="3"/>
      <c r="G776" s="3"/>
      <c r="H776" s="3"/>
      <c r="I776" s="3"/>
      <c r="J776" s="5"/>
    </row>
    <row r="777" spans="3:10">
      <c r="C777" s="3"/>
      <c r="D777" s="3"/>
      <c r="E777" s="5"/>
      <c r="F777" s="3"/>
      <c r="G777" s="3"/>
      <c r="H777" s="3"/>
      <c r="I777" s="3"/>
      <c r="J777" s="5"/>
    </row>
    <row r="778" spans="3:10">
      <c r="C778" s="3"/>
      <c r="D778" s="3"/>
      <c r="E778" s="5"/>
      <c r="F778" s="3"/>
      <c r="G778" s="3"/>
      <c r="H778" s="3"/>
      <c r="I778" s="3"/>
      <c r="J778" s="5"/>
    </row>
    <row r="779" spans="3:10">
      <c r="C779" s="3"/>
      <c r="D779" s="3"/>
      <c r="E779" s="5"/>
      <c r="F779" s="3"/>
      <c r="G779" s="3"/>
      <c r="H779" s="3"/>
      <c r="I779" s="3"/>
      <c r="J779" s="5"/>
    </row>
    <row r="780" spans="3:10">
      <c r="C780" s="3"/>
      <c r="D780" s="3"/>
      <c r="E780" s="5"/>
      <c r="F780" s="3"/>
      <c r="G780" s="3"/>
      <c r="H780" s="3"/>
      <c r="I780" s="3"/>
      <c r="J780" s="5"/>
    </row>
    <row r="781" spans="3:10">
      <c r="C781" s="3"/>
      <c r="D781" s="3"/>
      <c r="E781" s="5"/>
      <c r="F781" s="3"/>
      <c r="G781" s="3"/>
      <c r="H781" s="3"/>
      <c r="I781" s="3"/>
      <c r="J781" s="5"/>
    </row>
    <row r="782" spans="3:10">
      <c r="C782" s="3"/>
      <c r="D782" s="3"/>
      <c r="E782" s="5"/>
      <c r="F782" s="3"/>
      <c r="G782" s="3"/>
      <c r="H782" s="3"/>
      <c r="I782" s="3"/>
      <c r="J782" s="5"/>
    </row>
    <row r="783" spans="3:10">
      <c r="C783" s="3"/>
      <c r="D783" s="3"/>
      <c r="E783" s="5"/>
      <c r="F783" s="3"/>
      <c r="G783" s="3"/>
      <c r="H783" s="3"/>
      <c r="I783" s="3"/>
      <c r="J783" s="5"/>
    </row>
    <row r="784" spans="3:10">
      <c r="C784" s="3"/>
      <c r="D784" s="3"/>
      <c r="E784" s="5"/>
      <c r="F784" s="3"/>
      <c r="G784" s="3"/>
      <c r="H784" s="3"/>
      <c r="I784" s="3"/>
      <c r="J784" s="5"/>
    </row>
    <row r="785" spans="3:10">
      <c r="C785" s="3"/>
      <c r="D785" s="3"/>
      <c r="E785" s="5"/>
      <c r="F785" s="3"/>
      <c r="G785" s="3"/>
      <c r="H785" s="3"/>
      <c r="I785" s="3"/>
      <c r="J785" s="5"/>
    </row>
    <row r="786" spans="3:10">
      <c r="C786" s="3"/>
      <c r="D786" s="3"/>
      <c r="E786" s="5"/>
      <c r="F786" s="3"/>
      <c r="G786" s="3"/>
      <c r="H786" s="3"/>
      <c r="I786" s="3"/>
      <c r="J786" s="5"/>
    </row>
    <row r="787" spans="3:10">
      <c r="C787" s="3"/>
      <c r="D787" s="3"/>
      <c r="E787" s="5"/>
      <c r="F787" s="3"/>
      <c r="G787" s="3"/>
      <c r="H787" s="3"/>
      <c r="I787" s="3"/>
      <c r="J787" s="5"/>
    </row>
    <row r="788" spans="3:10">
      <c r="C788" s="3"/>
      <c r="D788" s="3"/>
      <c r="E788" s="5"/>
      <c r="F788" s="3"/>
      <c r="G788" s="3"/>
      <c r="H788" s="3"/>
      <c r="I788" s="3"/>
      <c r="J788" s="5"/>
    </row>
    <row r="789" spans="3:10">
      <c r="C789" s="3"/>
      <c r="D789" s="3"/>
      <c r="E789" s="5"/>
      <c r="F789" s="3"/>
      <c r="G789" s="3"/>
      <c r="H789" s="3"/>
      <c r="I789" s="3"/>
      <c r="J789" s="5"/>
    </row>
    <row r="790" spans="3:10">
      <c r="C790" s="3"/>
      <c r="D790" s="3"/>
      <c r="E790" s="5"/>
      <c r="F790" s="3"/>
      <c r="G790" s="3"/>
      <c r="H790" s="3"/>
      <c r="I790" s="3"/>
      <c r="J790" s="5"/>
    </row>
    <row r="791" spans="3:10">
      <c r="C791" s="3"/>
      <c r="D791" s="3"/>
      <c r="E791" s="5"/>
      <c r="F791" s="3"/>
      <c r="G791" s="3"/>
      <c r="H791" s="3"/>
      <c r="I791" s="3"/>
      <c r="J791" s="5"/>
    </row>
    <row r="792" spans="3:10">
      <c r="C792" s="3"/>
      <c r="D792" s="3"/>
      <c r="E792" s="5"/>
      <c r="F792" s="3"/>
      <c r="G792" s="3"/>
      <c r="H792" s="3"/>
      <c r="I792" s="3"/>
      <c r="J792" s="5"/>
    </row>
    <row r="793" spans="3:10">
      <c r="C793" s="3"/>
      <c r="D793" s="3"/>
      <c r="E793" s="5"/>
      <c r="F793" s="3"/>
      <c r="G793" s="3"/>
      <c r="H793" s="3"/>
      <c r="I793" s="3"/>
      <c r="J793" s="5"/>
    </row>
    <row r="794" spans="3:10">
      <c r="C794" s="3"/>
      <c r="D794" s="3"/>
      <c r="E794" s="5"/>
      <c r="F794" s="3"/>
      <c r="G794" s="3"/>
      <c r="H794" s="3"/>
      <c r="I794" s="3"/>
      <c r="J794" s="5"/>
    </row>
    <row r="795" spans="3:10">
      <c r="C795" s="3"/>
      <c r="D795" s="3"/>
      <c r="E795" s="5"/>
      <c r="F795" s="3"/>
      <c r="G795" s="3"/>
      <c r="H795" s="3"/>
      <c r="I795" s="3"/>
      <c r="J795" s="5"/>
    </row>
    <row r="796" spans="3:10">
      <c r="C796" s="3"/>
      <c r="D796" s="3"/>
      <c r="E796" s="5"/>
      <c r="F796" s="3"/>
      <c r="G796" s="3"/>
      <c r="H796" s="3"/>
      <c r="I796" s="3"/>
      <c r="J796" s="5"/>
    </row>
    <row r="797" spans="3:10">
      <c r="C797" s="3"/>
      <c r="D797" s="3"/>
      <c r="E797" s="5"/>
      <c r="F797" s="3"/>
      <c r="G797" s="3"/>
      <c r="H797" s="3"/>
      <c r="I797" s="3"/>
      <c r="J797" s="5"/>
    </row>
    <row r="798" spans="3:10">
      <c r="C798" s="3"/>
      <c r="D798" s="3"/>
      <c r="E798" s="5"/>
      <c r="F798" s="3"/>
      <c r="G798" s="3"/>
      <c r="H798" s="3"/>
      <c r="I798" s="3"/>
      <c r="J798" s="5"/>
    </row>
    <row r="799" spans="3:10">
      <c r="C799" s="3"/>
      <c r="D799" s="3"/>
      <c r="E799" s="5"/>
      <c r="F799" s="3"/>
      <c r="G799" s="3"/>
      <c r="H799" s="3"/>
      <c r="I799" s="3"/>
      <c r="J799" s="5"/>
    </row>
    <row r="800" spans="3:10">
      <c r="C800" s="3"/>
      <c r="D800" s="3"/>
      <c r="E800" s="5"/>
      <c r="F800" s="3"/>
      <c r="G800" s="3"/>
      <c r="H800" s="3"/>
      <c r="I800" s="3"/>
      <c r="J800" s="5"/>
    </row>
    <row r="801" spans="3:10">
      <c r="C801" s="3"/>
      <c r="D801" s="3"/>
      <c r="E801" s="5"/>
      <c r="F801" s="3"/>
      <c r="G801" s="3"/>
      <c r="H801" s="3"/>
      <c r="I801" s="3"/>
      <c r="J801" s="5"/>
    </row>
    <row r="802" spans="3:10">
      <c r="C802" s="3"/>
      <c r="D802" s="3"/>
      <c r="E802" s="5"/>
      <c r="F802" s="3"/>
      <c r="G802" s="3"/>
      <c r="H802" s="3"/>
      <c r="I802" s="3"/>
      <c r="J802" s="5"/>
    </row>
    <row r="803" spans="3:10">
      <c r="C803" s="3"/>
      <c r="D803" s="3"/>
      <c r="E803" s="5"/>
      <c r="F803" s="3"/>
      <c r="G803" s="3"/>
      <c r="H803" s="3"/>
      <c r="I803" s="3"/>
      <c r="J803" s="5"/>
    </row>
    <row r="804" spans="3:10">
      <c r="C804" s="3"/>
      <c r="D804" s="3"/>
      <c r="E804" s="5"/>
      <c r="F804" s="3"/>
      <c r="G804" s="3"/>
      <c r="H804" s="3"/>
      <c r="I804" s="3"/>
      <c r="J804" s="5"/>
    </row>
    <row r="805" spans="3:10">
      <c r="C805" s="3"/>
      <c r="D805" s="3"/>
      <c r="E805" s="5"/>
      <c r="F805" s="3"/>
      <c r="G805" s="3"/>
      <c r="H805" s="3"/>
      <c r="I805" s="3"/>
      <c r="J805" s="5"/>
    </row>
    <row r="806" spans="3:10">
      <c r="C806" s="3"/>
      <c r="D806" s="3"/>
      <c r="E806" s="5"/>
      <c r="F806" s="3"/>
      <c r="G806" s="3"/>
      <c r="H806" s="3"/>
      <c r="I806" s="3"/>
      <c r="J806" s="5"/>
    </row>
    <row r="807" spans="3:10">
      <c r="C807" s="3"/>
      <c r="D807" s="3"/>
      <c r="E807" s="5"/>
      <c r="F807" s="3"/>
      <c r="G807" s="3"/>
      <c r="H807" s="3"/>
      <c r="I807" s="3"/>
      <c r="J807" s="5"/>
    </row>
    <row r="808" spans="3:10">
      <c r="C808" s="3"/>
      <c r="D808" s="3"/>
      <c r="E808" s="5"/>
      <c r="F808" s="3"/>
      <c r="G808" s="3"/>
      <c r="H808" s="3"/>
      <c r="I808" s="3"/>
      <c r="J808" s="5"/>
    </row>
    <row r="809" spans="3:10">
      <c r="C809" s="3"/>
      <c r="D809" s="3"/>
      <c r="E809" s="5"/>
      <c r="F809" s="3"/>
      <c r="G809" s="3"/>
      <c r="H809" s="3"/>
      <c r="I809" s="3"/>
      <c r="J809" s="5"/>
    </row>
    <row r="810" spans="3:10">
      <c r="C810" s="3"/>
      <c r="D810" s="3"/>
      <c r="E810" s="5"/>
      <c r="F810" s="3"/>
      <c r="G810" s="3"/>
      <c r="H810" s="3"/>
      <c r="I810" s="3"/>
      <c r="J810" s="5"/>
    </row>
    <row r="811" spans="3:10">
      <c r="C811" s="3"/>
      <c r="D811" s="3"/>
      <c r="E811" s="5"/>
      <c r="F811" s="3"/>
      <c r="G811" s="3"/>
      <c r="H811" s="3"/>
      <c r="I811" s="3"/>
      <c r="J811" s="5"/>
    </row>
    <row r="812" spans="3:10">
      <c r="C812" s="3"/>
      <c r="D812" s="3"/>
      <c r="E812" s="5"/>
      <c r="F812" s="3"/>
      <c r="G812" s="3"/>
      <c r="H812" s="3"/>
      <c r="I812" s="3"/>
      <c r="J812" s="5"/>
    </row>
    <row r="813" spans="3:10">
      <c r="C813" s="3"/>
      <c r="D813" s="3"/>
      <c r="E813" s="5"/>
      <c r="F813" s="3"/>
      <c r="G813" s="3"/>
      <c r="H813" s="3"/>
      <c r="I813" s="3"/>
      <c r="J813" s="5"/>
    </row>
    <row r="814" spans="3:10">
      <c r="C814" s="3"/>
      <c r="D814" s="3"/>
      <c r="E814" s="5"/>
      <c r="F814" s="3"/>
      <c r="G814" s="3"/>
      <c r="H814" s="3"/>
      <c r="I814" s="3"/>
      <c r="J814" s="5"/>
    </row>
    <row r="815" spans="3:10">
      <c r="C815" s="3"/>
      <c r="D815" s="3"/>
      <c r="E815" s="5"/>
      <c r="F815" s="3"/>
      <c r="G815" s="3"/>
      <c r="H815" s="3"/>
      <c r="I815" s="3"/>
      <c r="J815" s="5"/>
    </row>
    <row r="816" spans="3:10">
      <c r="C816" s="3"/>
      <c r="D816" s="3"/>
      <c r="E816" s="5"/>
      <c r="F816" s="3"/>
      <c r="G816" s="3"/>
      <c r="H816" s="3"/>
      <c r="I816" s="3"/>
      <c r="J816" s="5"/>
    </row>
    <row r="817" spans="3:10">
      <c r="C817" s="3"/>
      <c r="D817" s="3"/>
      <c r="E817" s="5"/>
      <c r="F817" s="3"/>
      <c r="G817" s="3"/>
      <c r="H817" s="3"/>
      <c r="I817" s="3"/>
      <c r="J817" s="5"/>
    </row>
    <row r="818" spans="3:10">
      <c r="C818" s="3"/>
      <c r="D818" s="3"/>
      <c r="E818" s="5"/>
      <c r="F818" s="3"/>
      <c r="G818" s="3"/>
      <c r="H818" s="3"/>
      <c r="I818" s="3"/>
      <c r="J818" s="5"/>
    </row>
    <row r="819" spans="3:10">
      <c r="C819" s="3"/>
      <c r="D819" s="3"/>
      <c r="E819" s="5"/>
      <c r="F819" s="3"/>
      <c r="G819" s="3"/>
      <c r="H819" s="3"/>
      <c r="I819" s="3"/>
      <c r="J819" s="5"/>
    </row>
    <row r="820" spans="3:10">
      <c r="C820" s="3"/>
      <c r="D820" s="3"/>
      <c r="E820" s="5"/>
      <c r="F820" s="3"/>
      <c r="G820" s="3"/>
      <c r="H820" s="3"/>
      <c r="I820" s="3"/>
      <c r="J820" s="5"/>
    </row>
    <row r="821" spans="3:10">
      <c r="C821" s="3"/>
      <c r="D821" s="3"/>
      <c r="E821" s="5"/>
      <c r="F821" s="3"/>
      <c r="G821" s="3"/>
      <c r="H821" s="3"/>
      <c r="I821" s="3"/>
      <c r="J821" s="5"/>
    </row>
    <row r="822" spans="3:10">
      <c r="C822" s="3"/>
      <c r="D822" s="3"/>
      <c r="E822" s="5"/>
      <c r="F822" s="3"/>
      <c r="G822" s="3"/>
      <c r="H822" s="3"/>
      <c r="I822" s="3"/>
      <c r="J822" s="5"/>
    </row>
    <row r="823" spans="3:10">
      <c r="C823" s="3"/>
      <c r="D823" s="3"/>
      <c r="E823" s="5"/>
      <c r="F823" s="3"/>
      <c r="G823" s="3"/>
      <c r="H823" s="3"/>
      <c r="I823" s="3"/>
      <c r="J823" s="5"/>
    </row>
    <row r="824" spans="3:10">
      <c r="C824" s="3"/>
      <c r="D824" s="3"/>
      <c r="E824" s="5"/>
      <c r="F824" s="3"/>
      <c r="G824" s="3"/>
      <c r="H824" s="3"/>
      <c r="I824" s="3"/>
      <c r="J824" s="5"/>
    </row>
    <row r="825" spans="3:10">
      <c r="C825" s="3"/>
      <c r="D825" s="3"/>
      <c r="E825" s="5"/>
      <c r="F825" s="3"/>
      <c r="G825" s="3"/>
      <c r="H825" s="3"/>
      <c r="I825" s="3"/>
      <c r="J825" s="5"/>
    </row>
    <row r="826" spans="3:10">
      <c r="C826" s="3"/>
      <c r="D826" s="3"/>
      <c r="E826" s="5"/>
      <c r="F826" s="3"/>
      <c r="G826" s="3"/>
      <c r="H826" s="3"/>
      <c r="I826" s="3"/>
      <c r="J826" s="5"/>
    </row>
    <row r="827" spans="3:10">
      <c r="C827" s="3"/>
      <c r="D827" s="3"/>
      <c r="E827" s="5"/>
      <c r="F827" s="3"/>
      <c r="G827" s="3"/>
      <c r="H827" s="3"/>
      <c r="I827" s="3"/>
      <c r="J827" s="5"/>
    </row>
    <row r="828" spans="3:10">
      <c r="C828" s="3"/>
      <c r="D828" s="3"/>
      <c r="E828" s="5"/>
      <c r="F828" s="3"/>
      <c r="G828" s="3"/>
      <c r="H828" s="3"/>
      <c r="I828" s="3"/>
      <c r="J828" s="5"/>
    </row>
    <row r="829" spans="3:10">
      <c r="C829" s="3"/>
      <c r="D829" s="3"/>
      <c r="E829" s="5"/>
      <c r="F829" s="3"/>
      <c r="G829" s="3"/>
      <c r="H829" s="3"/>
      <c r="I829" s="3"/>
      <c r="J829" s="5"/>
    </row>
    <row r="830" spans="3:10">
      <c r="C830" s="3"/>
      <c r="D830" s="3"/>
      <c r="E830" s="5"/>
      <c r="F830" s="3"/>
      <c r="G830" s="3"/>
      <c r="H830" s="3"/>
      <c r="I830" s="3"/>
      <c r="J830" s="5"/>
    </row>
    <row r="831" spans="3:10">
      <c r="C831" s="3"/>
      <c r="D831" s="3"/>
      <c r="E831" s="5"/>
      <c r="F831" s="3"/>
      <c r="G831" s="3"/>
      <c r="H831" s="3"/>
      <c r="I831" s="3"/>
      <c r="J831" s="5"/>
    </row>
    <row r="832" spans="3:10">
      <c r="C832" s="3"/>
      <c r="D832" s="3"/>
      <c r="E832" s="5"/>
      <c r="F832" s="3"/>
      <c r="G832" s="3"/>
      <c r="H832" s="3"/>
      <c r="I832" s="3"/>
      <c r="J832" s="5"/>
    </row>
    <row r="833" spans="3:10">
      <c r="C833" s="3"/>
      <c r="D833" s="3"/>
      <c r="E833" s="5"/>
      <c r="F833" s="3"/>
      <c r="G833" s="3"/>
      <c r="H833" s="3"/>
      <c r="I833" s="3"/>
      <c r="J833" s="5"/>
    </row>
    <row r="834" spans="3:10">
      <c r="C834" s="3"/>
      <c r="D834" s="3"/>
      <c r="E834" s="5"/>
      <c r="F834" s="3"/>
      <c r="G834" s="3"/>
      <c r="H834" s="3"/>
      <c r="I834" s="3"/>
      <c r="J834" s="5"/>
    </row>
    <row r="835" spans="3:10">
      <c r="C835" s="3"/>
      <c r="D835" s="3"/>
      <c r="E835" s="5"/>
      <c r="F835" s="3"/>
      <c r="G835" s="3"/>
      <c r="H835" s="3"/>
      <c r="I835" s="3"/>
      <c r="J835" s="5"/>
    </row>
    <row r="836" spans="3:10">
      <c r="C836" s="3"/>
      <c r="D836" s="3"/>
      <c r="E836" s="5"/>
      <c r="F836" s="3"/>
      <c r="G836" s="3"/>
      <c r="H836" s="3"/>
      <c r="I836" s="3"/>
      <c r="J836" s="5"/>
    </row>
    <row r="837" spans="3:10">
      <c r="C837" s="3"/>
      <c r="D837" s="3"/>
      <c r="E837" s="5"/>
      <c r="F837" s="3"/>
      <c r="G837" s="3"/>
      <c r="H837" s="3"/>
      <c r="I837" s="3"/>
      <c r="J837" s="5"/>
    </row>
    <row r="838" spans="3:10">
      <c r="C838" s="3"/>
      <c r="D838" s="3"/>
      <c r="E838" s="5"/>
      <c r="F838" s="3"/>
      <c r="G838" s="3"/>
      <c r="H838" s="3"/>
      <c r="I838" s="3"/>
      <c r="J838" s="5"/>
    </row>
    <row r="839" spans="3:10">
      <c r="C839" s="3"/>
      <c r="D839" s="3"/>
      <c r="E839" s="5"/>
      <c r="F839" s="3"/>
      <c r="G839" s="3"/>
      <c r="H839" s="3"/>
      <c r="I839" s="3"/>
      <c r="J839" s="5"/>
    </row>
    <row r="840" spans="3:10">
      <c r="C840" s="3"/>
      <c r="D840" s="3"/>
      <c r="E840" s="5"/>
      <c r="F840" s="3"/>
      <c r="G840" s="3"/>
      <c r="H840" s="3"/>
      <c r="I840" s="3"/>
      <c r="J840" s="5"/>
    </row>
    <row r="841" spans="3:10">
      <c r="C841" s="3"/>
      <c r="D841" s="3"/>
      <c r="E841" s="5"/>
      <c r="F841" s="3"/>
      <c r="G841" s="3"/>
      <c r="H841" s="3"/>
      <c r="I841" s="3"/>
      <c r="J841" s="5"/>
    </row>
    <row r="842" spans="3:10">
      <c r="C842" s="3"/>
      <c r="D842" s="3"/>
      <c r="E842" s="5"/>
      <c r="F842" s="3"/>
      <c r="G842" s="3"/>
      <c r="H842" s="3"/>
      <c r="I842" s="3"/>
      <c r="J842" s="5"/>
    </row>
    <row r="843" spans="3:10">
      <c r="C843" s="3"/>
      <c r="D843" s="3"/>
      <c r="E843" s="5"/>
      <c r="F843" s="3"/>
      <c r="G843" s="3"/>
      <c r="H843" s="3"/>
      <c r="I843" s="3"/>
      <c r="J843" s="5"/>
    </row>
    <row r="844" spans="3:10">
      <c r="C844" s="3"/>
      <c r="D844" s="3"/>
      <c r="E844" s="5"/>
      <c r="F844" s="3"/>
      <c r="G844" s="3"/>
      <c r="H844" s="3"/>
      <c r="I844" s="3"/>
      <c r="J844" s="5"/>
    </row>
    <row r="845" spans="3:10">
      <c r="C845" s="3"/>
      <c r="D845" s="3"/>
      <c r="E845" s="5"/>
      <c r="F845" s="3"/>
      <c r="G845" s="3"/>
      <c r="H845" s="3"/>
      <c r="I845" s="3"/>
      <c r="J845" s="5"/>
    </row>
    <row r="846" spans="3:10">
      <c r="C846" s="3"/>
      <c r="D846" s="3"/>
      <c r="E846" s="5"/>
      <c r="F846" s="3"/>
      <c r="G846" s="3"/>
      <c r="H846" s="3"/>
      <c r="I846" s="3"/>
      <c r="J846" s="5"/>
    </row>
    <row r="847" spans="3:10">
      <c r="C847" s="3"/>
      <c r="D847" s="3"/>
      <c r="E847" s="5"/>
      <c r="F847" s="3"/>
      <c r="G847" s="3"/>
      <c r="H847" s="3"/>
      <c r="I847" s="3"/>
      <c r="J847" s="5"/>
    </row>
    <row r="848" spans="3:10">
      <c r="C848" s="3"/>
      <c r="D848" s="3"/>
      <c r="E848" s="5"/>
      <c r="F848" s="3"/>
      <c r="G848" s="3"/>
      <c r="H848" s="3"/>
      <c r="I848" s="3"/>
      <c r="J848" s="5"/>
    </row>
    <row r="849" spans="3:10">
      <c r="C849" s="3"/>
      <c r="D849" s="3"/>
      <c r="E849" s="5"/>
      <c r="F849" s="3"/>
      <c r="G849" s="3"/>
      <c r="H849" s="3"/>
      <c r="I849" s="3"/>
      <c r="J849" s="5"/>
    </row>
    <row r="850" spans="3:10">
      <c r="C850" s="3"/>
      <c r="D850" s="3"/>
      <c r="E850" s="5"/>
      <c r="F850" s="3"/>
      <c r="G850" s="3"/>
      <c r="H850" s="3"/>
      <c r="I850" s="3"/>
      <c r="J850" s="5"/>
    </row>
    <row r="851" spans="3:10">
      <c r="C851" s="3"/>
      <c r="D851" s="3"/>
      <c r="E851" s="5"/>
      <c r="F851" s="3"/>
      <c r="G851" s="3"/>
      <c r="H851" s="3"/>
      <c r="I851" s="3"/>
      <c r="J851" s="5"/>
    </row>
    <row r="852" spans="3:10">
      <c r="C852" s="3"/>
      <c r="D852" s="3"/>
      <c r="E852" s="5"/>
      <c r="F852" s="3"/>
      <c r="G852" s="3"/>
      <c r="H852" s="3"/>
      <c r="I852" s="3"/>
      <c r="J852" s="5"/>
    </row>
    <row r="853" spans="3:10">
      <c r="C853" s="3"/>
      <c r="D853" s="3"/>
      <c r="E853" s="5"/>
      <c r="F853" s="3"/>
      <c r="G853" s="3"/>
      <c r="H853" s="3"/>
      <c r="I853" s="3"/>
      <c r="J853" s="5"/>
    </row>
    <row r="854" spans="3:10">
      <c r="C854" s="3"/>
      <c r="D854" s="3"/>
      <c r="E854" s="5"/>
      <c r="F854" s="3"/>
      <c r="G854" s="3"/>
      <c r="H854" s="3"/>
      <c r="I854" s="3"/>
      <c r="J854" s="5"/>
    </row>
    <row r="855" spans="3:10">
      <c r="C855" s="3"/>
      <c r="D855" s="3"/>
      <c r="E855" s="5"/>
      <c r="F855" s="3"/>
      <c r="G855" s="3"/>
      <c r="H855" s="3"/>
      <c r="I855" s="3"/>
      <c r="J855" s="5"/>
    </row>
    <row r="856" spans="3:10">
      <c r="C856" s="3"/>
      <c r="D856" s="3"/>
      <c r="E856" s="5"/>
      <c r="F856" s="3"/>
      <c r="G856" s="3"/>
      <c r="H856" s="3"/>
      <c r="I856" s="3"/>
      <c r="J856" s="5"/>
    </row>
    <row r="857" spans="3:10">
      <c r="C857" s="3"/>
      <c r="D857" s="3"/>
      <c r="E857" s="5"/>
      <c r="F857" s="3"/>
      <c r="G857" s="3"/>
      <c r="H857" s="3"/>
      <c r="I857" s="3"/>
      <c r="J857" s="5"/>
    </row>
    <row r="858" spans="3:10">
      <c r="C858" s="3"/>
      <c r="D858" s="3"/>
      <c r="E858" s="5"/>
      <c r="F858" s="3"/>
      <c r="G858" s="3"/>
      <c r="H858" s="3"/>
      <c r="I858" s="3"/>
      <c r="J858" s="5"/>
    </row>
    <row r="859" spans="3:10">
      <c r="C859" s="3"/>
      <c r="D859" s="3"/>
      <c r="E859" s="5"/>
      <c r="F859" s="3"/>
      <c r="G859" s="3"/>
      <c r="H859" s="3"/>
      <c r="I859" s="3"/>
      <c r="J859" s="5"/>
    </row>
    <row r="860" spans="3:10">
      <c r="C860" s="3"/>
      <c r="D860" s="3"/>
      <c r="E860" s="5"/>
      <c r="F860" s="3"/>
      <c r="G860" s="3"/>
      <c r="H860" s="3"/>
      <c r="I860" s="3"/>
      <c r="J860" s="5"/>
    </row>
    <row r="861" spans="3:10">
      <c r="C861" s="3"/>
      <c r="D861" s="3"/>
      <c r="E861" s="5"/>
      <c r="F861" s="3"/>
      <c r="G861" s="3"/>
      <c r="H861" s="3"/>
      <c r="I861" s="3"/>
      <c r="J861" s="5"/>
    </row>
    <row r="862" spans="3:10">
      <c r="C862" s="3"/>
      <c r="D862" s="3"/>
      <c r="E862" s="5"/>
      <c r="F862" s="3"/>
      <c r="G862" s="3"/>
      <c r="H862" s="3"/>
      <c r="I862" s="3"/>
      <c r="J862" s="5"/>
    </row>
    <row r="863" spans="3:10">
      <c r="C863" s="3"/>
      <c r="D863" s="3"/>
      <c r="E863" s="5"/>
      <c r="F863" s="3"/>
      <c r="G863" s="3"/>
      <c r="H863" s="3"/>
      <c r="I863" s="3"/>
      <c r="J863" s="5"/>
    </row>
    <row r="864" spans="3:10">
      <c r="C864" s="3"/>
      <c r="D864" s="3"/>
      <c r="E864" s="5"/>
      <c r="F864" s="3"/>
      <c r="G864" s="3"/>
      <c r="H864" s="3"/>
      <c r="I864" s="3"/>
      <c r="J864" s="5"/>
    </row>
    <row r="865" spans="3:10">
      <c r="C865" s="3"/>
      <c r="D865" s="3"/>
      <c r="E865" s="5"/>
      <c r="F865" s="3"/>
      <c r="G865" s="3"/>
      <c r="H865" s="3"/>
      <c r="I865" s="3"/>
      <c r="J865" s="5"/>
    </row>
    <row r="866" spans="3:10">
      <c r="C866" s="3"/>
      <c r="D866" s="3"/>
      <c r="E866" s="5"/>
      <c r="F866" s="3"/>
      <c r="G866" s="3"/>
      <c r="H866" s="3"/>
      <c r="I866" s="3"/>
      <c r="J866" s="5"/>
    </row>
    <row r="867" spans="3:10">
      <c r="C867" s="3"/>
      <c r="D867" s="3"/>
      <c r="E867" s="5"/>
      <c r="F867" s="3"/>
      <c r="G867" s="3"/>
      <c r="H867" s="3"/>
      <c r="I867" s="3"/>
      <c r="J867" s="5"/>
    </row>
    <row r="868" spans="3:10">
      <c r="C868" s="3"/>
      <c r="D868" s="3"/>
      <c r="E868" s="5"/>
      <c r="F868" s="3"/>
      <c r="G868" s="3"/>
      <c r="H868" s="3"/>
      <c r="I868" s="3"/>
      <c r="J868" s="5"/>
    </row>
    <row r="869" spans="3:10">
      <c r="C869" s="3"/>
      <c r="D869" s="3"/>
      <c r="E869" s="5"/>
      <c r="F869" s="3"/>
      <c r="G869" s="3"/>
      <c r="H869" s="3"/>
      <c r="I869" s="3"/>
      <c r="J869" s="5"/>
    </row>
    <row r="870" spans="3:10">
      <c r="C870" s="3"/>
      <c r="D870" s="3"/>
      <c r="E870" s="5"/>
      <c r="F870" s="3"/>
      <c r="G870" s="3"/>
      <c r="H870" s="3"/>
      <c r="I870" s="3"/>
      <c r="J870" s="5"/>
    </row>
    <row r="871" spans="3:10">
      <c r="C871" s="3"/>
      <c r="D871" s="3"/>
      <c r="E871" s="5"/>
      <c r="F871" s="3"/>
      <c r="G871" s="3"/>
      <c r="H871" s="3"/>
      <c r="I871" s="3"/>
      <c r="J871" s="5"/>
    </row>
    <row r="872" spans="3:10">
      <c r="C872" s="3"/>
      <c r="D872" s="3"/>
      <c r="E872" s="5"/>
      <c r="F872" s="3"/>
      <c r="G872" s="3"/>
      <c r="H872" s="3"/>
      <c r="I872" s="3"/>
      <c r="J872" s="5"/>
    </row>
    <row r="873" spans="3:10">
      <c r="C873" s="3"/>
      <c r="D873" s="3"/>
      <c r="E873" s="5"/>
      <c r="F873" s="3"/>
      <c r="G873" s="3"/>
      <c r="H873" s="3"/>
      <c r="I873" s="3"/>
      <c r="J873" s="5"/>
    </row>
    <row r="874" spans="3:10">
      <c r="C874" s="3"/>
      <c r="D874" s="3"/>
      <c r="E874" s="5"/>
      <c r="F874" s="3"/>
      <c r="G874" s="3"/>
      <c r="H874" s="3"/>
      <c r="I874" s="3"/>
      <c r="J874" s="5"/>
    </row>
    <row r="875" spans="3:10">
      <c r="C875" s="3"/>
      <c r="D875" s="3"/>
      <c r="E875" s="5"/>
      <c r="F875" s="3"/>
      <c r="G875" s="3"/>
      <c r="H875" s="3"/>
      <c r="I875" s="3"/>
      <c r="J875" s="5"/>
    </row>
    <row r="876" spans="3:10">
      <c r="C876" s="3"/>
      <c r="D876" s="3"/>
      <c r="E876" s="5"/>
      <c r="F876" s="3"/>
      <c r="G876" s="3"/>
      <c r="H876" s="3"/>
      <c r="I876" s="3"/>
      <c r="J876" s="5"/>
    </row>
    <row r="877" spans="3:10">
      <c r="C877" s="3"/>
      <c r="D877" s="3"/>
      <c r="E877" s="5"/>
      <c r="F877" s="3"/>
      <c r="G877" s="3"/>
      <c r="H877" s="3"/>
      <c r="I877" s="3"/>
      <c r="J877" s="5"/>
    </row>
    <row r="878" spans="3:10">
      <c r="C878" s="3"/>
      <c r="D878" s="3"/>
      <c r="E878" s="5"/>
      <c r="F878" s="3"/>
      <c r="G878" s="3"/>
      <c r="H878" s="3"/>
      <c r="I878" s="3"/>
      <c r="J878" s="5"/>
    </row>
    <row r="879" spans="3:10">
      <c r="C879" s="3"/>
      <c r="D879" s="3"/>
      <c r="E879" s="5"/>
      <c r="F879" s="3"/>
      <c r="G879" s="3"/>
      <c r="H879" s="3"/>
      <c r="I879" s="3"/>
      <c r="J879" s="5"/>
    </row>
    <row r="880" spans="3:10">
      <c r="C880" s="3"/>
      <c r="D880" s="3"/>
      <c r="E880" s="5"/>
      <c r="F880" s="3"/>
      <c r="G880" s="3"/>
      <c r="H880" s="3"/>
      <c r="I880" s="3"/>
      <c r="J880" s="5"/>
    </row>
    <row r="881" spans="3:10">
      <c r="C881" s="3"/>
      <c r="D881" s="3"/>
      <c r="E881" s="5"/>
      <c r="F881" s="3"/>
      <c r="G881" s="3"/>
      <c r="H881" s="3"/>
      <c r="I881" s="3"/>
      <c r="J881" s="5"/>
    </row>
    <row r="882" spans="3:10">
      <c r="C882" s="3"/>
      <c r="D882" s="3"/>
      <c r="E882" s="5"/>
      <c r="F882" s="3"/>
      <c r="G882" s="3"/>
      <c r="H882" s="3"/>
      <c r="I882" s="3"/>
      <c r="J882" s="5"/>
    </row>
    <row r="883" spans="3:10">
      <c r="C883" s="3"/>
      <c r="D883" s="3"/>
      <c r="E883" s="5"/>
      <c r="F883" s="3"/>
      <c r="G883" s="3"/>
      <c r="H883" s="3"/>
      <c r="I883" s="3"/>
      <c r="J883" s="5"/>
    </row>
    <row r="884" spans="3:10">
      <c r="C884" s="3"/>
      <c r="D884" s="3"/>
      <c r="E884" s="5"/>
      <c r="F884" s="3"/>
      <c r="G884" s="3"/>
      <c r="H884" s="3"/>
      <c r="I884" s="3"/>
      <c r="J884" s="5"/>
    </row>
    <row r="885" spans="3:10">
      <c r="C885" s="3"/>
      <c r="D885" s="3"/>
      <c r="E885" s="5"/>
      <c r="F885" s="3"/>
      <c r="G885" s="3"/>
      <c r="H885" s="3"/>
      <c r="I885" s="3"/>
      <c r="J885" s="5"/>
    </row>
    <row r="886" spans="3:10">
      <c r="C886" s="3"/>
      <c r="D886" s="3"/>
      <c r="E886" s="5"/>
      <c r="F886" s="3"/>
      <c r="G886" s="3"/>
      <c r="H886" s="3"/>
      <c r="I886" s="3"/>
      <c r="J886" s="5"/>
    </row>
    <row r="887" spans="3:10">
      <c r="C887" s="3"/>
      <c r="D887" s="3"/>
      <c r="E887" s="5"/>
      <c r="F887" s="3"/>
      <c r="G887" s="3"/>
      <c r="H887" s="3"/>
      <c r="I887" s="3"/>
      <c r="J887" s="5"/>
    </row>
    <row r="888" spans="3:10">
      <c r="C888" s="3"/>
      <c r="D888" s="3"/>
      <c r="E888" s="5"/>
      <c r="F888" s="3"/>
      <c r="G888" s="3"/>
      <c r="H888" s="3"/>
      <c r="I888" s="3"/>
      <c r="J888" s="5"/>
    </row>
    <row r="889" spans="3:10">
      <c r="C889" s="3"/>
      <c r="D889" s="3"/>
      <c r="E889" s="5"/>
      <c r="F889" s="3"/>
      <c r="G889" s="3"/>
      <c r="H889" s="3"/>
      <c r="I889" s="3"/>
      <c r="J889" s="5"/>
    </row>
    <row r="890" spans="3:10">
      <c r="C890" s="3"/>
      <c r="D890" s="3"/>
      <c r="E890" s="5"/>
      <c r="F890" s="3"/>
      <c r="G890" s="3"/>
      <c r="H890" s="3"/>
      <c r="I890" s="3"/>
      <c r="J890" s="5"/>
    </row>
    <row r="891" spans="3:10">
      <c r="C891" s="3"/>
      <c r="D891" s="3"/>
      <c r="E891" s="5"/>
      <c r="F891" s="3"/>
      <c r="G891" s="3"/>
      <c r="H891" s="3"/>
      <c r="I891" s="3"/>
      <c r="J891" s="5"/>
    </row>
    <row r="892" spans="3:10">
      <c r="C892" s="3"/>
      <c r="D892" s="3"/>
      <c r="E892" s="5"/>
      <c r="F892" s="3"/>
      <c r="G892" s="3"/>
      <c r="H892" s="3"/>
      <c r="I892" s="3"/>
      <c r="J892" s="5"/>
    </row>
    <row r="893" spans="3:10">
      <c r="C893" s="3"/>
      <c r="D893" s="3"/>
      <c r="E893" s="5"/>
      <c r="F893" s="3"/>
      <c r="G893" s="3"/>
      <c r="H893" s="3"/>
      <c r="I893" s="3"/>
      <c r="J893" s="5"/>
    </row>
    <row r="894" spans="3:10">
      <c r="C894" s="3"/>
      <c r="D894" s="3"/>
      <c r="E894" s="5"/>
      <c r="F894" s="3"/>
      <c r="G894" s="3"/>
      <c r="H894" s="3"/>
      <c r="I894" s="3"/>
      <c r="J894" s="5"/>
    </row>
    <row r="895" spans="3:10">
      <c r="C895" s="3"/>
      <c r="D895" s="3"/>
      <c r="E895" s="5"/>
      <c r="F895" s="3"/>
      <c r="G895" s="3"/>
      <c r="H895" s="3"/>
      <c r="I895" s="3"/>
      <c r="J895" s="5"/>
    </row>
    <row r="896" spans="3:10">
      <c r="C896" s="3"/>
      <c r="D896" s="3"/>
      <c r="E896" s="5"/>
      <c r="F896" s="3"/>
      <c r="G896" s="3"/>
      <c r="H896" s="3"/>
      <c r="I896" s="3"/>
      <c r="J896" s="5"/>
    </row>
    <row r="897" spans="3:10">
      <c r="C897" s="3"/>
      <c r="D897" s="3"/>
      <c r="E897" s="5"/>
      <c r="F897" s="3"/>
      <c r="G897" s="3"/>
      <c r="H897" s="3"/>
      <c r="I897" s="3"/>
      <c r="J897" s="5"/>
    </row>
    <row r="898" spans="3:10">
      <c r="C898" s="3"/>
      <c r="D898" s="3"/>
      <c r="E898" s="5"/>
      <c r="F898" s="3"/>
      <c r="G898" s="3"/>
      <c r="H898" s="3"/>
      <c r="I898" s="3"/>
      <c r="J898" s="5"/>
    </row>
    <row r="899" spans="3:10">
      <c r="C899" s="3"/>
      <c r="D899" s="3"/>
      <c r="E899" s="5"/>
      <c r="F899" s="3"/>
      <c r="G899" s="3"/>
      <c r="H899" s="3"/>
      <c r="I899" s="3"/>
      <c r="J899" s="5"/>
    </row>
    <row r="900" spans="3:10">
      <c r="C900" s="3"/>
      <c r="D900" s="3"/>
      <c r="E900" s="5"/>
      <c r="F900" s="3"/>
      <c r="G900" s="3"/>
      <c r="H900" s="3"/>
      <c r="I900" s="3"/>
      <c r="J900" s="5"/>
    </row>
    <row r="901" spans="3:10">
      <c r="C901" s="3"/>
      <c r="D901" s="3"/>
      <c r="E901" s="5"/>
      <c r="F901" s="3"/>
      <c r="G901" s="3"/>
      <c r="H901" s="3"/>
      <c r="I901" s="3"/>
      <c r="J901" s="5"/>
    </row>
    <row r="902" spans="3:10">
      <c r="C902" s="3"/>
      <c r="D902" s="3"/>
      <c r="E902" s="5"/>
      <c r="F902" s="3"/>
      <c r="G902" s="3"/>
      <c r="H902" s="3"/>
      <c r="I902" s="3"/>
      <c r="J902" s="5"/>
    </row>
    <row r="903" spans="3:10">
      <c r="C903" s="3"/>
      <c r="D903" s="3"/>
      <c r="E903" s="5"/>
      <c r="F903" s="3"/>
      <c r="G903" s="3"/>
      <c r="H903" s="3"/>
      <c r="I903" s="3"/>
      <c r="J903" s="5"/>
    </row>
    <row r="904" spans="3:10">
      <c r="C904" s="3"/>
      <c r="D904" s="3"/>
      <c r="E904" s="5"/>
      <c r="F904" s="3"/>
      <c r="G904" s="3"/>
      <c r="H904" s="3"/>
      <c r="I904" s="3"/>
      <c r="J904" s="5"/>
    </row>
    <row r="905" spans="3:10">
      <c r="C905" s="3"/>
      <c r="D905" s="3"/>
      <c r="E905" s="5"/>
      <c r="F905" s="3"/>
      <c r="G905" s="3"/>
      <c r="H905" s="3"/>
      <c r="I905" s="3"/>
      <c r="J905" s="5"/>
    </row>
    <row r="906" spans="3:10">
      <c r="C906" s="3"/>
      <c r="D906" s="3"/>
      <c r="E906" s="5"/>
      <c r="F906" s="3"/>
      <c r="G906" s="3"/>
      <c r="H906" s="3"/>
      <c r="I906" s="3"/>
      <c r="J906" s="5"/>
    </row>
    <row r="907" spans="3:10">
      <c r="C907" s="3"/>
      <c r="D907" s="3"/>
      <c r="E907" s="5"/>
      <c r="F907" s="3"/>
      <c r="G907" s="3"/>
      <c r="H907" s="3"/>
      <c r="I907" s="3"/>
      <c r="J907" s="5"/>
    </row>
    <row r="908" spans="3:10">
      <c r="C908" s="3"/>
      <c r="D908" s="3"/>
      <c r="E908" s="5"/>
      <c r="F908" s="3"/>
      <c r="G908" s="3"/>
      <c r="H908" s="3"/>
      <c r="I908" s="3"/>
      <c r="J908" s="5"/>
    </row>
    <row r="909" spans="3:10">
      <c r="C909" s="3"/>
      <c r="D909" s="3"/>
      <c r="E909" s="5"/>
      <c r="F909" s="3"/>
      <c r="G909" s="3"/>
      <c r="H909" s="3"/>
      <c r="I909" s="3"/>
      <c r="J909" s="5"/>
    </row>
    <row r="910" spans="3:10">
      <c r="C910" s="3"/>
      <c r="D910" s="3"/>
      <c r="E910" s="5"/>
      <c r="F910" s="3"/>
      <c r="G910" s="3"/>
      <c r="H910" s="3"/>
      <c r="I910" s="3"/>
      <c r="J910" s="5"/>
    </row>
    <row r="911" spans="3:10">
      <c r="C911" s="3"/>
      <c r="D911" s="3"/>
      <c r="E911" s="5"/>
      <c r="F911" s="3"/>
      <c r="G911" s="3"/>
      <c r="H911" s="3"/>
      <c r="I911" s="3"/>
      <c r="J911" s="5"/>
    </row>
    <row r="912" spans="3:10">
      <c r="C912" s="3"/>
      <c r="D912" s="3"/>
      <c r="E912" s="5"/>
      <c r="F912" s="3"/>
      <c r="G912" s="3"/>
      <c r="H912" s="3"/>
      <c r="I912" s="3"/>
      <c r="J912" s="5"/>
    </row>
    <row r="913" spans="3:10">
      <c r="C913" s="3"/>
      <c r="D913" s="3"/>
      <c r="E913" s="5"/>
      <c r="F913" s="3"/>
      <c r="G913" s="3"/>
      <c r="H913" s="3"/>
      <c r="I913" s="3"/>
      <c r="J913" s="5"/>
    </row>
    <row r="914" spans="3:10">
      <c r="C914" s="3"/>
      <c r="D914" s="3"/>
      <c r="E914" s="5"/>
      <c r="F914" s="3"/>
      <c r="G914" s="3"/>
      <c r="H914" s="3"/>
      <c r="I914" s="3"/>
      <c r="J914" s="5"/>
    </row>
    <row r="915" spans="3:10">
      <c r="C915" s="3"/>
      <c r="D915" s="3"/>
      <c r="E915" s="5"/>
      <c r="F915" s="3"/>
      <c r="G915" s="3"/>
      <c r="H915" s="3"/>
      <c r="I915" s="3"/>
      <c r="J915" s="5"/>
    </row>
    <row r="916" spans="3:10">
      <c r="C916" s="3"/>
      <c r="D916" s="3"/>
      <c r="E916" s="5"/>
      <c r="F916" s="3"/>
      <c r="G916" s="3"/>
      <c r="H916" s="3"/>
      <c r="I916" s="3"/>
      <c r="J916" s="5"/>
    </row>
    <row r="917" spans="3:10">
      <c r="C917" s="3"/>
      <c r="D917" s="3"/>
      <c r="E917" s="5"/>
      <c r="F917" s="3"/>
      <c r="G917" s="3"/>
      <c r="H917" s="3"/>
      <c r="I917" s="3"/>
      <c r="J917" s="5"/>
    </row>
    <row r="918" spans="3:10">
      <c r="C918" s="3"/>
      <c r="D918" s="3"/>
      <c r="E918" s="5"/>
      <c r="F918" s="3"/>
      <c r="G918" s="3"/>
      <c r="H918" s="3"/>
      <c r="I918" s="3"/>
      <c r="J918" s="5"/>
    </row>
    <row r="919" spans="3:10">
      <c r="C919" s="3"/>
      <c r="D919" s="3"/>
      <c r="E919" s="5"/>
      <c r="F919" s="3"/>
      <c r="G919" s="3"/>
      <c r="H919" s="3"/>
      <c r="I919" s="3"/>
      <c r="J919" s="5"/>
    </row>
    <row r="920" spans="3:10">
      <c r="C920" s="3"/>
      <c r="D920" s="3"/>
      <c r="E920" s="5"/>
      <c r="F920" s="3"/>
      <c r="G920" s="3"/>
      <c r="H920" s="3"/>
      <c r="I920" s="3"/>
      <c r="J920" s="5"/>
    </row>
    <row r="921" spans="3:10">
      <c r="C921" s="3"/>
      <c r="D921" s="3"/>
      <c r="E921" s="5"/>
      <c r="F921" s="3"/>
      <c r="G921" s="3"/>
      <c r="H921" s="3"/>
      <c r="I921" s="3"/>
      <c r="J921" s="5"/>
    </row>
    <row r="922" spans="3:10">
      <c r="C922" s="3"/>
      <c r="D922" s="3"/>
      <c r="E922" s="5"/>
      <c r="F922" s="3"/>
      <c r="G922" s="3"/>
      <c r="H922" s="3"/>
      <c r="I922" s="3"/>
      <c r="J922" s="5"/>
    </row>
    <row r="923" spans="3:10">
      <c r="E923" s="6"/>
      <c r="J923" s="6"/>
    </row>
    <row r="924" spans="3:10">
      <c r="E924" s="6"/>
      <c r="J924" s="6"/>
    </row>
    <row r="925" spans="3:10">
      <c r="E925" s="6"/>
      <c r="J925" s="6"/>
    </row>
    <row r="926" spans="3:10">
      <c r="E926" s="6"/>
      <c r="J926" s="6"/>
    </row>
    <row r="927" spans="3:10">
      <c r="E927" s="6"/>
      <c r="J927" s="6"/>
    </row>
    <row r="928" spans="3:10">
      <c r="E928" s="6"/>
      <c r="J928" s="6"/>
    </row>
    <row r="929" spans="5:10">
      <c r="E929" s="6"/>
      <c r="J929" s="6"/>
    </row>
    <row r="930" spans="5:10">
      <c r="E930" s="6"/>
      <c r="J930" s="6"/>
    </row>
    <row r="931" spans="5:10">
      <c r="E931" s="6"/>
      <c r="J931" s="6"/>
    </row>
    <row r="932" spans="5:10">
      <c r="E932" s="6"/>
      <c r="J932" s="6"/>
    </row>
    <row r="933" spans="5:10">
      <c r="E933" s="6"/>
      <c r="J933" s="6"/>
    </row>
    <row r="934" spans="5:10">
      <c r="E934" s="6"/>
      <c r="J934" s="6"/>
    </row>
    <row r="935" spans="5:10">
      <c r="E935" s="6"/>
      <c r="J935" s="6"/>
    </row>
    <row r="936" spans="5:10">
      <c r="E936" s="6"/>
      <c r="J936" s="6"/>
    </row>
    <row r="937" spans="5:10">
      <c r="E937" s="6"/>
    </row>
    <row r="938" spans="5:10">
      <c r="E938" s="6"/>
    </row>
    <row r="939" spans="5:10">
      <c r="E939" s="6"/>
    </row>
    <row r="940" spans="5:10">
      <c r="E940" s="6"/>
    </row>
    <row r="941" spans="5:10">
      <c r="E941" s="6"/>
    </row>
    <row r="942" spans="5:10">
      <c r="E942" s="6"/>
    </row>
    <row r="943" spans="5:10">
      <c r="E943" s="6"/>
    </row>
    <row r="944" spans="5:10">
      <c r="E944" s="6"/>
    </row>
    <row r="945" spans="5:5">
      <c r="E945" s="6"/>
    </row>
    <row r="946" spans="5:5">
      <c r="E946" s="6"/>
    </row>
    <row r="947" spans="5:5">
      <c r="E947" s="6"/>
    </row>
    <row r="948" spans="5:5">
      <c r="E948" s="6"/>
    </row>
    <row r="949" spans="5:5">
      <c r="E949" s="6"/>
    </row>
    <row r="950" spans="5:5">
      <c r="E950" s="6"/>
    </row>
    <row r="951" spans="5:5">
      <c r="E951" s="6"/>
    </row>
    <row r="952" spans="5:5">
      <c r="E952" s="6"/>
    </row>
    <row r="953" spans="5:5">
      <c r="E953" s="6"/>
    </row>
    <row r="954" spans="5:5">
      <c r="E954" s="6"/>
    </row>
    <row r="955" spans="5:5">
      <c r="E955" s="6"/>
    </row>
    <row r="956" spans="5:5">
      <c r="E956" s="6"/>
    </row>
    <row r="957" spans="5:5">
      <c r="E957" s="6"/>
    </row>
    <row r="958" spans="5:5">
      <c r="E958" s="6"/>
    </row>
    <row r="959" spans="5:5">
      <c r="E959" s="6"/>
    </row>
    <row r="960" spans="5:5">
      <c r="E960" s="6"/>
    </row>
    <row r="961" spans="5:5">
      <c r="E961" s="6"/>
    </row>
    <row r="962" spans="5:5">
      <c r="E962" s="6"/>
    </row>
    <row r="963" spans="5:5">
      <c r="E963" s="6"/>
    </row>
    <row r="964" spans="5:5">
      <c r="E964" s="6"/>
    </row>
    <row r="965" spans="5:5">
      <c r="E965" s="6"/>
    </row>
    <row r="966" spans="5:5">
      <c r="E966" s="6"/>
    </row>
    <row r="967" spans="5:5">
      <c r="E967" s="6"/>
    </row>
    <row r="968" spans="5:5">
      <c r="E968" s="6"/>
    </row>
    <row r="969" spans="5:5">
      <c r="E969" s="6"/>
    </row>
    <row r="970" spans="5:5">
      <c r="E970" s="6"/>
    </row>
    <row r="971" spans="5:5">
      <c r="E971" s="6"/>
    </row>
    <row r="972" spans="5:5">
      <c r="E972" s="6"/>
    </row>
    <row r="973" spans="5:5">
      <c r="E973" s="6"/>
    </row>
    <row r="974" spans="5:5">
      <c r="E974" s="6"/>
    </row>
    <row r="975" spans="5:5">
      <c r="E975" s="6"/>
    </row>
    <row r="976" spans="5:5">
      <c r="E976" s="6"/>
    </row>
    <row r="977" spans="5:5">
      <c r="E977" s="6"/>
    </row>
    <row r="978" spans="5:5">
      <c r="E978" s="6"/>
    </row>
    <row r="979" spans="5:5">
      <c r="E979" s="6"/>
    </row>
  </sheetData>
  <dataConsolidate/>
  <printOptions horizontalCentered="1"/>
  <pageMargins left="0.13" right="0.14000000000000001" top="0.33" bottom="0.47244094488188981" header="0.23622047244094491" footer="0.47244094488188981"/>
  <pageSetup paperSize="9" scale="64" orientation="portrait" horizontalDpi="300" verticalDpi="300" r:id="rId1"/>
  <headerFooter alignWithMargins="0">
    <oddHeader>&amp;R&amp;"Arial,Bold"Attachment 3</oddHeader>
  </headerFooter>
  <rowBreaks count="5" manualBreakCount="5">
    <brk id="89" max="16383" man="1"/>
    <brk id="180" max="16383" man="1"/>
    <brk id="243" max="16383" man="1"/>
    <brk id="306" max="16383" man="1"/>
    <brk id="367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1C376B"/>
  </sheetPr>
  <dimension ref="A1:DR91"/>
  <sheetViews>
    <sheetView zoomScale="130" zoomScaleNormal="130" workbookViewId="0"/>
  </sheetViews>
  <sheetFormatPr defaultRowHeight="16.5"/>
  <cols>
    <col min="1" max="3" width="9.140625" style="126" customWidth="1"/>
    <col min="4" max="4" width="20" style="126" bestFit="1" customWidth="1"/>
    <col min="5" max="5" width="59.28515625" style="126" bestFit="1" customWidth="1"/>
    <col min="6" max="19" width="15.7109375" style="126" customWidth="1"/>
    <col min="20" max="82" width="12.7109375" style="126" customWidth="1"/>
    <col min="83" max="120" width="9.140625" style="126"/>
    <col min="121" max="121" width="11.140625" style="126" bestFit="1" customWidth="1"/>
    <col min="122" max="122" width="10.5703125" style="126" bestFit="1" customWidth="1"/>
    <col min="123" max="16384" width="9.140625" style="126"/>
  </cols>
  <sheetData>
    <row r="1" spans="1:37">
      <c r="A1" s="127" t="s">
        <v>132</v>
      </c>
    </row>
    <row r="2" spans="1:37">
      <c r="A2" s="127"/>
    </row>
    <row r="3" spans="1:37" s="150" customFormat="1">
      <c r="A3" s="150" t="s">
        <v>133</v>
      </c>
      <c r="N3" s="148"/>
      <c r="R3" s="149"/>
    </row>
    <row r="4" spans="1:37">
      <c r="L4" s="168" t="s">
        <v>134</v>
      </c>
    </row>
    <row r="5" spans="1:37">
      <c r="E5" s="134" t="s">
        <v>135</v>
      </c>
      <c r="F5" s="172"/>
      <c r="G5" s="172"/>
      <c r="H5" s="166"/>
    </row>
    <row r="6" spans="1:37">
      <c r="E6" s="126" t="s">
        <v>49</v>
      </c>
      <c r="F6" s="144">
        <v>85</v>
      </c>
      <c r="L6" s="167" t="s">
        <v>136</v>
      </c>
    </row>
    <row r="7" spans="1:37">
      <c r="E7" s="126" t="s">
        <v>137</v>
      </c>
      <c r="F7" s="144">
        <v>120</v>
      </c>
      <c r="G7" s="164"/>
      <c r="H7" s="164"/>
      <c r="L7" s="167" t="s">
        <v>138</v>
      </c>
    </row>
    <row r="8" spans="1:37">
      <c r="E8" s="126" t="s">
        <v>139</v>
      </c>
      <c r="F8" s="144">
        <v>60</v>
      </c>
      <c r="G8" s="164"/>
      <c r="H8" s="164"/>
      <c r="L8" s="167" t="s">
        <v>138</v>
      </c>
    </row>
    <row r="9" spans="1:37">
      <c r="E9" s="126" t="s">
        <v>126</v>
      </c>
      <c r="F9" s="144">
        <v>60</v>
      </c>
      <c r="G9" s="164"/>
      <c r="H9" s="164"/>
      <c r="L9" s="167" t="s">
        <v>138</v>
      </c>
      <c r="AA9" s="128"/>
      <c r="AC9" s="133"/>
    </row>
    <row r="10" spans="1:37">
      <c r="F10" s="138"/>
      <c r="G10" s="164"/>
      <c r="H10" s="164"/>
      <c r="L10" s="167"/>
      <c r="AA10" s="128"/>
      <c r="AC10" s="133"/>
    </row>
    <row r="11" spans="1:37">
      <c r="E11" s="126" t="s">
        <v>140</v>
      </c>
      <c r="F11" s="177">
        <f>60/65</f>
        <v>0.92307692307692313</v>
      </c>
      <c r="G11" s="164"/>
      <c r="H11"/>
      <c r="L11" s="167" t="s">
        <v>141</v>
      </c>
      <c r="AA11" s="128"/>
      <c r="AC11" s="133"/>
    </row>
    <row r="12" spans="1:37">
      <c r="E12" s="126" t="s">
        <v>142</v>
      </c>
      <c r="F12" s="177">
        <f>40/41</f>
        <v>0.97560975609756095</v>
      </c>
      <c r="G12" s="164"/>
      <c r="H12"/>
      <c r="L12" s="167" t="s">
        <v>141</v>
      </c>
      <c r="AA12" s="128"/>
      <c r="AC12" s="133"/>
    </row>
    <row r="13" spans="1:37">
      <c r="F13" s="138"/>
      <c r="G13" s="164"/>
      <c r="H13" s="164"/>
      <c r="L13" s="167"/>
      <c r="AA13" s="128"/>
      <c r="AC13" s="133"/>
    </row>
    <row r="14" spans="1:37">
      <c r="E14" s="134" t="s">
        <v>143</v>
      </c>
      <c r="F14" s="144">
        <v>1999</v>
      </c>
      <c r="G14" s="164"/>
      <c r="H14" s="164"/>
      <c r="L14" s="167"/>
      <c r="AA14" s="128"/>
      <c r="AC14" s="133"/>
      <c r="AF14"/>
      <c r="AG14"/>
      <c r="AH14"/>
      <c r="AI14"/>
      <c r="AJ14"/>
      <c r="AK14"/>
    </row>
    <row r="15" spans="1:37">
      <c r="E15" s="134" t="s">
        <v>144</v>
      </c>
      <c r="F15" s="144">
        <v>2012</v>
      </c>
      <c r="AF15"/>
      <c r="AG15"/>
      <c r="AH15"/>
      <c r="AI15"/>
      <c r="AJ15"/>
      <c r="AK15"/>
    </row>
    <row r="16" spans="1:37">
      <c r="E16" s="134" t="s">
        <v>145</v>
      </c>
      <c r="F16" s="144">
        <v>2022</v>
      </c>
      <c r="AF16"/>
      <c r="AG16"/>
      <c r="AH16"/>
      <c r="AI16"/>
      <c r="AJ16"/>
      <c r="AK16"/>
    </row>
    <row r="17" spans="1:37" s="138" customFormat="1">
      <c r="E17" s="178"/>
      <c r="F17" s="169"/>
      <c r="N17" s="139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</row>
    <row r="18" spans="1:37" s="138" customFormat="1">
      <c r="E18" s="146" t="s">
        <v>146</v>
      </c>
      <c r="F18" s="147"/>
      <c r="N18" s="139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</row>
    <row r="19" spans="1:37" s="138" customFormat="1">
      <c r="E19" s="126" t="s">
        <v>147</v>
      </c>
      <c r="F19" s="144">
        <v>373.6</v>
      </c>
      <c r="G19" s="140">
        <f>F19*10^3/'DORC proposal'!J113</f>
        <v>0.74221605138013247</v>
      </c>
      <c r="L19" s="167" t="s">
        <v>148</v>
      </c>
      <c r="N19" s="13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</row>
    <row r="20" spans="1:37" s="138" customFormat="1">
      <c r="E20" s="126" t="s">
        <v>149</v>
      </c>
      <c r="F20" s="144">
        <v>209.9</v>
      </c>
      <c r="G20" s="140">
        <f>F20*10^3/('DORC proposal'!J328+'DORC proposal'!J396)</f>
        <v>0.77704172267539118</v>
      </c>
      <c r="L20" s="167" t="s">
        <v>148</v>
      </c>
      <c r="N20" s="139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</row>
    <row r="21" spans="1:37" s="138" customFormat="1">
      <c r="E21" s="126"/>
      <c r="F21" s="169"/>
      <c r="G21" s="140"/>
      <c r="L21" s="167"/>
      <c r="N21" s="139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</row>
    <row r="22" spans="1:37" s="138" customFormat="1">
      <c r="E22" s="146" t="s">
        <v>150</v>
      </c>
      <c r="F22" s="147"/>
      <c r="G22" s="378" t="s">
        <v>151</v>
      </c>
      <c r="L22" s="167"/>
      <c r="N22" s="139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7" s="138" customFormat="1">
      <c r="E23" s="126" t="s">
        <v>152</v>
      </c>
      <c r="F23" s="177">
        <f>'[1]SA RAB Roll Fwd 1999-2011'!$O$21</f>
        <v>370.40335403875167</v>
      </c>
      <c r="G23" s="144">
        <f>'[1]SA RAB Roll Fwd 1999-2011'!$T$20</f>
        <v>47</v>
      </c>
      <c r="L23" s="167"/>
      <c r="N23" s="139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7" s="138" customFormat="1">
      <c r="E24" s="126" t="s">
        <v>153</v>
      </c>
      <c r="F24" s="379">
        <f>'[1]SA RAB Roll Fwd 1999-2011'!$O$29</f>
        <v>173.14872578234971</v>
      </c>
      <c r="G24" s="144">
        <f>'[1]SA RAB Roll Fwd 1999-2011'!$T$28</f>
        <v>27</v>
      </c>
      <c r="L24" s="167"/>
      <c r="N24" s="139"/>
      <c r="R24" s="140"/>
      <c r="X24" s="126"/>
      <c r="Y24" s="126"/>
    </row>
    <row r="25" spans="1:37" s="138" customFormat="1">
      <c r="E25" s="126"/>
      <c r="F25" s="321"/>
      <c r="L25" s="167"/>
      <c r="N25" s="139"/>
      <c r="R25" s="140"/>
      <c r="X25" s="126"/>
      <c r="Y25" s="126"/>
    </row>
    <row r="26" spans="1:37" s="150" customFormat="1">
      <c r="A26" s="150" t="s">
        <v>154</v>
      </c>
      <c r="N26" s="148"/>
      <c r="R26" s="149"/>
    </row>
    <row r="27" spans="1:37" s="138" customFormat="1">
      <c r="E27" s="126"/>
      <c r="F27" s="321"/>
      <c r="L27" s="167"/>
      <c r="N27" s="139"/>
      <c r="R27" s="140"/>
      <c r="X27" s="126"/>
      <c r="Y27" s="126"/>
    </row>
    <row r="28" spans="1:37" s="138" customFormat="1" ht="35.25" customHeight="1">
      <c r="F28" s="385" t="s">
        <v>155</v>
      </c>
      <c r="G28" s="385" t="s">
        <v>156</v>
      </c>
      <c r="H28" s="385" t="s">
        <v>157</v>
      </c>
      <c r="I28" s="385" t="s">
        <v>158</v>
      </c>
      <c r="J28" s="385" t="s">
        <v>159</v>
      </c>
      <c r="K28" s="380"/>
      <c r="L28" s="167"/>
      <c r="N28" s="139"/>
      <c r="R28" s="140"/>
      <c r="X28" s="126"/>
      <c r="Y28" s="126"/>
    </row>
    <row r="29" spans="1:37" s="138" customFormat="1">
      <c r="E29" s="126" t="s">
        <v>160</v>
      </c>
      <c r="F29" s="381">
        <f>F23</f>
        <v>370.40335403875167</v>
      </c>
      <c r="G29" s="381">
        <f>$F$16-$F$15</f>
        <v>10</v>
      </c>
      <c r="H29" s="381">
        <f>G29/G23*F29</f>
        <v>78.80922426356419</v>
      </c>
      <c r="I29" s="380">
        <f>F29-H29</f>
        <v>291.59412977518747</v>
      </c>
      <c r="J29" s="380">
        <f>I29*'Inflation assumptions'!$R$19</f>
        <v>414.14652912269383</v>
      </c>
      <c r="K29" s="380"/>
      <c r="L29" s="382"/>
      <c r="M29" s="383"/>
      <c r="N29" s="139"/>
      <c r="R29" s="140"/>
      <c r="X29" s="126"/>
      <c r="Y29" s="126"/>
    </row>
    <row r="30" spans="1:37" s="138" customFormat="1">
      <c r="E30" s="126" t="s">
        <v>161</v>
      </c>
      <c r="F30" s="381">
        <f>F24*(1-'kms replaced'!E57)</f>
        <v>170.95028304709101</v>
      </c>
      <c r="G30" s="381">
        <f>$F$16-$F$15</f>
        <v>10</v>
      </c>
      <c r="H30" s="381">
        <f>G30/G24*F30</f>
        <v>63.314919647070738</v>
      </c>
      <c r="I30" s="380">
        <f>F30-H30</f>
        <v>107.63536340002027</v>
      </c>
      <c r="J30" s="380">
        <f>I30*'Inflation assumptions'!$R$19</f>
        <v>152.87280370611694</v>
      </c>
      <c r="K30" s="383"/>
      <c r="L30" s="382"/>
      <c r="M30" s="383"/>
      <c r="N30" s="139"/>
      <c r="R30" s="140"/>
      <c r="X30" s="126"/>
      <c r="Y30" s="126"/>
    </row>
    <row r="31" spans="1:37" s="138" customFormat="1" ht="17.25" thickBot="1">
      <c r="E31" s="126"/>
      <c r="F31" s="384">
        <f>SUM(F29:F30)</f>
        <v>541.35363708584271</v>
      </c>
      <c r="G31" s="383"/>
      <c r="H31" s="384">
        <f>SUM(H29:H30)</f>
        <v>142.12414391063493</v>
      </c>
      <c r="I31" s="384">
        <f>SUM(I29:I30)</f>
        <v>399.22949317520772</v>
      </c>
      <c r="J31" s="384">
        <f>SUM(J29:J30)</f>
        <v>567.01933282881078</v>
      </c>
      <c r="K31" s="383"/>
      <c r="L31" s="382"/>
      <c r="M31" s="383"/>
      <c r="N31" s="139"/>
      <c r="R31" s="140"/>
      <c r="X31" s="126"/>
      <c r="Y31" s="126"/>
    </row>
    <row r="32" spans="1:37" s="138" customFormat="1" ht="17.25" thickTop="1">
      <c r="E32" s="126"/>
      <c r="F32" s="321"/>
      <c r="L32" s="167"/>
      <c r="N32" s="139"/>
      <c r="R32" s="140"/>
      <c r="X32" s="126"/>
      <c r="Y32" s="126"/>
    </row>
    <row r="33" spans="1:77" s="150" customFormat="1">
      <c r="A33" s="150" t="s">
        <v>162</v>
      </c>
      <c r="N33" s="148"/>
      <c r="R33" s="149"/>
    </row>
    <row r="35" spans="1:77"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T35" s="134"/>
    </row>
    <row r="36" spans="1:77" s="138" customFormat="1">
      <c r="E36" s="127" t="s">
        <v>163</v>
      </c>
      <c r="K36"/>
      <c r="L36"/>
      <c r="M36"/>
      <c r="P36" s="139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BT36"/>
      <c r="BU36"/>
      <c r="BV36"/>
      <c r="BW36"/>
    </row>
    <row r="37" spans="1:77" ht="66" customHeight="1">
      <c r="A37" s="171"/>
      <c r="D37" s="171"/>
      <c r="E37" s="171"/>
      <c r="F37" s="171" t="s">
        <v>164</v>
      </c>
      <c r="G37" s="171" t="s">
        <v>165</v>
      </c>
      <c r="H37" s="171" t="s">
        <v>166</v>
      </c>
      <c r="I37" s="171" t="s">
        <v>167</v>
      </c>
      <c r="K37" s="171" t="s">
        <v>168</v>
      </c>
      <c r="L37" s="171" t="s">
        <v>169</v>
      </c>
      <c r="M37" s="171" t="s">
        <v>170</v>
      </c>
      <c r="N37" s="171" t="s">
        <v>171</v>
      </c>
      <c r="O37" s="171" t="s">
        <v>172</v>
      </c>
      <c r="P37" s="171" t="s">
        <v>173</v>
      </c>
      <c r="R37" s="181">
        <v>1999</v>
      </c>
      <c r="S37" s="181">
        <f>R37+1</f>
        <v>2000</v>
      </c>
      <c r="T37" s="181">
        <f t="shared" ref="T37:AN37" si="0">S37+1</f>
        <v>2001</v>
      </c>
      <c r="U37" s="181">
        <f t="shared" si="0"/>
        <v>2002</v>
      </c>
      <c r="V37" s="181">
        <f t="shared" si="0"/>
        <v>2003</v>
      </c>
      <c r="W37" s="181">
        <f t="shared" si="0"/>
        <v>2004</v>
      </c>
      <c r="X37" s="181">
        <f t="shared" si="0"/>
        <v>2005</v>
      </c>
      <c r="Y37" s="181">
        <f t="shared" si="0"/>
        <v>2006</v>
      </c>
      <c r="Z37" s="181">
        <f t="shared" si="0"/>
        <v>2007</v>
      </c>
      <c r="AA37" s="181">
        <f t="shared" si="0"/>
        <v>2008</v>
      </c>
      <c r="AB37" s="181">
        <f t="shared" si="0"/>
        <v>2009</v>
      </c>
      <c r="AC37" s="181">
        <f t="shared" si="0"/>
        <v>2010</v>
      </c>
      <c r="AD37" s="181">
        <f t="shared" si="0"/>
        <v>2011</v>
      </c>
      <c r="AE37" s="181">
        <f t="shared" si="0"/>
        <v>2012</v>
      </c>
      <c r="AF37" s="181">
        <f t="shared" si="0"/>
        <v>2013</v>
      </c>
      <c r="AG37" s="181">
        <f t="shared" si="0"/>
        <v>2014</v>
      </c>
      <c r="AH37" s="181">
        <f t="shared" si="0"/>
        <v>2015</v>
      </c>
      <c r="AI37" s="181">
        <f t="shared" si="0"/>
        <v>2016</v>
      </c>
      <c r="AJ37" s="181">
        <f t="shared" si="0"/>
        <v>2017</v>
      </c>
      <c r="AK37" s="181">
        <f t="shared" si="0"/>
        <v>2018</v>
      </c>
      <c r="AL37" s="181">
        <f t="shared" si="0"/>
        <v>2019</v>
      </c>
      <c r="AM37" s="181">
        <f t="shared" si="0"/>
        <v>2020</v>
      </c>
      <c r="AN37" s="181">
        <f t="shared" si="0"/>
        <v>2021</v>
      </c>
      <c r="AO37" s="184" t="s">
        <v>174</v>
      </c>
      <c r="AP37" s="184" t="s">
        <v>175</v>
      </c>
      <c r="AR37" s="184" t="s">
        <v>176</v>
      </c>
      <c r="AU37"/>
      <c r="BT37"/>
      <c r="BU37"/>
      <c r="BV37"/>
      <c r="BW37"/>
    </row>
    <row r="38" spans="1:77">
      <c r="B38" s="171">
        <v>5</v>
      </c>
      <c r="C38" s="126" t="s">
        <v>177</v>
      </c>
      <c r="D38" s="126" t="s">
        <v>178</v>
      </c>
      <c r="E38" s="126" t="s">
        <v>179</v>
      </c>
      <c r="F38" s="129">
        <f>INDEX('DORC proposal'!$C$13:$C$423,'ICB calcs - per asset calc'!$B38)</f>
        <v>121.06</v>
      </c>
      <c r="G38" s="128">
        <f>INDEX('DORC proposal'!$F$13:$F$423,'ICB calcs - per asset calc'!$B38)</f>
        <v>24.709223525524532</v>
      </c>
      <c r="H38" s="129">
        <f>INDEX('DORC proposal'!$J$13:$J$423,'ICB calcs - per asset calc'!$B38)</f>
        <v>7777.6358826076912</v>
      </c>
      <c r="I38" s="143">
        <f t="shared" ref="I38:I53" si="1">H38*$G$19</f>
        <v>5772.686193861512</v>
      </c>
      <c r="K38" s="128">
        <f>INDEX('DORC proposal'!$G$13:$G$423,'ICB calcs - per asset calc'!$B38)</f>
        <v>130</v>
      </c>
      <c r="L38" s="141">
        <f>$F$7</f>
        <v>120</v>
      </c>
      <c r="M38" s="129">
        <f t="shared" ref="M38:M53" si="2">MAX(K38-$G38,0)</f>
        <v>105.29077647447546</v>
      </c>
      <c r="N38" s="179">
        <f t="shared" ref="N38:N53" si="3">MAX(L38-$G38,0)</f>
        <v>95.290776474475464</v>
      </c>
      <c r="O38" s="128">
        <f>MAX(N38*$F$11-($F$15-$F$14),0)</f>
        <v>74.960716745669657</v>
      </c>
      <c r="P38" s="128">
        <f>MAX(O38-($F$16-$F$15),0)</f>
        <v>64.960716745669657</v>
      </c>
      <c r="R38" s="182">
        <f t="shared" ref="R38:AA47" si="4">IF($P38=0,"Fully dep",IF(R$37&lt;$F$15,1/$N38*$I38,($I38-SUM($R38:$AD38))/$O38))</f>
        <v>60.579695196499749</v>
      </c>
      <c r="S38" s="182">
        <f t="shared" si="4"/>
        <v>60.579695196499749</v>
      </c>
      <c r="T38" s="182">
        <f t="shared" si="4"/>
        <v>60.579695196499749</v>
      </c>
      <c r="U38" s="182">
        <f t="shared" si="4"/>
        <v>60.579695196499749</v>
      </c>
      <c r="V38" s="182">
        <f t="shared" si="4"/>
        <v>60.579695196499749</v>
      </c>
      <c r="W38" s="182">
        <f t="shared" si="4"/>
        <v>60.579695196499749</v>
      </c>
      <c r="X38" s="182">
        <f t="shared" si="4"/>
        <v>60.579695196499749</v>
      </c>
      <c r="Y38" s="182">
        <f t="shared" si="4"/>
        <v>60.579695196499749</v>
      </c>
      <c r="Z38" s="182">
        <f t="shared" si="4"/>
        <v>60.579695196499749</v>
      </c>
      <c r="AA38" s="182">
        <f t="shared" si="4"/>
        <v>60.579695196499749</v>
      </c>
      <c r="AB38" s="182">
        <f t="shared" ref="AB38:AN47" si="5">IF($P38=0,"Fully dep",IF(AB$37&lt;$F$15,1/$N38*$I38,($I38-SUM($R38:$AD38))/$O38))</f>
        <v>60.579695196499749</v>
      </c>
      <c r="AC38" s="182">
        <f t="shared" si="5"/>
        <v>60.579695196499749</v>
      </c>
      <c r="AD38" s="182">
        <f t="shared" si="5"/>
        <v>60.579695196499749</v>
      </c>
      <c r="AE38" s="182">
        <f t="shared" si="5"/>
        <v>66.50350173706147</v>
      </c>
      <c r="AF38" s="182">
        <f t="shared" si="5"/>
        <v>66.50350173706147</v>
      </c>
      <c r="AG38" s="182">
        <f t="shared" si="5"/>
        <v>66.50350173706147</v>
      </c>
      <c r="AH38" s="182">
        <f t="shared" si="5"/>
        <v>66.50350173706147</v>
      </c>
      <c r="AI38" s="182">
        <f t="shared" si="5"/>
        <v>66.50350173706147</v>
      </c>
      <c r="AJ38" s="182">
        <f t="shared" si="5"/>
        <v>66.50350173706147</v>
      </c>
      <c r="AK38" s="182">
        <f t="shared" si="5"/>
        <v>66.50350173706147</v>
      </c>
      <c r="AL38" s="182">
        <f t="shared" si="5"/>
        <v>66.50350173706147</v>
      </c>
      <c r="AM38" s="182">
        <f t="shared" si="5"/>
        <v>66.50350173706147</v>
      </c>
      <c r="AN38" s="182">
        <f t="shared" si="5"/>
        <v>66.50350173706147</v>
      </c>
      <c r="AO38" s="252">
        <f t="shared" ref="AO38:AO53" si="6">IF(AN38="Fully dep",0,$I38-SUM(R38:AN38))</f>
        <v>4320.1151389364004</v>
      </c>
      <c r="AP38" s="135">
        <f>AO38*'Inflation assumptions'!$R$18</f>
        <v>7358.0835343218887</v>
      </c>
      <c r="AR38" s="135">
        <f t="shared" ref="AR38:AR53" si="7">AP38/$AP$54*$J$29*10^3</f>
        <v>8462.5621206004071</v>
      </c>
      <c r="AU38"/>
      <c r="BT38"/>
      <c r="BU38"/>
      <c r="BV38"/>
      <c r="BW38"/>
      <c r="BX38" s="179"/>
      <c r="BY38" s="179"/>
    </row>
    <row r="39" spans="1:77">
      <c r="B39" s="171">
        <v>10</v>
      </c>
      <c r="C39" s="126" t="s">
        <v>177</v>
      </c>
      <c r="D39" s="126" t="s">
        <v>178</v>
      </c>
      <c r="E39" s="126" t="s">
        <v>180</v>
      </c>
      <c r="F39" s="129">
        <f>INDEX('DORC proposal'!$C$13:$C$423,'ICB calcs - per asset calc'!$B39)</f>
        <v>461.77</v>
      </c>
      <c r="G39" s="128">
        <f>INDEX('DORC proposal'!$F$13:$F$423,'ICB calcs - per asset calc'!$B39)</f>
        <v>17.417591008510733</v>
      </c>
      <c r="H39" s="129">
        <f>INDEX('DORC proposal'!$J$13:$J$423,'ICB calcs - per asset calc'!$B39)</f>
        <v>48876.57927842308</v>
      </c>
      <c r="I39" s="143">
        <f t="shared" si="1"/>
        <v>36276.981676999181</v>
      </c>
      <c r="K39" s="128">
        <f>INDEX('DORC proposal'!$G$13:$G$423,'ICB calcs - per asset calc'!$B39)</f>
        <v>130.00000000000003</v>
      </c>
      <c r="L39" s="141">
        <f>$F$7</f>
        <v>120</v>
      </c>
      <c r="M39" s="129">
        <f t="shared" si="2"/>
        <v>112.5824089914893</v>
      </c>
      <c r="N39" s="129">
        <f t="shared" si="3"/>
        <v>102.58240899148927</v>
      </c>
      <c r="O39" s="128">
        <f t="shared" ref="O39:O53" si="8">MAX(N39*$F$11-($F$15-$F$14),0)</f>
        <v>81.691454453682411</v>
      </c>
      <c r="P39" s="128">
        <f t="shared" ref="P39:P53" si="9">MAX(O39-($F$16-$F$15),0)</f>
        <v>71.691454453682411</v>
      </c>
      <c r="R39" s="182">
        <f t="shared" si="4"/>
        <v>353.63745142706574</v>
      </c>
      <c r="S39" s="182">
        <f t="shared" si="4"/>
        <v>353.63745142706574</v>
      </c>
      <c r="T39" s="182">
        <f t="shared" si="4"/>
        <v>353.63745142706574</v>
      </c>
      <c r="U39" s="182">
        <f t="shared" si="4"/>
        <v>353.63745142706574</v>
      </c>
      <c r="V39" s="182">
        <f t="shared" si="4"/>
        <v>353.63745142706574</v>
      </c>
      <c r="W39" s="182">
        <f t="shared" si="4"/>
        <v>353.63745142706574</v>
      </c>
      <c r="X39" s="182">
        <f t="shared" si="4"/>
        <v>353.63745142706574</v>
      </c>
      <c r="Y39" s="182">
        <f t="shared" si="4"/>
        <v>353.63745142706574</v>
      </c>
      <c r="Z39" s="182">
        <f t="shared" si="4"/>
        <v>353.63745142706574</v>
      </c>
      <c r="AA39" s="182">
        <f t="shared" si="4"/>
        <v>353.63745142706574</v>
      </c>
      <c r="AB39" s="182">
        <f t="shared" si="5"/>
        <v>353.63745142706574</v>
      </c>
      <c r="AC39" s="182">
        <f t="shared" si="5"/>
        <v>353.63745142706574</v>
      </c>
      <c r="AD39" s="182">
        <f t="shared" si="5"/>
        <v>353.63745142706574</v>
      </c>
      <c r="AE39" s="182">
        <f t="shared" si="5"/>
        <v>387.79692466375593</v>
      </c>
      <c r="AF39" s="182">
        <f t="shared" si="5"/>
        <v>387.79692466375593</v>
      </c>
      <c r="AG39" s="182">
        <f t="shared" si="5"/>
        <v>387.79692466375593</v>
      </c>
      <c r="AH39" s="182">
        <f t="shared" si="5"/>
        <v>387.79692466375593</v>
      </c>
      <c r="AI39" s="182">
        <f t="shared" si="5"/>
        <v>387.79692466375593</v>
      </c>
      <c r="AJ39" s="182">
        <f t="shared" si="5"/>
        <v>387.79692466375593</v>
      </c>
      <c r="AK39" s="182">
        <f t="shared" si="5"/>
        <v>387.79692466375593</v>
      </c>
      <c r="AL39" s="182">
        <f t="shared" si="5"/>
        <v>387.79692466375593</v>
      </c>
      <c r="AM39" s="182">
        <f t="shared" si="5"/>
        <v>387.79692466375593</v>
      </c>
      <c r="AN39" s="182">
        <f t="shared" si="5"/>
        <v>387.79692466375593</v>
      </c>
      <c r="AO39" s="252">
        <f t="shared" si="6"/>
        <v>27801.72556180977</v>
      </c>
      <c r="AP39" s="135">
        <f>AO39*'Inflation assumptions'!$R$18</f>
        <v>47352.307173102876</v>
      </c>
      <c r="AR39" s="135">
        <f t="shared" si="7"/>
        <v>54460.083136724723</v>
      </c>
      <c r="AU39"/>
      <c r="BT39"/>
      <c r="BU39"/>
      <c r="BV39"/>
      <c r="BW39"/>
      <c r="BX39" s="179"/>
      <c r="BY39" s="179"/>
    </row>
    <row r="40" spans="1:77">
      <c r="B40" s="171">
        <v>15</v>
      </c>
      <c r="C40" s="126" t="s">
        <v>177</v>
      </c>
      <c r="D40" s="126" t="s">
        <v>178</v>
      </c>
      <c r="E40" s="126" t="s">
        <v>181</v>
      </c>
      <c r="F40" s="129">
        <f>INDEX('DORC proposal'!$C$13:$C$423,'ICB calcs - per asset calc'!$B40)</f>
        <v>1049.28</v>
      </c>
      <c r="G40" s="128">
        <f>INDEX('DORC proposal'!$F$13:$F$423,'ICB calcs - per asset calc'!$B40)</f>
        <v>21.954698936413543</v>
      </c>
      <c r="H40" s="129">
        <f>INDEX('DORC proposal'!$J$13:$J$423,'ICB calcs - per asset calc'!$B40)</f>
        <v>94120.180740519252</v>
      </c>
      <c r="I40" s="143">
        <f t="shared" si="1"/>
        <v>69857.508904412593</v>
      </c>
      <c r="K40" s="128">
        <f>INDEX('DORC proposal'!$G$13:$G$423,'ICB calcs - per asset calc'!$B40)</f>
        <v>130.00000000000003</v>
      </c>
      <c r="L40" s="141">
        <f>$F$7</f>
        <v>120</v>
      </c>
      <c r="M40" s="129">
        <f t="shared" si="2"/>
        <v>108.04530106358649</v>
      </c>
      <c r="N40" s="129">
        <f t="shared" si="3"/>
        <v>98.045301063586464</v>
      </c>
      <c r="O40" s="128">
        <f t="shared" si="8"/>
        <v>77.503354827925975</v>
      </c>
      <c r="P40" s="128">
        <f t="shared" si="9"/>
        <v>67.503354827925975</v>
      </c>
      <c r="R40" s="182">
        <f t="shared" si="4"/>
        <v>712.5023651985839</v>
      </c>
      <c r="S40" s="182">
        <f t="shared" si="4"/>
        <v>712.5023651985839</v>
      </c>
      <c r="T40" s="182">
        <f t="shared" si="4"/>
        <v>712.5023651985839</v>
      </c>
      <c r="U40" s="182">
        <f t="shared" si="4"/>
        <v>712.5023651985839</v>
      </c>
      <c r="V40" s="182">
        <f t="shared" si="4"/>
        <v>712.5023651985839</v>
      </c>
      <c r="W40" s="182">
        <f t="shared" si="4"/>
        <v>712.5023651985839</v>
      </c>
      <c r="X40" s="182">
        <f t="shared" si="4"/>
        <v>712.5023651985839</v>
      </c>
      <c r="Y40" s="182">
        <f t="shared" si="4"/>
        <v>712.5023651985839</v>
      </c>
      <c r="Z40" s="182">
        <f t="shared" si="4"/>
        <v>712.5023651985839</v>
      </c>
      <c r="AA40" s="182">
        <f t="shared" si="4"/>
        <v>712.5023651985839</v>
      </c>
      <c r="AB40" s="182">
        <f t="shared" si="5"/>
        <v>712.5023651985839</v>
      </c>
      <c r="AC40" s="182">
        <f t="shared" si="5"/>
        <v>712.5023651985839</v>
      </c>
      <c r="AD40" s="182">
        <f t="shared" si="5"/>
        <v>712.5023651985839</v>
      </c>
      <c r="AE40" s="182">
        <f t="shared" si="5"/>
        <v>781.83684166143269</v>
      </c>
      <c r="AF40" s="182">
        <f t="shared" si="5"/>
        <v>781.83684166143269</v>
      </c>
      <c r="AG40" s="182">
        <f t="shared" si="5"/>
        <v>781.83684166143269</v>
      </c>
      <c r="AH40" s="182">
        <f t="shared" si="5"/>
        <v>781.83684166143269</v>
      </c>
      <c r="AI40" s="182">
        <f t="shared" si="5"/>
        <v>781.83684166143269</v>
      </c>
      <c r="AJ40" s="182">
        <f t="shared" si="5"/>
        <v>781.83684166143269</v>
      </c>
      <c r="AK40" s="182">
        <f t="shared" si="5"/>
        <v>781.83684166143269</v>
      </c>
      <c r="AL40" s="182">
        <f t="shared" si="5"/>
        <v>781.83684166143269</v>
      </c>
      <c r="AM40" s="182">
        <f t="shared" si="5"/>
        <v>781.83684166143269</v>
      </c>
      <c r="AN40" s="182">
        <f t="shared" si="5"/>
        <v>781.83684166143269</v>
      </c>
      <c r="AO40" s="252">
        <f t="shared" si="6"/>
        <v>52776.609740216678</v>
      </c>
      <c r="AP40" s="135">
        <f>AO40*'Inflation assumptions'!$R$18</f>
        <v>89889.896597160463</v>
      </c>
      <c r="AR40" s="135">
        <f t="shared" si="7"/>
        <v>103382.73959782146</v>
      </c>
      <c r="AU40"/>
      <c r="BT40"/>
      <c r="BU40"/>
      <c r="BV40"/>
      <c r="BW40"/>
      <c r="BX40" s="179"/>
      <c r="BY40" s="179"/>
    </row>
    <row r="41" spans="1:77">
      <c r="B41" s="171">
        <v>20</v>
      </c>
      <c r="C41" s="126" t="s">
        <v>177</v>
      </c>
      <c r="D41" s="126" t="s">
        <v>178</v>
      </c>
      <c r="E41" s="126" t="s">
        <v>182</v>
      </c>
      <c r="F41" s="129">
        <f>INDEX('DORC proposal'!$C$13:$C$423,'ICB calcs - per asset calc'!$B41)</f>
        <v>173.316</v>
      </c>
      <c r="G41" s="128">
        <f>INDEX('DORC proposal'!$F$13:$F$423,'ICB calcs - per asset calc'!$B41)</f>
        <v>23.223868540700224</v>
      </c>
      <c r="H41" s="129">
        <f>INDEX('DORC proposal'!$J$13:$J$423,'ICB calcs - per asset calc'!$B41)</f>
        <v>53436.551173628199</v>
      </c>
      <c r="I41" s="143">
        <f t="shared" si="1"/>
        <v>39661.466011462704</v>
      </c>
      <c r="K41" s="128">
        <f>INDEX('DORC proposal'!$G$13:$G$423,'ICB calcs - per asset calc'!$B41)</f>
        <v>128.04115026887305</v>
      </c>
      <c r="L41" s="141">
        <f>$F$7</f>
        <v>120</v>
      </c>
      <c r="M41" s="129">
        <f t="shared" si="2"/>
        <v>104.81728172817283</v>
      </c>
      <c r="N41" s="129">
        <f t="shared" si="3"/>
        <v>96.776131459299776</v>
      </c>
      <c r="O41" s="128">
        <f t="shared" si="8"/>
        <v>76.331813654738255</v>
      </c>
      <c r="P41" s="128">
        <f t="shared" si="9"/>
        <v>66.331813654738255</v>
      </c>
      <c r="R41" s="182">
        <f t="shared" si="4"/>
        <v>409.82694196804874</v>
      </c>
      <c r="S41" s="182">
        <f t="shared" si="4"/>
        <v>409.82694196804874</v>
      </c>
      <c r="T41" s="182">
        <f t="shared" si="4"/>
        <v>409.82694196804874</v>
      </c>
      <c r="U41" s="182">
        <f t="shared" si="4"/>
        <v>409.82694196804874</v>
      </c>
      <c r="V41" s="182">
        <f t="shared" si="4"/>
        <v>409.82694196804874</v>
      </c>
      <c r="W41" s="182">
        <f t="shared" si="4"/>
        <v>409.82694196804874</v>
      </c>
      <c r="X41" s="182">
        <f t="shared" si="4"/>
        <v>409.82694196804874</v>
      </c>
      <c r="Y41" s="182">
        <f t="shared" si="4"/>
        <v>409.82694196804874</v>
      </c>
      <c r="Z41" s="182">
        <f t="shared" si="4"/>
        <v>409.82694196804874</v>
      </c>
      <c r="AA41" s="182">
        <f t="shared" si="4"/>
        <v>409.82694196804874</v>
      </c>
      <c r="AB41" s="182">
        <f t="shared" si="5"/>
        <v>409.82694196804874</v>
      </c>
      <c r="AC41" s="182">
        <f t="shared" si="5"/>
        <v>409.82694196804874</v>
      </c>
      <c r="AD41" s="182">
        <f t="shared" si="5"/>
        <v>409.82694196804874</v>
      </c>
      <c r="AE41" s="182">
        <f t="shared" si="5"/>
        <v>449.79562415712132</v>
      </c>
      <c r="AF41" s="182">
        <f t="shared" si="5"/>
        <v>449.79562415712132</v>
      </c>
      <c r="AG41" s="182">
        <f t="shared" si="5"/>
        <v>449.79562415712132</v>
      </c>
      <c r="AH41" s="182">
        <f t="shared" si="5"/>
        <v>449.79562415712132</v>
      </c>
      <c r="AI41" s="182">
        <f t="shared" si="5"/>
        <v>449.79562415712132</v>
      </c>
      <c r="AJ41" s="182">
        <f t="shared" si="5"/>
        <v>449.79562415712132</v>
      </c>
      <c r="AK41" s="182">
        <f t="shared" si="5"/>
        <v>449.79562415712132</v>
      </c>
      <c r="AL41" s="182">
        <f t="shared" si="5"/>
        <v>449.79562415712132</v>
      </c>
      <c r="AM41" s="182">
        <f t="shared" si="5"/>
        <v>449.79562415712132</v>
      </c>
      <c r="AN41" s="182">
        <f t="shared" si="5"/>
        <v>449.79562415712132</v>
      </c>
      <c r="AO41" s="252">
        <f t="shared" si="6"/>
        <v>29835.759524306857</v>
      </c>
      <c r="AP41" s="135">
        <f>AO41*'Inflation assumptions'!$R$18</f>
        <v>50816.703682540829</v>
      </c>
      <c r="AR41" s="135">
        <f t="shared" si="7"/>
        <v>58444.499803749117</v>
      </c>
      <c r="AU41"/>
      <c r="BT41"/>
      <c r="BU41"/>
      <c r="BV41"/>
      <c r="BW41"/>
      <c r="BX41" s="179"/>
      <c r="BY41" s="179"/>
    </row>
    <row r="42" spans="1:77">
      <c r="B42" s="171">
        <v>28</v>
      </c>
      <c r="C42" s="126" t="s">
        <v>183</v>
      </c>
      <c r="D42" s="126" t="s">
        <v>178</v>
      </c>
      <c r="E42" s="126" t="s">
        <v>179</v>
      </c>
      <c r="F42" s="129">
        <f>INDEX('DORC proposal'!$C$13:$C$423,'ICB calcs - per asset calc'!$B42)</f>
        <v>216.42</v>
      </c>
      <c r="G42" s="128">
        <f>INDEX('DORC proposal'!$F$13:$F$423,'ICB calcs - per asset calc'!$B42)</f>
        <v>47.23</v>
      </c>
      <c r="H42" s="129">
        <f>INDEX('DORC proposal'!$J$13:$J$423,'ICB calcs - per asset calc'!$B42)</f>
        <v>11118.99082058077</v>
      </c>
      <c r="I42" s="143">
        <f t="shared" si="1"/>
        <v>8252.6934621833971</v>
      </c>
      <c r="K42" s="128">
        <f>INDEX('DORC proposal'!$G$13:$G$423,'ICB calcs - per asset calc'!$B42)</f>
        <v>65</v>
      </c>
      <c r="L42" s="141">
        <f>$F$8</f>
        <v>60</v>
      </c>
      <c r="M42" s="129">
        <f t="shared" si="2"/>
        <v>17.770000000000003</v>
      </c>
      <c r="N42" s="129">
        <f t="shared" si="3"/>
        <v>12.770000000000003</v>
      </c>
      <c r="O42" s="128">
        <f t="shared" si="8"/>
        <v>0</v>
      </c>
      <c r="P42" s="128">
        <f t="shared" si="9"/>
        <v>0</v>
      </c>
      <c r="R42" s="182" t="str">
        <f t="shared" si="4"/>
        <v>Fully dep</v>
      </c>
      <c r="S42" s="182" t="str">
        <f t="shared" si="4"/>
        <v>Fully dep</v>
      </c>
      <c r="T42" s="182" t="str">
        <f t="shared" si="4"/>
        <v>Fully dep</v>
      </c>
      <c r="U42" s="182" t="str">
        <f t="shared" si="4"/>
        <v>Fully dep</v>
      </c>
      <c r="V42" s="182" t="str">
        <f t="shared" si="4"/>
        <v>Fully dep</v>
      </c>
      <c r="W42" s="182" t="str">
        <f t="shared" si="4"/>
        <v>Fully dep</v>
      </c>
      <c r="X42" s="182" t="str">
        <f t="shared" si="4"/>
        <v>Fully dep</v>
      </c>
      <c r="Y42" s="182" t="str">
        <f t="shared" si="4"/>
        <v>Fully dep</v>
      </c>
      <c r="Z42" s="182" t="str">
        <f t="shared" si="4"/>
        <v>Fully dep</v>
      </c>
      <c r="AA42" s="182" t="str">
        <f t="shared" si="4"/>
        <v>Fully dep</v>
      </c>
      <c r="AB42" s="182" t="str">
        <f t="shared" si="5"/>
        <v>Fully dep</v>
      </c>
      <c r="AC42" s="182" t="str">
        <f t="shared" si="5"/>
        <v>Fully dep</v>
      </c>
      <c r="AD42" s="182" t="str">
        <f t="shared" si="5"/>
        <v>Fully dep</v>
      </c>
      <c r="AE42" s="182" t="str">
        <f t="shared" si="5"/>
        <v>Fully dep</v>
      </c>
      <c r="AF42" s="182" t="str">
        <f t="shared" si="5"/>
        <v>Fully dep</v>
      </c>
      <c r="AG42" s="182" t="str">
        <f t="shared" si="5"/>
        <v>Fully dep</v>
      </c>
      <c r="AH42" s="182" t="str">
        <f t="shared" si="5"/>
        <v>Fully dep</v>
      </c>
      <c r="AI42" s="182" t="str">
        <f t="shared" si="5"/>
        <v>Fully dep</v>
      </c>
      <c r="AJ42" s="182" t="str">
        <f t="shared" si="5"/>
        <v>Fully dep</v>
      </c>
      <c r="AK42" s="182" t="str">
        <f t="shared" si="5"/>
        <v>Fully dep</v>
      </c>
      <c r="AL42" s="182" t="str">
        <f t="shared" si="5"/>
        <v>Fully dep</v>
      </c>
      <c r="AM42" s="182" t="str">
        <f t="shared" si="5"/>
        <v>Fully dep</v>
      </c>
      <c r="AN42" s="182" t="str">
        <f t="shared" si="5"/>
        <v>Fully dep</v>
      </c>
      <c r="AO42" s="252">
        <f t="shared" si="6"/>
        <v>0</v>
      </c>
      <c r="AP42" s="135">
        <f>AO42*'Inflation assumptions'!$R$18</f>
        <v>0</v>
      </c>
      <c r="AR42" s="135">
        <f t="shared" si="7"/>
        <v>0</v>
      </c>
      <c r="AU42"/>
      <c r="BT42"/>
      <c r="BU42"/>
      <c r="BV42"/>
      <c r="BW42"/>
      <c r="BX42" s="179"/>
      <c r="BY42" s="179"/>
    </row>
    <row r="43" spans="1:77">
      <c r="B43" s="171">
        <v>33</v>
      </c>
      <c r="C43" s="126" t="s">
        <v>183</v>
      </c>
      <c r="D43" s="126" t="s">
        <v>178</v>
      </c>
      <c r="E43" s="126" t="s">
        <v>180</v>
      </c>
      <c r="F43" s="129">
        <f>INDEX('DORC proposal'!$C$13:$C$423,'ICB calcs - per asset calc'!$B43)</f>
        <v>20.32</v>
      </c>
      <c r="G43" s="128">
        <f>INDEX('DORC proposal'!$F$13:$F$423,'ICB calcs - per asset calc'!$B43)</f>
        <v>45</v>
      </c>
      <c r="H43" s="129">
        <f>INDEX('DORC proposal'!$J$13:$J$423,'ICB calcs - per asset calc'!$B43)</f>
        <v>1672.1046646153848</v>
      </c>
      <c r="I43" s="143">
        <f t="shared" si="1"/>
        <v>1241.0629216651316</v>
      </c>
      <c r="K43" s="128">
        <f>INDEX('DORC proposal'!$G$13:$G$423,'ICB calcs - per asset calc'!$B43)</f>
        <v>65</v>
      </c>
      <c r="L43" s="141">
        <f>$F$8</f>
        <v>60</v>
      </c>
      <c r="M43" s="129">
        <f t="shared" si="2"/>
        <v>20</v>
      </c>
      <c r="N43" s="129">
        <f t="shared" si="3"/>
        <v>15</v>
      </c>
      <c r="O43" s="128">
        <f t="shared" si="8"/>
        <v>0.8461538461538467</v>
      </c>
      <c r="P43" s="128">
        <f t="shared" si="9"/>
        <v>0</v>
      </c>
      <c r="R43" s="182" t="str">
        <f t="shared" si="4"/>
        <v>Fully dep</v>
      </c>
      <c r="S43" s="182" t="str">
        <f t="shared" si="4"/>
        <v>Fully dep</v>
      </c>
      <c r="T43" s="182" t="str">
        <f t="shared" si="4"/>
        <v>Fully dep</v>
      </c>
      <c r="U43" s="182" t="str">
        <f t="shared" si="4"/>
        <v>Fully dep</v>
      </c>
      <c r="V43" s="182" t="str">
        <f t="shared" si="4"/>
        <v>Fully dep</v>
      </c>
      <c r="W43" s="182" t="str">
        <f t="shared" si="4"/>
        <v>Fully dep</v>
      </c>
      <c r="X43" s="182" t="str">
        <f t="shared" si="4"/>
        <v>Fully dep</v>
      </c>
      <c r="Y43" s="182" t="str">
        <f t="shared" si="4"/>
        <v>Fully dep</v>
      </c>
      <c r="Z43" s="182" t="str">
        <f t="shared" si="4"/>
        <v>Fully dep</v>
      </c>
      <c r="AA43" s="182" t="str">
        <f t="shared" si="4"/>
        <v>Fully dep</v>
      </c>
      <c r="AB43" s="182" t="str">
        <f t="shared" si="5"/>
        <v>Fully dep</v>
      </c>
      <c r="AC43" s="182" t="str">
        <f t="shared" si="5"/>
        <v>Fully dep</v>
      </c>
      <c r="AD43" s="182" t="str">
        <f t="shared" si="5"/>
        <v>Fully dep</v>
      </c>
      <c r="AE43" s="182" t="str">
        <f t="shared" si="5"/>
        <v>Fully dep</v>
      </c>
      <c r="AF43" s="182" t="str">
        <f t="shared" si="5"/>
        <v>Fully dep</v>
      </c>
      <c r="AG43" s="182" t="str">
        <f t="shared" si="5"/>
        <v>Fully dep</v>
      </c>
      <c r="AH43" s="182" t="str">
        <f t="shared" si="5"/>
        <v>Fully dep</v>
      </c>
      <c r="AI43" s="182" t="str">
        <f t="shared" si="5"/>
        <v>Fully dep</v>
      </c>
      <c r="AJ43" s="182" t="str">
        <f t="shared" si="5"/>
        <v>Fully dep</v>
      </c>
      <c r="AK43" s="182" t="str">
        <f t="shared" si="5"/>
        <v>Fully dep</v>
      </c>
      <c r="AL43" s="182" t="str">
        <f t="shared" si="5"/>
        <v>Fully dep</v>
      </c>
      <c r="AM43" s="182" t="str">
        <f t="shared" si="5"/>
        <v>Fully dep</v>
      </c>
      <c r="AN43" s="182" t="str">
        <f t="shared" si="5"/>
        <v>Fully dep</v>
      </c>
      <c r="AO43" s="252">
        <f t="shared" si="6"/>
        <v>0</v>
      </c>
      <c r="AP43" s="135">
        <f>AO43*'Inflation assumptions'!$R$18</f>
        <v>0</v>
      </c>
      <c r="AR43" s="135">
        <f t="shared" si="7"/>
        <v>0</v>
      </c>
      <c r="AU43"/>
      <c r="BT43"/>
      <c r="BU43"/>
      <c r="BV43"/>
      <c r="BW43"/>
      <c r="BX43" s="179"/>
      <c r="BY43" s="179"/>
    </row>
    <row r="44" spans="1:77">
      <c r="B44" s="171">
        <v>38</v>
      </c>
      <c r="C44" s="126" t="s">
        <v>183</v>
      </c>
      <c r="D44" s="126" t="s">
        <v>178</v>
      </c>
      <c r="E44" s="126" t="s">
        <v>181</v>
      </c>
      <c r="F44" s="129">
        <f>INDEX('DORC proposal'!$C$13:$C$423,'ICB calcs - per asset calc'!$B44)</f>
        <v>104.02</v>
      </c>
      <c r="G44" s="128">
        <f>INDEX('DORC proposal'!$F$13:$F$423,'ICB calcs - per asset calc'!$B44)</f>
        <v>48.13</v>
      </c>
      <c r="H44" s="129">
        <f>INDEX('DORC proposal'!$J$13:$J$423,'ICB calcs - per asset calc'!$B44)</f>
        <v>7007.2808757193834</v>
      </c>
      <c r="I44" s="143">
        <f t="shared" si="1"/>
        <v>5200.9163424879571</v>
      </c>
      <c r="K44" s="128">
        <f>INDEX('DORC proposal'!$G$13:$G$423,'ICB calcs - per asset calc'!$B44)</f>
        <v>65</v>
      </c>
      <c r="L44" s="141">
        <f>$F$8</f>
        <v>60</v>
      </c>
      <c r="M44" s="129">
        <f t="shared" si="2"/>
        <v>16.869999999999997</v>
      </c>
      <c r="N44" s="129">
        <f t="shared" si="3"/>
        <v>11.869999999999997</v>
      </c>
      <c r="O44" s="128">
        <f t="shared" si="8"/>
        <v>0</v>
      </c>
      <c r="P44" s="128">
        <f t="shared" si="9"/>
        <v>0</v>
      </c>
      <c r="R44" s="182" t="str">
        <f t="shared" si="4"/>
        <v>Fully dep</v>
      </c>
      <c r="S44" s="182" t="str">
        <f t="shared" si="4"/>
        <v>Fully dep</v>
      </c>
      <c r="T44" s="182" t="str">
        <f t="shared" si="4"/>
        <v>Fully dep</v>
      </c>
      <c r="U44" s="182" t="str">
        <f t="shared" si="4"/>
        <v>Fully dep</v>
      </c>
      <c r="V44" s="182" t="str">
        <f t="shared" si="4"/>
        <v>Fully dep</v>
      </c>
      <c r="W44" s="182" t="str">
        <f t="shared" si="4"/>
        <v>Fully dep</v>
      </c>
      <c r="X44" s="182" t="str">
        <f t="shared" si="4"/>
        <v>Fully dep</v>
      </c>
      <c r="Y44" s="182" t="str">
        <f t="shared" si="4"/>
        <v>Fully dep</v>
      </c>
      <c r="Z44" s="182" t="str">
        <f t="shared" si="4"/>
        <v>Fully dep</v>
      </c>
      <c r="AA44" s="182" t="str">
        <f t="shared" si="4"/>
        <v>Fully dep</v>
      </c>
      <c r="AB44" s="182" t="str">
        <f t="shared" si="5"/>
        <v>Fully dep</v>
      </c>
      <c r="AC44" s="182" t="str">
        <f t="shared" si="5"/>
        <v>Fully dep</v>
      </c>
      <c r="AD44" s="182" t="str">
        <f t="shared" si="5"/>
        <v>Fully dep</v>
      </c>
      <c r="AE44" s="182" t="str">
        <f t="shared" si="5"/>
        <v>Fully dep</v>
      </c>
      <c r="AF44" s="182" t="str">
        <f t="shared" si="5"/>
        <v>Fully dep</v>
      </c>
      <c r="AG44" s="182" t="str">
        <f t="shared" si="5"/>
        <v>Fully dep</v>
      </c>
      <c r="AH44" s="182" t="str">
        <f t="shared" si="5"/>
        <v>Fully dep</v>
      </c>
      <c r="AI44" s="182" t="str">
        <f t="shared" si="5"/>
        <v>Fully dep</v>
      </c>
      <c r="AJ44" s="182" t="str">
        <f t="shared" si="5"/>
        <v>Fully dep</v>
      </c>
      <c r="AK44" s="182" t="str">
        <f t="shared" si="5"/>
        <v>Fully dep</v>
      </c>
      <c r="AL44" s="182" t="str">
        <f t="shared" si="5"/>
        <v>Fully dep</v>
      </c>
      <c r="AM44" s="182" t="str">
        <f t="shared" si="5"/>
        <v>Fully dep</v>
      </c>
      <c r="AN44" s="182" t="str">
        <f t="shared" si="5"/>
        <v>Fully dep</v>
      </c>
      <c r="AO44" s="252">
        <f t="shared" si="6"/>
        <v>0</v>
      </c>
      <c r="AP44" s="135">
        <f>AO44*'Inflation assumptions'!$R$18</f>
        <v>0</v>
      </c>
      <c r="AR44" s="135">
        <f t="shared" si="7"/>
        <v>0</v>
      </c>
      <c r="AU44"/>
      <c r="BT44"/>
      <c r="BU44"/>
      <c r="BV44"/>
      <c r="BW44"/>
      <c r="BX44" s="179"/>
      <c r="BY44" s="179"/>
    </row>
    <row r="45" spans="1:77">
      <c r="B45" s="171">
        <v>46</v>
      </c>
      <c r="C45" s="126" t="s">
        <v>126</v>
      </c>
      <c r="D45" s="126" t="s">
        <v>178</v>
      </c>
      <c r="E45" s="126" t="s">
        <v>179</v>
      </c>
      <c r="F45" s="129">
        <f>INDEX('DORC proposal'!$C$13:$C$423,'ICB calcs - per asset calc'!$B45)</f>
        <v>723.3</v>
      </c>
      <c r="G45" s="128">
        <f>INDEX('DORC proposal'!$F$13:$F$423,'ICB calcs - per asset calc'!$B45)</f>
        <v>14.69500138255219</v>
      </c>
      <c r="H45" s="129">
        <f>INDEX('DORC proposal'!$J$13:$J$423,'ICB calcs - per asset calc'!$B45)</f>
        <v>59088.171158795711</v>
      </c>
      <c r="I45" s="143">
        <f t="shared" si="1"/>
        <v>43856.189080754775</v>
      </c>
      <c r="K45" s="128">
        <f>INDEX('DORC proposal'!$G$13:$G$423,'ICB calcs - per asset calc'!$B45)</f>
        <v>70</v>
      </c>
      <c r="L45" s="141">
        <f>$F$9</f>
        <v>60</v>
      </c>
      <c r="M45" s="129">
        <f t="shared" si="2"/>
        <v>55.304998617447808</v>
      </c>
      <c r="N45" s="129">
        <f t="shared" si="3"/>
        <v>45.304998617447808</v>
      </c>
      <c r="O45" s="128">
        <f t="shared" si="8"/>
        <v>28.81999872379798</v>
      </c>
      <c r="P45" s="128">
        <f t="shared" si="9"/>
        <v>18.81999872379798</v>
      </c>
      <c r="R45" s="182">
        <f t="shared" si="4"/>
        <v>968.0209782384793</v>
      </c>
      <c r="S45" s="182">
        <f t="shared" si="4"/>
        <v>968.0209782384793</v>
      </c>
      <c r="T45" s="182">
        <f t="shared" si="4"/>
        <v>968.0209782384793</v>
      </c>
      <c r="U45" s="182">
        <f t="shared" si="4"/>
        <v>968.0209782384793</v>
      </c>
      <c r="V45" s="182">
        <f t="shared" si="4"/>
        <v>968.0209782384793</v>
      </c>
      <c r="W45" s="182">
        <f t="shared" si="4"/>
        <v>968.0209782384793</v>
      </c>
      <c r="X45" s="182">
        <f t="shared" si="4"/>
        <v>968.0209782384793</v>
      </c>
      <c r="Y45" s="182">
        <f t="shared" si="4"/>
        <v>968.0209782384793</v>
      </c>
      <c r="Z45" s="182">
        <f t="shared" si="4"/>
        <v>968.0209782384793</v>
      </c>
      <c r="AA45" s="182">
        <f t="shared" si="4"/>
        <v>968.0209782384793</v>
      </c>
      <c r="AB45" s="182">
        <f t="shared" si="5"/>
        <v>968.0209782384793</v>
      </c>
      <c r="AC45" s="182">
        <f t="shared" si="5"/>
        <v>968.0209782384793</v>
      </c>
      <c r="AD45" s="182">
        <f t="shared" si="5"/>
        <v>968.0209782384793</v>
      </c>
      <c r="AE45" s="182">
        <f t="shared" si="5"/>
        <v>1085.0769517151957</v>
      </c>
      <c r="AF45" s="182">
        <f t="shared" si="5"/>
        <v>1085.0769517151957</v>
      </c>
      <c r="AG45" s="182">
        <f t="shared" si="5"/>
        <v>1085.0769517151957</v>
      </c>
      <c r="AH45" s="182">
        <f t="shared" si="5"/>
        <v>1085.0769517151957</v>
      </c>
      <c r="AI45" s="182">
        <f t="shared" si="5"/>
        <v>1085.0769517151957</v>
      </c>
      <c r="AJ45" s="182">
        <f t="shared" si="5"/>
        <v>1085.0769517151957</v>
      </c>
      <c r="AK45" s="182">
        <f t="shared" si="5"/>
        <v>1085.0769517151957</v>
      </c>
      <c r="AL45" s="182">
        <f t="shared" si="5"/>
        <v>1085.0769517151957</v>
      </c>
      <c r="AM45" s="182">
        <f t="shared" si="5"/>
        <v>1085.0769517151957</v>
      </c>
      <c r="AN45" s="182">
        <f t="shared" si="5"/>
        <v>1085.0769517151957</v>
      </c>
      <c r="AO45" s="252">
        <f t="shared" si="6"/>
        <v>20421.146846502579</v>
      </c>
      <c r="AP45" s="135">
        <f>AO45*'Inflation assumptions'!$R$18</f>
        <v>34781.597140536789</v>
      </c>
      <c r="AR45" s="135">
        <f t="shared" si="7"/>
        <v>40002.457852310334</v>
      </c>
      <c r="AU45"/>
      <c r="BT45"/>
      <c r="BU45"/>
      <c r="BV45"/>
      <c r="BW45"/>
      <c r="BX45" s="179"/>
      <c r="BY45" s="179"/>
    </row>
    <row r="46" spans="1:77">
      <c r="B46" s="171">
        <v>51</v>
      </c>
      <c r="C46" s="126" t="s">
        <v>126</v>
      </c>
      <c r="D46" s="126" t="s">
        <v>178</v>
      </c>
      <c r="E46" s="126" t="s">
        <v>180</v>
      </c>
      <c r="F46" s="129">
        <f>INDEX('DORC proposal'!$C$13:$C$423,'ICB calcs - per asset calc'!$B46)</f>
        <v>712.08</v>
      </c>
      <c r="G46" s="128">
        <f>INDEX('DORC proposal'!$F$13:$F$423,'ICB calcs - per asset calc'!$B46)</f>
        <v>12.147750252780586</v>
      </c>
      <c r="H46" s="129">
        <f>INDEX('DORC proposal'!$J$13:$J$423,'ICB calcs - per asset calc'!$B46)</f>
        <v>43661.915586485702</v>
      </c>
      <c r="I46" s="143">
        <f t="shared" si="1"/>
        <v>32406.574582294077</v>
      </c>
      <c r="K46" s="128">
        <f>INDEX('DORC proposal'!$G$13:$G$423,'ICB calcs - per asset calc'!$B46)</f>
        <v>70</v>
      </c>
      <c r="L46" s="141">
        <f>$F$9</f>
        <v>60</v>
      </c>
      <c r="M46" s="129">
        <f t="shared" si="2"/>
        <v>57.852249747219417</v>
      </c>
      <c r="N46" s="129">
        <f t="shared" si="3"/>
        <v>47.852249747219417</v>
      </c>
      <c r="O46" s="128">
        <f t="shared" si="8"/>
        <v>31.171307458971775</v>
      </c>
      <c r="P46" s="128">
        <f t="shared" si="9"/>
        <v>21.171307458971775</v>
      </c>
      <c r="R46" s="182">
        <f t="shared" si="4"/>
        <v>677.22154660402668</v>
      </c>
      <c r="S46" s="182">
        <f t="shared" si="4"/>
        <v>677.22154660402668</v>
      </c>
      <c r="T46" s="182">
        <f t="shared" si="4"/>
        <v>677.22154660402668</v>
      </c>
      <c r="U46" s="182">
        <f t="shared" si="4"/>
        <v>677.22154660402668</v>
      </c>
      <c r="V46" s="182">
        <f t="shared" si="4"/>
        <v>677.22154660402668</v>
      </c>
      <c r="W46" s="182">
        <f t="shared" si="4"/>
        <v>677.22154660402668</v>
      </c>
      <c r="X46" s="182">
        <f t="shared" si="4"/>
        <v>677.22154660402668</v>
      </c>
      <c r="Y46" s="182">
        <f t="shared" si="4"/>
        <v>677.22154660402668</v>
      </c>
      <c r="Z46" s="182">
        <f t="shared" si="4"/>
        <v>677.22154660402668</v>
      </c>
      <c r="AA46" s="182">
        <f t="shared" si="4"/>
        <v>677.22154660402668</v>
      </c>
      <c r="AB46" s="182">
        <f t="shared" si="5"/>
        <v>677.22154660402668</v>
      </c>
      <c r="AC46" s="182">
        <f t="shared" si="5"/>
        <v>677.22154660402668</v>
      </c>
      <c r="AD46" s="182">
        <f t="shared" si="5"/>
        <v>677.22154660402668</v>
      </c>
      <c r="AE46" s="182">
        <f t="shared" si="5"/>
        <v>757.19295725750385</v>
      </c>
      <c r="AF46" s="182">
        <f t="shared" si="5"/>
        <v>757.19295725750385</v>
      </c>
      <c r="AG46" s="182">
        <f t="shared" si="5"/>
        <v>757.19295725750385</v>
      </c>
      <c r="AH46" s="182">
        <f t="shared" si="5"/>
        <v>757.19295725750385</v>
      </c>
      <c r="AI46" s="182">
        <f t="shared" si="5"/>
        <v>757.19295725750385</v>
      </c>
      <c r="AJ46" s="182">
        <f t="shared" si="5"/>
        <v>757.19295725750385</v>
      </c>
      <c r="AK46" s="182">
        <f t="shared" si="5"/>
        <v>757.19295725750385</v>
      </c>
      <c r="AL46" s="182">
        <f t="shared" si="5"/>
        <v>757.19295725750385</v>
      </c>
      <c r="AM46" s="182">
        <f t="shared" si="5"/>
        <v>757.19295725750385</v>
      </c>
      <c r="AN46" s="182">
        <f t="shared" si="5"/>
        <v>757.19295725750385</v>
      </c>
      <c r="AO46" s="252">
        <f t="shared" si="6"/>
        <v>16030.764903866684</v>
      </c>
      <c r="AP46" s="135">
        <f>AO46*'Inflation assumptions'!$R$18</f>
        <v>27303.834154468164</v>
      </c>
      <c r="AR46" s="135">
        <f t="shared" si="7"/>
        <v>31402.251902275006</v>
      </c>
      <c r="AU46"/>
      <c r="BT46"/>
      <c r="BU46"/>
      <c r="BV46"/>
      <c r="BW46"/>
      <c r="BX46" s="179"/>
      <c r="BY46" s="179"/>
    </row>
    <row r="47" spans="1:77">
      <c r="B47" s="171">
        <v>56</v>
      </c>
      <c r="C47" s="126" t="s">
        <v>126</v>
      </c>
      <c r="D47" s="126" t="s">
        <v>178</v>
      </c>
      <c r="E47" s="126" t="s">
        <v>181</v>
      </c>
      <c r="F47" s="129">
        <f>INDEX('DORC proposal'!$C$13:$C$423,'ICB calcs - per asset calc'!$B47)</f>
        <v>939.2</v>
      </c>
      <c r="G47" s="128">
        <f>INDEX('DORC proposal'!$F$13:$F$423,'ICB calcs - per asset calc'!$B47)</f>
        <v>8.8912637350936965</v>
      </c>
      <c r="H47" s="129">
        <f>INDEX('DORC proposal'!$J$13:$J$423,'ICB calcs - per asset calc'!$B47)</f>
        <v>56217.806544908577</v>
      </c>
      <c r="I47" s="143">
        <f t="shared" si="1"/>
        <v>41725.758391014213</v>
      </c>
      <c r="K47" s="128">
        <f>INDEX('DORC proposal'!$G$13:$G$423,'ICB calcs - per asset calc'!$B47)</f>
        <v>70</v>
      </c>
      <c r="L47" s="141">
        <f>$F$9</f>
        <v>60</v>
      </c>
      <c r="M47" s="129">
        <f t="shared" si="2"/>
        <v>61.108736264906305</v>
      </c>
      <c r="N47" s="129">
        <f t="shared" si="3"/>
        <v>51.108736264906305</v>
      </c>
      <c r="O47" s="128">
        <f t="shared" si="8"/>
        <v>34.177295013759668</v>
      </c>
      <c r="P47" s="128">
        <f t="shared" si="9"/>
        <v>24.177295013759668</v>
      </c>
      <c r="R47" s="182">
        <f t="shared" si="4"/>
        <v>816.41146779176199</v>
      </c>
      <c r="S47" s="182">
        <f t="shared" si="4"/>
        <v>816.41146779176199</v>
      </c>
      <c r="T47" s="182">
        <f t="shared" si="4"/>
        <v>816.41146779176199</v>
      </c>
      <c r="U47" s="182">
        <f t="shared" si="4"/>
        <v>816.41146779176199</v>
      </c>
      <c r="V47" s="182">
        <f t="shared" si="4"/>
        <v>816.41146779176199</v>
      </c>
      <c r="W47" s="182">
        <f t="shared" si="4"/>
        <v>816.41146779176199</v>
      </c>
      <c r="X47" s="182">
        <f t="shared" si="4"/>
        <v>816.41146779176199</v>
      </c>
      <c r="Y47" s="182">
        <f t="shared" si="4"/>
        <v>816.41146779176199</v>
      </c>
      <c r="Z47" s="182">
        <f t="shared" si="4"/>
        <v>816.41146779176199</v>
      </c>
      <c r="AA47" s="182">
        <f t="shared" si="4"/>
        <v>816.41146779176199</v>
      </c>
      <c r="AB47" s="182">
        <f t="shared" si="5"/>
        <v>816.41146779176199</v>
      </c>
      <c r="AC47" s="182">
        <f t="shared" si="5"/>
        <v>816.41146779176199</v>
      </c>
      <c r="AD47" s="182">
        <f t="shared" si="5"/>
        <v>816.41146779176199</v>
      </c>
      <c r="AE47" s="182">
        <f t="shared" si="5"/>
        <v>910.32392403189158</v>
      </c>
      <c r="AF47" s="182">
        <f t="shared" si="5"/>
        <v>910.32392403189158</v>
      </c>
      <c r="AG47" s="182">
        <f t="shared" si="5"/>
        <v>910.32392403189158</v>
      </c>
      <c r="AH47" s="182">
        <f t="shared" si="5"/>
        <v>910.32392403189158</v>
      </c>
      <c r="AI47" s="182">
        <f t="shared" si="5"/>
        <v>910.32392403189158</v>
      </c>
      <c r="AJ47" s="182">
        <f t="shared" si="5"/>
        <v>910.32392403189158</v>
      </c>
      <c r="AK47" s="182">
        <f t="shared" si="5"/>
        <v>910.32392403189158</v>
      </c>
      <c r="AL47" s="182">
        <f t="shared" si="5"/>
        <v>910.32392403189158</v>
      </c>
      <c r="AM47" s="182">
        <f t="shared" si="5"/>
        <v>910.32392403189158</v>
      </c>
      <c r="AN47" s="182">
        <f t="shared" si="5"/>
        <v>910.32392403189158</v>
      </c>
      <c r="AO47" s="252">
        <f t="shared" si="6"/>
        <v>22009.170069402397</v>
      </c>
      <c r="AP47" s="135">
        <f>AO47*'Inflation assumptions'!$R$18</f>
        <v>37486.341609781812</v>
      </c>
      <c r="AR47" s="135">
        <f t="shared" si="7"/>
        <v>43113.195585113994</v>
      </c>
      <c r="AU47"/>
      <c r="BT47"/>
      <c r="BU47"/>
      <c r="BV47"/>
      <c r="BW47"/>
      <c r="BX47" s="179"/>
      <c r="BY47" s="179"/>
    </row>
    <row r="48" spans="1:77">
      <c r="A48" s="126" t="s">
        <v>184</v>
      </c>
      <c r="B48" s="171">
        <v>64</v>
      </c>
      <c r="C48" s="126" t="s">
        <v>124</v>
      </c>
      <c r="D48" s="126" t="s">
        <v>178</v>
      </c>
      <c r="E48" s="126" t="s">
        <v>179</v>
      </c>
      <c r="F48" s="129">
        <f>INDEX('DORC proposal'!$C$13:$C$423,'ICB calcs - per asset calc'!$B48)</f>
        <v>126.77</v>
      </c>
      <c r="G48" s="128">
        <f>INDEX('DORC proposal'!$F$13:$F$423,'ICB calcs - per asset calc'!$B48)</f>
        <v>41.090301987091181</v>
      </c>
      <c r="H48" s="129">
        <f>INDEX('DORC proposal'!$J$13:$J$423,'ICB calcs - per asset calc'!$B48)</f>
        <v>8056.9602324883735</v>
      </c>
      <c r="I48" s="143">
        <f t="shared" si="1"/>
        <v>5980.0052098842743</v>
      </c>
      <c r="K48" s="128">
        <f>INDEX('DORC proposal'!$G$13:$G$423,'ICB calcs - per asset calc'!$B48)</f>
        <v>85</v>
      </c>
      <c r="L48" s="141">
        <f t="shared" ref="L48:L53" si="10">$F$6</f>
        <v>85</v>
      </c>
      <c r="M48" s="129">
        <f t="shared" si="2"/>
        <v>43.909698012908819</v>
      </c>
      <c r="N48" s="129">
        <f t="shared" si="3"/>
        <v>43.909698012908819</v>
      </c>
      <c r="O48" s="128">
        <f t="shared" si="8"/>
        <v>27.532028934992759</v>
      </c>
      <c r="P48" s="128">
        <f t="shared" si="9"/>
        <v>17.532028934992759</v>
      </c>
      <c r="R48" s="182">
        <f t="shared" ref="R48:AA53" si="11">IF($P48=0,"Fully dep",IF(R$37&lt;$F$15,1/$N48*$I48,($I48-SUM($R48:$AD48))/$O48))</f>
        <v>136.18871184507438</v>
      </c>
      <c r="S48" s="182">
        <f t="shared" si="11"/>
        <v>136.18871184507438</v>
      </c>
      <c r="T48" s="182">
        <f t="shared" si="11"/>
        <v>136.18871184507438</v>
      </c>
      <c r="U48" s="182">
        <f t="shared" si="11"/>
        <v>136.18871184507438</v>
      </c>
      <c r="V48" s="182">
        <f t="shared" si="11"/>
        <v>136.18871184507438</v>
      </c>
      <c r="W48" s="182">
        <f t="shared" si="11"/>
        <v>136.18871184507438</v>
      </c>
      <c r="X48" s="182">
        <f t="shared" si="11"/>
        <v>136.18871184507438</v>
      </c>
      <c r="Y48" s="182">
        <f t="shared" si="11"/>
        <v>136.18871184507438</v>
      </c>
      <c r="Z48" s="182">
        <f t="shared" si="11"/>
        <v>136.18871184507438</v>
      </c>
      <c r="AA48" s="182">
        <f t="shared" si="11"/>
        <v>136.18871184507438</v>
      </c>
      <c r="AB48" s="182">
        <f t="shared" ref="AB48:AN53" si="12">IF($P48=0,"Fully dep",IF(AB$37&lt;$F$15,1/$N48*$I48,($I48-SUM($R48:$AD48))/$O48))</f>
        <v>136.18871184507438</v>
      </c>
      <c r="AC48" s="182">
        <f t="shared" si="12"/>
        <v>136.18871184507438</v>
      </c>
      <c r="AD48" s="182">
        <f t="shared" si="12"/>
        <v>136.18871184507438</v>
      </c>
      <c r="AE48" s="182">
        <f t="shared" si="12"/>
        <v>152.89653972969774</v>
      </c>
      <c r="AF48" s="182">
        <f t="shared" si="12"/>
        <v>152.89653972969774</v>
      </c>
      <c r="AG48" s="182">
        <f t="shared" si="12"/>
        <v>152.89653972969774</v>
      </c>
      <c r="AH48" s="182">
        <f t="shared" si="12"/>
        <v>152.89653972969774</v>
      </c>
      <c r="AI48" s="182">
        <f t="shared" si="12"/>
        <v>152.89653972969774</v>
      </c>
      <c r="AJ48" s="182">
        <f t="shared" si="12"/>
        <v>152.89653972969774</v>
      </c>
      <c r="AK48" s="182">
        <f t="shared" si="12"/>
        <v>152.89653972969774</v>
      </c>
      <c r="AL48" s="182">
        <f t="shared" si="12"/>
        <v>152.89653972969774</v>
      </c>
      <c r="AM48" s="182">
        <f t="shared" si="12"/>
        <v>152.89653972969774</v>
      </c>
      <c r="AN48" s="182">
        <f t="shared" si="12"/>
        <v>152.89653972969774</v>
      </c>
      <c r="AO48" s="252">
        <f t="shared" si="6"/>
        <v>2680.5865586013292</v>
      </c>
      <c r="AP48" s="135">
        <f>AO48*'Inflation assumptions'!$R$18</f>
        <v>4565.6143840705608</v>
      </c>
      <c r="AR48" s="135">
        <f t="shared" si="7"/>
        <v>5250.9318715507907</v>
      </c>
      <c r="AU48"/>
      <c r="BT48"/>
      <c r="BU48"/>
      <c r="BV48"/>
      <c r="BW48"/>
      <c r="BX48" s="179"/>
      <c r="BY48" s="179"/>
    </row>
    <row r="49" spans="1:119">
      <c r="A49" s="126" t="s">
        <v>184</v>
      </c>
      <c r="B49" s="171">
        <v>69</v>
      </c>
      <c r="C49" s="126" t="s">
        <v>124</v>
      </c>
      <c r="D49" s="126" t="s">
        <v>178</v>
      </c>
      <c r="E49" s="126" t="s">
        <v>180</v>
      </c>
      <c r="F49" s="129">
        <f>INDEX('DORC proposal'!$C$13:$C$423,'ICB calcs - per asset calc'!$B49)</f>
        <v>24.77</v>
      </c>
      <c r="G49" s="128">
        <f>INDEX('DORC proposal'!$F$13:$F$423,'ICB calcs - per asset calc'!$B49)</f>
        <v>61.4571419392148</v>
      </c>
      <c r="H49" s="129">
        <f>INDEX('DORC proposal'!$J$13:$J$423,'ICB calcs - per asset calc'!$B49)</f>
        <v>1757.652529073293</v>
      </c>
      <c r="I49" s="143">
        <f t="shared" si="1"/>
        <v>1304.557919827083</v>
      </c>
      <c r="K49" s="128">
        <f>INDEX('DORC proposal'!$G$13:$G$423,'ICB calcs - per asset calc'!$B49)</f>
        <v>85</v>
      </c>
      <c r="L49" s="141">
        <f t="shared" si="10"/>
        <v>85</v>
      </c>
      <c r="M49" s="129">
        <f t="shared" si="2"/>
        <v>23.5428580607852</v>
      </c>
      <c r="N49" s="129">
        <f t="shared" si="3"/>
        <v>23.5428580607852</v>
      </c>
      <c r="O49" s="128">
        <f t="shared" si="8"/>
        <v>8.7318689791863378</v>
      </c>
      <c r="P49" s="128">
        <f t="shared" si="9"/>
        <v>0</v>
      </c>
      <c r="R49" s="182" t="str">
        <f t="shared" si="11"/>
        <v>Fully dep</v>
      </c>
      <c r="S49" s="182" t="str">
        <f t="shared" si="11"/>
        <v>Fully dep</v>
      </c>
      <c r="T49" s="182" t="str">
        <f t="shared" si="11"/>
        <v>Fully dep</v>
      </c>
      <c r="U49" s="182" t="str">
        <f t="shared" si="11"/>
        <v>Fully dep</v>
      </c>
      <c r="V49" s="182" t="str">
        <f t="shared" si="11"/>
        <v>Fully dep</v>
      </c>
      <c r="W49" s="182" t="str">
        <f t="shared" si="11"/>
        <v>Fully dep</v>
      </c>
      <c r="X49" s="182" t="str">
        <f t="shared" si="11"/>
        <v>Fully dep</v>
      </c>
      <c r="Y49" s="182" t="str">
        <f t="shared" si="11"/>
        <v>Fully dep</v>
      </c>
      <c r="Z49" s="182" t="str">
        <f t="shared" si="11"/>
        <v>Fully dep</v>
      </c>
      <c r="AA49" s="182" t="str">
        <f t="shared" si="11"/>
        <v>Fully dep</v>
      </c>
      <c r="AB49" s="182" t="str">
        <f t="shared" si="12"/>
        <v>Fully dep</v>
      </c>
      <c r="AC49" s="182" t="str">
        <f t="shared" si="12"/>
        <v>Fully dep</v>
      </c>
      <c r="AD49" s="182" t="str">
        <f t="shared" si="12"/>
        <v>Fully dep</v>
      </c>
      <c r="AE49" s="182" t="str">
        <f t="shared" si="12"/>
        <v>Fully dep</v>
      </c>
      <c r="AF49" s="182" t="str">
        <f t="shared" si="12"/>
        <v>Fully dep</v>
      </c>
      <c r="AG49" s="182" t="str">
        <f t="shared" si="12"/>
        <v>Fully dep</v>
      </c>
      <c r="AH49" s="182" t="str">
        <f t="shared" si="12"/>
        <v>Fully dep</v>
      </c>
      <c r="AI49" s="182" t="str">
        <f t="shared" si="12"/>
        <v>Fully dep</v>
      </c>
      <c r="AJ49" s="182" t="str">
        <f t="shared" si="12"/>
        <v>Fully dep</v>
      </c>
      <c r="AK49" s="182" t="str">
        <f t="shared" si="12"/>
        <v>Fully dep</v>
      </c>
      <c r="AL49" s="182" t="str">
        <f t="shared" si="12"/>
        <v>Fully dep</v>
      </c>
      <c r="AM49" s="182" t="str">
        <f t="shared" si="12"/>
        <v>Fully dep</v>
      </c>
      <c r="AN49" s="182" t="str">
        <f t="shared" si="12"/>
        <v>Fully dep</v>
      </c>
      <c r="AO49" s="252">
        <f t="shared" si="6"/>
        <v>0</v>
      </c>
      <c r="AP49" s="135">
        <f>AO49*'Inflation assumptions'!$R$18</f>
        <v>0</v>
      </c>
      <c r="AR49" s="135">
        <f t="shared" si="7"/>
        <v>0</v>
      </c>
      <c r="AU49"/>
      <c r="BT49"/>
      <c r="BU49"/>
      <c r="BV49"/>
      <c r="BW49"/>
      <c r="BX49" s="179"/>
      <c r="BY49" s="179"/>
    </row>
    <row r="50" spans="1:119">
      <c r="A50" s="126" t="s">
        <v>184</v>
      </c>
      <c r="B50" s="171">
        <v>74</v>
      </c>
      <c r="C50" s="126" t="s">
        <v>124</v>
      </c>
      <c r="D50" s="126" t="s">
        <v>178</v>
      </c>
      <c r="E50" s="126" t="s">
        <v>181</v>
      </c>
      <c r="F50" s="129">
        <f>INDEX('DORC proposal'!$C$13:$C$423,'ICB calcs - per asset calc'!$B50)</f>
        <v>0.35</v>
      </c>
      <c r="G50" s="128">
        <f>INDEX('DORC proposal'!$F$13:$F$423,'ICB calcs - per asset calc'!$B50)</f>
        <v>20.354523227383876</v>
      </c>
      <c r="H50" s="129">
        <f>INDEX('DORC proposal'!$J$13:$J$423,'ICB calcs - per asset calc'!$B50)</f>
        <v>58.611693512176089</v>
      </c>
      <c r="I50" s="143">
        <f t="shared" si="1"/>
        <v>43.502539723309866</v>
      </c>
      <c r="K50" s="128">
        <f>INDEX('DORC proposal'!$G$13:$G$423,'ICB calcs - per asset calc'!$B50)</f>
        <v>85</v>
      </c>
      <c r="L50" s="141">
        <f t="shared" si="10"/>
        <v>85</v>
      </c>
      <c r="M50" s="129">
        <f t="shared" si="2"/>
        <v>64.645476772616121</v>
      </c>
      <c r="N50" s="129">
        <f t="shared" si="3"/>
        <v>64.645476772616121</v>
      </c>
      <c r="O50" s="128">
        <f t="shared" si="8"/>
        <v>46.672747790107195</v>
      </c>
      <c r="P50" s="128">
        <f t="shared" si="9"/>
        <v>36.672747790107195</v>
      </c>
      <c r="R50" s="182">
        <f t="shared" si="11"/>
        <v>0.67294019466088273</v>
      </c>
      <c r="S50" s="182">
        <f t="shared" si="11"/>
        <v>0.67294019466088273</v>
      </c>
      <c r="T50" s="182">
        <f t="shared" si="11"/>
        <v>0.67294019466088273</v>
      </c>
      <c r="U50" s="182">
        <f t="shared" si="11"/>
        <v>0.67294019466088273</v>
      </c>
      <c r="V50" s="182">
        <f t="shared" si="11"/>
        <v>0.67294019466088273</v>
      </c>
      <c r="W50" s="182">
        <f t="shared" si="11"/>
        <v>0.67294019466088273</v>
      </c>
      <c r="X50" s="182">
        <f t="shared" si="11"/>
        <v>0.67294019466088273</v>
      </c>
      <c r="Y50" s="182">
        <f t="shared" si="11"/>
        <v>0.67294019466088273</v>
      </c>
      <c r="Z50" s="182">
        <f t="shared" si="11"/>
        <v>0.67294019466088273</v>
      </c>
      <c r="AA50" s="182">
        <f t="shared" si="11"/>
        <v>0.67294019466088273</v>
      </c>
      <c r="AB50" s="182">
        <f t="shared" si="12"/>
        <v>0.67294019466088273</v>
      </c>
      <c r="AC50" s="182">
        <f t="shared" si="12"/>
        <v>0.67294019466088273</v>
      </c>
      <c r="AD50" s="182">
        <f t="shared" si="12"/>
        <v>0.67294019466088273</v>
      </c>
      <c r="AE50" s="182">
        <f t="shared" si="12"/>
        <v>0.74463833475184749</v>
      </c>
      <c r="AF50" s="182">
        <f t="shared" si="12"/>
        <v>0.74463833475184749</v>
      </c>
      <c r="AG50" s="182">
        <f t="shared" si="12"/>
        <v>0.74463833475184749</v>
      </c>
      <c r="AH50" s="182">
        <f t="shared" si="12"/>
        <v>0.74463833475184749</v>
      </c>
      <c r="AI50" s="182">
        <f t="shared" si="12"/>
        <v>0.74463833475184749</v>
      </c>
      <c r="AJ50" s="182">
        <f t="shared" si="12"/>
        <v>0.74463833475184749</v>
      </c>
      <c r="AK50" s="182">
        <f t="shared" si="12"/>
        <v>0.74463833475184749</v>
      </c>
      <c r="AL50" s="182">
        <f t="shared" si="12"/>
        <v>0.74463833475184749</v>
      </c>
      <c r="AM50" s="182">
        <f t="shared" si="12"/>
        <v>0.74463833475184749</v>
      </c>
      <c r="AN50" s="182">
        <f t="shared" si="12"/>
        <v>0.74463833475184749</v>
      </c>
      <c r="AO50" s="252">
        <f t="shared" si="6"/>
        <v>27.307933845199912</v>
      </c>
      <c r="AP50" s="135">
        <f>AO50*'Inflation assumptions'!$R$18</f>
        <v>46.511273871322395</v>
      </c>
      <c r="AR50" s="135">
        <f t="shared" si="7"/>
        <v>53.492807279008204</v>
      </c>
      <c r="AU50"/>
      <c r="BT50"/>
      <c r="BU50"/>
      <c r="BV50"/>
      <c r="BW50"/>
      <c r="BX50" s="179"/>
      <c r="BY50" s="179"/>
    </row>
    <row r="51" spans="1:119">
      <c r="A51" s="126" t="s">
        <v>185</v>
      </c>
      <c r="B51" s="171">
        <v>82</v>
      </c>
      <c r="C51" s="126" t="s">
        <v>124</v>
      </c>
      <c r="D51" s="126" t="s">
        <v>178</v>
      </c>
      <c r="E51" s="126" t="s">
        <v>179</v>
      </c>
      <c r="F51" s="129">
        <f>INDEX('DORC proposal'!$C$13:$C$423,'ICB calcs - per asset calc'!$B51)</f>
        <v>2067.62</v>
      </c>
      <c r="G51" s="128">
        <f>INDEX('DORC proposal'!$F$13:$F$423,'ICB calcs - per asset calc'!$B51)</f>
        <v>40.975754662795147</v>
      </c>
      <c r="H51" s="129">
        <f>INDEX('DORC proposal'!$J$13:$J$423,'ICB calcs - per asset calc'!$B51)</f>
        <v>106367.72885972324</v>
      </c>
      <c r="I51" s="143">
        <f t="shared" si="1"/>
        <v>78947.835708536339</v>
      </c>
      <c r="K51" s="128">
        <f>INDEX('DORC proposal'!$G$13:$G$423,'ICB calcs - per asset calc'!$B51)</f>
        <v>85.000000000000014</v>
      </c>
      <c r="L51" s="141">
        <f t="shared" si="10"/>
        <v>85</v>
      </c>
      <c r="M51" s="129">
        <f t="shared" si="2"/>
        <v>44.024245337204867</v>
      </c>
      <c r="N51" s="129">
        <f t="shared" si="3"/>
        <v>44.024245337204853</v>
      </c>
      <c r="O51" s="128">
        <f t="shared" si="8"/>
        <v>27.637764926650632</v>
      </c>
      <c r="P51" s="128">
        <f t="shared" si="9"/>
        <v>17.637764926650632</v>
      </c>
      <c r="R51" s="182">
        <f t="shared" si="11"/>
        <v>1793.2808411327289</v>
      </c>
      <c r="S51" s="182">
        <f t="shared" si="11"/>
        <v>1793.2808411327289</v>
      </c>
      <c r="T51" s="182">
        <f t="shared" si="11"/>
        <v>1793.2808411327289</v>
      </c>
      <c r="U51" s="182">
        <f t="shared" si="11"/>
        <v>1793.2808411327289</v>
      </c>
      <c r="V51" s="182">
        <f t="shared" si="11"/>
        <v>1793.2808411327289</v>
      </c>
      <c r="W51" s="182">
        <f t="shared" si="11"/>
        <v>1793.2808411327289</v>
      </c>
      <c r="X51" s="182">
        <f t="shared" si="11"/>
        <v>1793.2808411327289</v>
      </c>
      <c r="Y51" s="182">
        <f t="shared" si="11"/>
        <v>1793.2808411327289</v>
      </c>
      <c r="Z51" s="182">
        <f t="shared" si="11"/>
        <v>1793.2808411327289</v>
      </c>
      <c r="AA51" s="182">
        <f t="shared" si="11"/>
        <v>1793.2808411327289</v>
      </c>
      <c r="AB51" s="182">
        <f t="shared" si="12"/>
        <v>1793.2808411327289</v>
      </c>
      <c r="AC51" s="182">
        <f t="shared" si="12"/>
        <v>1793.2808411327289</v>
      </c>
      <c r="AD51" s="182">
        <f t="shared" si="12"/>
        <v>1793.2808411327289</v>
      </c>
      <c r="AE51" s="182">
        <f t="shared" si="12"/>
        <v>2013.0131695332132</v>
      </c>
      <c r="AF51" s="182">
        <f t="shared" si="12"/>
        <v>2013.0131695332132</v>
      </c>
      <c r="AG51" s="182">
        <f t="shared" si="12"/>
        <v>2013.0131695332132</v>
      </c>
      <c r="AH51" s="182">
        <f t="shared" si="12"/>
        <v>2013.0131695332132</v>
      </c>
      <c r="AI51" s="182">
        <f t="shared" si="12"/>
        <v>2013.0131695332132</v>
      </c>
      <c r="AJ51" s="182">
        <f t="shared" si="12"/>
        <v>2013.0131695332132</v>
      </c>
      <c r="AK51" s="182">
        <f t="shared" si="12"/>
        <v>2013.0131695332132</v>
      </c>
      <c r="AL51" s="182">
        <f t="shared" si="12"/>
        <v>2013.0131695332132</v>
      </c>
      <c r="AM51" s="182">
        <f t="shared" si="12"/>
        <v>2013.0131695332132</v>
      </c>
      <c r="AN51" s="182">
        <f t="shared" si="12"/>
        <v>2013.0131695332132</v>
      </c>
      <c r="AO51" s="252">
        <f t="shared" si="6"/>
        <v>35505.053078478712</v>
      </c>
      <c r="AP51" s="135">
        <f>AO51*'Inflation assumptions'!$R$18</f>
        <v>60472.72770287731</v>
      </c>
      <c r="AR51" s="135">
        <f t="shared" si="7"/>
        <v>69549.932723740814</v>
      </c>
      <c r="AU51"/>
      <c r="BT51"/>
      <c r="BU51"/>
      <c r="BV51"/>
      <c r="BW51"/>
      <c r="BX51" s="179"/>
      <c r="BY51" s="179"/>
    </row>
    <row r="52" spans="1:119">
      <c r="A52" s="126" t="s">
        <v>185</v>
      </c>
      <c r="B52" s="171">
        <v>87</v>
      </c>
      <c r="C52" s="126" t="s">
        <v>124</v>
      </c>
      <c r="D52" s="126" t="s">
        <v>178</v>
      </c>
      <c r="E52" s="126" t="s">
        <v>180</v>
      </c>
      <c r="F52" s="129">
        <f>INDEX('DORC proposal'!$C$13:$C$423,'ICB calcs - per asset calc'!$B52)</f>
        <v>100</v>
      </c>
      <c r="G52" s="128">
        <f>INDEX('DORC proposal'!$F$13:$F$423,'ICB calcs - per asset calc'!$B52)</f>
        <v>61.396507655978922</v>
      </c>
      <c r="H52" s="129">
        <f>INDEX('DORC proposal'!$J$13:$J$423,'ICB calcs - per asset calc'!$B52)</f>
        <v>4112.5934094364475</v>
      </c>
      <c r="I52" s="143">
        <f t="shared" si="1"/>
        <v>3052.4328412838763</v>
      </c>
      <c r="K52" s="128">
        <f>INDEX('DORC proposal'!$G$13:$G$423,'ICB calcs - per asset calc'!$B52)</f>
        <v>85.000000000000014</v>
      </c>
      <c r="L52" s="141">
        <f t="shared" si="10"/>
        <v>85</v>
      </c>
      <c r="M52" s="129">
        <f t="shared" si="2"/>
        <v>23.603492344021092</v>
      </c>
      <c r="N52" s="129">
        <f t="shared" si="3"/>
        <v>23.603492344021078</v>
      </c>
      <c r="O52" s="128">
        <f t="shared" si="8"/>
        <v>8.7878390867886864</v>
      </c>
      <c r="P52" s="128">
        <f t="shared" si="9"/>
        <v>0</v>
      </c>
      <c r="R52" s="182" t="str">
        <f t="shared" si="11"/>
        <v>Fully dep</v>
      </c>
      <c r="S52" s="182" t="str">
        <f t="shared" si="11"/>
        <v>Fully dep</v>
      </c>
      <c r="T52" s="182" t="str">
        <f t="shared" si="11"/>
        <v>Fully dep</v>
      </c>
      <c r="U52" s="182" t="str">
        <f t="shared" si="11"/>
        <v>Fully dep</v>
      </c>
      <c r="V52" s="182" t="str">
        <f t="shared" si="11"/>
        <v>Fully dep</v>
      </c>
      <c r="W52" s="182" t="str">
        <f t="shared" si="11"/>
        <v>Fully dep</v>
      </c>
      <c r="X52" s="182" t="str">
        <f t="shared" si="11"/>
        <v>Fully dep</v>
      </c>
      <c r="Y52" s="182" t="str">
        <f t="shared" si="11"/>
        <v>Fully dep</v>
      </c>
      <c r="Z52" s="182" t="str">
        <f t="shared" si="11"/>
        <v>Fully dep</v>
      </c>
      <c r="AA52" s="182" t="str">
        <f t="shared" si="11"/>
        <v>Fully dep</v>
      </c>
      <c r="AB52" s="182" t="str">
        <f t="shared" si="12"/>
        <v>Fully dep</v>
      </c>
      <c r="AC52" s="182" t="str">
        <f t="shared" si="12"/>
        <v>Fully dep</v>
      </c>
      <c r="AD52" s="182" t="str">
        <f t="shared" si="12"/>
        <v>Fully dep</v>
      </c>
      <c r="AE52" s="182" t="str">
        <f t="shared" si="12"/>
        <v>Fully dep</v>
      </c>
      <c r="AF52" s="182" t="str">
        <f t="shared" si="12"/>
        <v>Fully dep</v>
      </c>
      <c r="AG52" s="182" t="str">
        <f t="shared" si="12"/>
        <v>Fully dep</v>
      </c>
      <c r="AH52" s="182" t="str">
        <f t="shared" si="12"/>
        <v>Fully dep</v>
      </c>
      <c r="AI52" s="182" t="str">
        <f t="shared" si="12"/>
        <v>Fully dep</v>
      </c>
      <c r="AJ52" s="182" t="str">
        <f t="shared" si="12"/>
        <v>Fully dep</v>
      </c>
      <c r="AK52" s="182" t="str">
        <f t="shared" si="12"/>
        <v>Fully dep</v>
      </c>
      <c r="AL52" s="182" t="str">
        <f t="shared" si="12"/>
        <v>Fully dep</v>
      </c>
      <c r="AM52" s="182" t="str">
        <f t="shared" si="12"/>
        <v>Fully dep</v>
      </c>
      <c r="AN52" s="182" t="str">
        <f t="shared" si="12"/>
        <v>Fully dep</v>
      </c>
      <c r="AO52" s="252">
        <f t="shared" si="6"/>
        <v>0</v>
      </c>
      <c r="AP52" s="135">
        <f>AO52*'Inflation assumptions'!$R$18</f>
        <v>0</v>
      </c>
      <c r="AR52" s="135">
        <f t="shared" si="7"/>
        <v>0</v>
      </c>
      <c r="AU52"/>
      <c r="BT52"/>
      <c r="BU52"/>
      <c r="BV52"/>
      <c r="BW52"/>
      <c r="BX52" s="179"/>
      <c r="BY52" s="179"/>
    </row>
    <row r="53" spans="1:119">
      <c r="A53" s="126" t="s">
        <v>185</v>
      </c>
      <c r="B53" s="171">
        <v>92</v>
      </c>
      <c r="C53" s="126" t="s">
        <v>124</v>
      </c>
      <c r="D53" s="126" t="s">
        <v>178</v>
      </c>
      <c r="E53" s="126" t="s">
        <v>181</v>
      </c>
      <c r="F53" s="129">
        <f>INDEX('DORC proposal'!$C$13:$C$423,'ICB calcs - per asset calc'!$B53)</f>
        <v>0.47</v>
      </c>
      <c r="G53" s="128">
        <f>INDEX('DORC proposal'!$F$13:$F$423,'ICB calcs - per asset calc'!$B53)</f>
        <v>20.354523227383876</v>
      </c>
      <c r="H53" s="129">
        <f>INDEX('DORC proposal'!$J$13:$J$423,'ICB calcs - per asset calc'!$B53)</f>
        <v>26.714881162493477</v>
      </c>
      <c r="I53" s="143">
        <f t="shared" si="1"/>
        <v>19.828213609515391</v>
      </c>
      <c r="K53" s="128">
        <f>INDEX('DORC proposal'!$G$13:$G$423,'ICB calcs - per asset calc'!$B53)</f>
        <v>85</v>
      </c>
      <c r="L53" s="141">
        <f t="shared" si="10"/>
        <v>85</v>
      </c>
      <c r="M53" s="129">
        <f t="shared" si="2"/>
        <v>64.645476772616121</v>
      </c>
      <c r="N53" s="129">
        <f t="shared" si="3"/>
        <v>64.645476772616121</v>
      </c>
      <c r="O53" s="128">
        <f t="shared" si="8"/>
        <v>46.672747790107195</v>
      </c>
      <c r="P53" s="128">
        <f t="shared" si="9"/>
        <v>36.672747790107195</v>
      </c>
      <c r="R53" s="182">
        <f t="shared" si="11"/>
        <v>0.30672236634991668</v>
      </c>
      <c r="S53" s="182">
        <f t="shared" si="11"/>
        <v>0.30672236634991668</v>
      </c>
      <c r="T53" s="182">
        <f t="shared" si="11"/>
        <v>0.30672236634991668</v>
      </c>
      <c r="U53" s="182">
        <f t="shared" si="11"/>
        <v>0.30672236634991668</v>
      </c>
      <c r="V53" s="182">
        <f t="shared" si="11"/>
        <v>0.30672236634991668</v>
      </c>
      <c r="W53" s="182">
        <f t="shared" si="11"/>
        <v>0.30672236634991668</v>
      </c>
      <c r="X53" s="182">
        <f t="shared" si="11"/>
        <v>0.30672236634991668</v>
      </c>
      <c r="Y53" s="182">
        <f t="shared" si="11"/>
        <v>0.30672236634991668</v>
      </c>
      <c r="Z53" s="182">
        <f t="shared" si="11"/>
        <v>0.30672236634991668</v>
      </c>
      <c r="AA53" s="182">
        <f t="shared" si="11"/>
        <v>0.30672236634991668</v>
      </c>
      <c r="AB53" s="182">
        <f t="shared" si="12"/>
        <v>0.30672236634991668</v>
      </c>
      <c r="AC53" s="182">
        <f t="shared" si="12"/>
        <v>0.30672236634991668</v>
      </c>
      <c r="AD53" s="182">
        <f t="shared" si="12"/>
        <v>0.30672236634991668</v>
      </c>
      <c r="AE53" s="182">
        <f t="shared" si="12"/>
        <v>0.33940197646396364</v>
      </c>
      <c r="AF53" s="182">
        <f t="shared" si="12"/>
        <v>0.33940197646396364</v>
      </c>
      <c r="AG53" s="182">
        <f t="shared" si="12"/>
        <v>0.33940197646396364</v>
      </c>
      <c r="AH53" s="182">
        <f t="shared" si="12"/>
        <v>0.33940197646396364</v>
      </c>
      <c r="AI53" s="182">
        <f t="shared" si="12"/>
        <v>0.33940197646396364</v>
      </c>
      <c r="AJ53" s="182">
        <f t="shared" si="12"/>
        <v>0.33940197646396364</v>
      </c>
      <c r="AK53" s="182">
        <f t="shared" si="12"/>
        <v>0.33940197646396364</v>
      </c>
      <c r="AL53" s="182">
        <f t="shared" si="12"/>
        <v>0.33940197646396364</v>
      </c>
      <c r="AM53" s="182">
        <f t="shared" si="12"/>
        <v>0.33940197646396364</v>
      </c>
      <c r="AN53" s="182">
        <f t="shared" si="12"/>
        <v>0.33940197646396364</v>
      </c>
      <c r="AO53" s="252">
        <f t="shared" si="6"/>
        <v>12.446803082326838</v>
      </c>
      <c r="AP53" s="135">
        <f>AO53*'Inflation assumptions'!$R$18</f>
        <v>21.199577758838139</v>
      </c>
      <c r="AR53" s="135">
        <f t="shared" si="7"/>
        <v>24.381721528145171</v>
      </c>
      <c r="AU53"/>
      <c r="BT53"/>
      <c r="BU53"/>
      <c r="BV53"/>
      <c r="BW53"/>
      <c r="BX53" s="179"/>
      <c r="BY53" s="179"/>
    </row>
    <row r="54" spans="1:119" ht="17.25" thickBot="1">
      <c r="E54" s="137" t="s">
        <v>186</v>
      </c>
      <c r="F54" s="137">
        <f>SUM(F38:F53)</f>
        <v>6840.746000000001</v>
      </c>
      <c r="G54" s="137"/>
      <c r="H54" s="137">
        <f>SUM(H38:H53)</f>
        <v>503357.47833167977</v>
      </c>
      <c r="I54" s="137">
        <f>SUM(I38:I53)</f>
        <v>373599.99999999988</v>
      </c>
      <c r="L54" s="174"/>
      <c r="M54"/>
      <c r="P54" s="128"/>
      <c r="U54"/>
      <c r="V54"/>
      <c r="AO54" s="253">
        <f>SUM(AO38:AO53)</f>
        <v>211420.68615904896</v>
      </c>
      <c r="AP54" s="253">
        <f>SUM(AP38:AP53)</f>
        <v>360094.81683049089</v>
      </c>
      <c r="AR54" s="253">
        <f>SUM(AR38:AR53)</f>
        <v>414146.52912269381</v>
      </c>
      <c r="AT54"/>
      <c r="AU54"/>
      <c r="BT54"/>
      <c r="BU54"/>
      <c r="BV54"/>
      <c r="BW54"/>
    </row>
    <row r="55" spans="1:119" ht="17.25" thickTop="1">
      <c r="E55" s="324" t="s">
        <v>187</v>
      </c>
      <c r="F55" s="324" t="b">
        <f>F54='DORC proposal'!C113</f>
        <v>1</v>
      </c>
      <c r="G55" s="336"/>
      <c r="H55" s="337" t="b">
        <f>H54='DORC proposal'!J113</f>
        <v>1</v>
      </c>
      <c r="I55" s="337" t="b">
        <f>I54=F19*10^3</f>
        <v>1</v>
      </c>
      <c r="L55" s="174"/>
      <c r="M55" s="338" t="s">
        <v>188</v>
      </c>
      <c r="N55" s="339">
        <f>SUMPRODUCT(N38:N53,I38:I53)/I54</f>
        <v>66.006216541905545</v>
      </c>
      <c r="P55" s="128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U55"/>
      <c r="AW55"/>
      <c r="AX55"/>
      <c r="BT55"/>
      <c r="BU55"/>
      <c r="BV55"/>
      <c r="BW55"/>
    </row>
    <row r="56" spans="1:119">
      <c r="G56" s="128"/>
      <c r="H56" s="129"/>
      <c r="L56" s="174"/>
      <c r="M56" s="128"/>
      <c r="N56" s="128"/>
      <c r="P56" s="128"/>
      <c r="R56" s="175"/>
      <c r="W56" s="142"/>
      <c r="AB56" s="130"/>
      <c r="AW56"/>
      <c r="AX56"/>
      <c r="BT56"/>
      <c r="BU56"/>
      <c r="BV56"/>
      <c r="BW56"/>
    </row>
    <row r="57" spans="1:119">
      <c r="E57" s="127" t="s">
        <v>189</v>
      </c>
      <c r="I57" s="129"/>
      <c r="L57" s="174"/>
      <c r="N57" s="128"/>
      <c r="P57" s="128"/>
      <c r="R57" s="175"/>
      <c r="W57" s="142"/>
      <c r="AB57" s="130"/>
      <c r="AW57"/>
      <c r="AX57"/>
      <c r="BT57"/>
      <c r="BU57"/>
      <c r="BV57"/>
      <c r="BW57"/>
    </row>
    <row r="58" spans="1:119" customFormat="1" ht="66" customHeight="1">
      <c r="A58" s="126"/>
      <c r="B58" s="126"/>
      <c r="C58" s="126"/>
      <c r="D58" s="126"/>
      <c r="E58" s="126"/>
      <c r="F58" s="132" t="s">
        <v>190</v>
      </c>
      <c r="G58" s="171" t="s">
        <v>165</v>
      </c>
      <c r="H58" s="171" t="s">
        <v>166</v>
      </c>
      <c r="I58" s="171" t="s">
        <v>167</v>
      </c>
      <c r="J58" s="126"/>
      <c r="K58" s="171" t="s">
        <v>168</v>
      </c>
      <c r="L58" s="171" t="s">
        <v>169</v>
      </c>
      <c r="M58" s="171" t="s">
        <v>170</v>
      </c>
      <c r="N58" s="171" t="s">
        <v>171</v>
      </c>
      <c r="O58" s="171" t="s">
        <v>172</v>
      </c>
      <c r="P58" s="171" t="s">
        <v>173</v>
      </c>
      <c r="Q58" s="126"/>
      <c r="R58" s="181">
        <v>1999</v>
      </c>
      <c r="S58" s="181">
        <f t="shared" ref="S58:AN58" si="13">R58+1</f>
        <v>2000</v>
      </c>
      <c r="T58" s="181">
        <f t="shared" si="13"/>
        <v>2001</v>
      </c>
      <c r="U58" s="181">
        <f t="shared" si="13"/>
        <v>2002</v>
      </c>
      <c r="V58" s="181">
        <f t="shared" si="13"/>
        <v>2003</v>
      </c>
      <c r="W58" s="181">
        <f t="shared" si="13"/>
        <v>2004</v>
      </c>
      <c r="X58" s="181">
        <f t="shared" si="13"/>
        <v>2005</v>
      </c>
      <c r="Y58" s="181">
        <f t="shared" si="13"/>
        <v>2006</v>
      </c>
      <c r="Z58" s="181">
        <f t="shared" si="13"/>
        <v>2007</v>
      </c>
      <c r="AA58" s="181">
        <f t="shared" si="13"/>
        <v>2008</v>
      </c>
      <c r="AB58" s="181">
        <f t="shared" si="13"/>
        <v>2009</v>
      </c>
      <c r="AC58" s="181">
        <f t="shared" si="13"/>
        <v>2010</v>
      </c>
      <c r="AD58" s="181">
        <f t="shared" si="13"/>
        <v>2011</v>
      </c>
      <c r="AE58" s="181">
        <f t="shared" si="13"/>
        <v>2012</v>
      </c>
      <c r="AF58" s="181">
        <f t="shared" si="13"/>
        <v>2013</v>
      </c>
      <c r="AG58" s="181">
        <f t="shared" si="13"/>
        <v>2014</v>
      </c>
      <c r="AH58" s="181">
        <f t="shared" si="13"/>
        <v>2015</v>
      </c>
      <c r="AI58" s="181">
        <f t="shared" si="13"/>
        <v>2016</v>
      </c>
      <c r="AJ58" s="181">
        <f t="shared" si="13"/>
        <v>2017</v>
      </c>
      <c r="AK58" s="181">
        <f t="shared" si="13"/>
        <v>2018</v>
      </c>
      <c r="AL58" s="181">
        <f t="shared" si="13"/>
        <v>2019</v>
      </c>
      <c r="AM58" s="181">
        <f t="shared" si="13"/>
        <v>2020</v>
      </c>
      <c r="AN58" s="181">
        <f t="shared" si="13"/>
        <v>2021</v>
      </c>
      <c r="AO58" s="184" t="s">
        <v>191</v>
      </c>
      <c r="AP58" s="184" t="s">
        <v>192</v>
      </c>
      <c r="AQ58" s="126"/>
      <c r="AR58" s="184" t="s">
        <v>176</v>
      </c>
      <c r="AS58" s="126"/>
      <c r="AT58" s="126"/>
      <c r="AU58" s="126"/>
      <c r="DN58" s="126"/>
      <c r="DO58" s="126"/>
    </row>
    <row r="59" spans="1:119" customFormat="1">
      <c r="A59" s="126" t="s">
        <v>123</v>
      </c>
      <c r="B59" s="126" t="s">
        <v>118</v>
      </c>
      <c r="C59" s="126" t="s">
        <v>183</v>
      </c>
      <c r="D59" s="126" t="s">
        <v>193</v>
      </c>
      <c r="E59" s="126" t="s">
        <v>179</v>
      </c>
      <c r="F59" s="129">
        <f>SUMIFS('DORC proposal'!C$431:C$541,'DORC proposal'!$A$431:$A$541,'ICB calcs - per asset calc'!$B59,'DORC proposal'!$B$431:$B$541,"total steel")</f>
        <v>17447</v>
      </c>
      <c r="G59" s="128">
        <f>SUMIFS('DORC proposal'!E$431:E$541,'DORC proposal'!$A$431:$A$541,'ICB calcs - per asset calc'!$B59,'DORC proposal'!$B$431:$B$541,"total steel")</f>
        <v>37.048019162134459</v>
      </c>
      <c r="H59" s="129">
        <f>SUMIFS('DORC proposal'!G$431:G$541,'DORC proposal'!$A$431:$A$541,'ICB calcs - per asset calc'!$B59,'DORC proposal'!$B$431:$B$541,A59)</f>
        <v>12243.835676799999</v>
      </c>
      <c r="I59" s="143">
        <f>H59*$G$20</f>
        <v>9513.971166455085</v>
      </c>
      <c r="J59" s="126"/>
      <c r="K59" s="128">
        <f>SUMIFS('DORC proposal'!D$431:D$541,'DORC proposal'!$A$431:$A$541,'ICB calcs - per asset calc'!$B59,'DORC proposal'!$B$431:$B$541,"total steel")</f>
        <v>125</v>
      </c>
      <c r="L59" s="126">
        <f>$F$8</f>
        <v>60</v>
      </c>
      <c r="M59" s="129">
        <f t="shared" ref="M59:M70" si="14">MAX(K59-$G59,0)</f>
        <v>87.951980837865534</v>
      </c>
      <c r="N59" s="129">
        <f t="shared" ref="N59:N70" si="15">MAX(L59-$G59,0)</f>
        <v>22.951980837865541</v>
      </c>
      <c r="O59" s="128">
        <f>MAX(N59*$F$12-($F$15-$F$14),0)</f>
        <v>9.3921764271858947</v>
      </c>
      <c r="P59" s="128">
        <f>MAX(O59-($F$16-$F$15),0)</f>
        <v>0</v>
      </c>
      <c r="Q59" s="126"/>
      <c r="R59" s="182" t="str">
        <f t="shared" ref="R59:AA70" si="16">IF($P59=0,"Fully dep",IF(R$58&lt;$F$15,1/$N59*$I59,($I59-SUM($R59:$AD59))/$O59))</f>
        <v>Fully dep</v>
      </c>
      <c r="S59" s="182" t="str">
        <f t="shared" si="16"/>
        <v>Fully dep</v>
      </c>
      <c r="T59" s="182" t="str">
        <f t="shared" si="16"/>
        <v>Fully dep</v>
      </c>
      <c r="U59" s="182" t="str">
        <f t="shared" si="16"/>
        <v>Fully dep</v>
      </c>
      <c r="V59" s="182" t="str">
        <f t="shared" si="16"/>
        <v>Fully dep</v>
      </c>
      <c r="W59" s="182" t="str">
        <f t="shared" si="16"/>
        <v>Fully dep</v>
      </c>
      <c r="X59" s="182" t="str">
        <f t="shared" si="16"/>
        <v>Fully dep</v>
      </c>
      <c r="Y59" s="182" t="str">
        <f t="shared" si="16"/>
        <v>Fully dep</v>
      </c>
      <c r="Z59" s="182" t="str">
        <f t="shared" si="16"/>
        <v>Fully dep</v>
      </c>
      <c r="AA59" s="182" t="str">
        <f t="shared" si="16"/>
        <v>Fully dep</v>
      </c>
      <c r="AB59" s="182" t="str">
        <f t="shared" ref="AB59:AN70" si="17">IF($P59=0,"Fully dep",IF(AB$58&lt;$F$15,1/$N59*$I59,($I59-SUM($R59:$AD59))/$O59))</f>
        <v>Fully dep</v>
      </c>
      <c r="AC59" s="182" t="str">
        <f t="shared" si="17"/>
        <v>Fully dep</v>
      </c>
      <c r="AD59" s="182" t="str">
        <f t="shared" si="17"/>
        <v>Fully dep</v>
      </c>
      <c r="AE59" s="182" t="str">
        <f t="shared" si="17"/>
        <v>Fully dep</v>
      </c>
      <c r="AF59" s="182" t="str">
        <f t="shared" si="17"/>
        <v>Fully dep</v>
      </c>
      <c r="AG59" s="182" t="str">
        <f t="shared" si="17"/>
        <v>Fully dep</v>
      </c>
      <c r="AH59" s="182" t="str">
        <f t="shared" si="17"/>
        <v>Fully dep</v>
      </c>
      <c r="AI59" s="182" t="str">
        <f t="shared" si="17"/>
        <v>Fully dep</v>
      </c>
      <c r="AJ59" s="182" t="str">
        <f t="shared" si="17"/>
        <v>Fully dep</v>
      </c>
      <c r="AK59" s="182" t="str">
        <f t="shared" si="17"/>
        <v>Fully dep</v>
      </c>
      <c r="AL59" s="182" t="str">
        <f t="shared" si="17"/>
        <v>Fully dep</v>
      </c>
      <c r="AM59" s="182" t="str">
        <f t="shared" si="17"/>
        <v>Fully dep</v>
      </c>
      <c r="AN59" s="182" t="str">
        <f t="shared" si="17"/>
        <v>Fully dep</v>
      </c>
      <c r="AO59" s="252">
        <f t="shared" ref="AO59:AO70" si="18">IF(AN59="Fully dep",0,I59-SUM(R59:AN59))</f>
        <v>0</v>
      </c>
      <c r="AP59" s="135">
        <f>AO59*'Inflation assumptions'!$R$18</f>
        <v>0</v>
      </c>
      <c r="AQ59" s="126"/>
      <c r="AR59" s="135">
        <f t="shared" ref="AR59:AR70" si="19">AP59/$AP$71*$J$30*10^3</f>
        <v>0</v>
      </c>
      <c r="AS59" s="126"/>
      <c r="AT59" s="126"/>
      <c r="AU59" s="126"/>
      <c r="AY59" s="126"/>
      <c r="AZ59" s="126"/>
      <c r="BA59" s="126"/>
      <c r="BB59" s="179"/>
      <c r="DN59" s="126"/>
      <c r="DO59" s="126"/>
    </row>
    <row r="60" spans="1:119" customFormat="1">
      <c r="A60" s="126" t="s">
        <v>123</v>
      </c>
      <c r="B60" s="126" t="s">
        <v>128</v>
      </c>
      <c r="C60" s="126" t="s">
        <v>183</v>
      </c>
      <c r="D60" s="126" t="s">
        <v>193</v>
      </c>
      <c r="E60" s="126" t="s">
        <v>180</v>
      </c>
      <c r="F60" s="129">
        <f>SUMIFS('DORC proposal'!C$431:C$541,'DORC proposal'!$A$431:$A$541,'ICB calcs - per asset calc'!$B60,'DORC proposal'!$B$431:$B$541,"total steel")</f>
        <v>22462</v>
      </c>
      <c r="G60" s="128">
        <f>SUMIFS('DORC proposal'!E$431:E$541,'DORC proposal'!$A$431:$A$541,'ICB calcs - per asset calc'!$B60,'DORC proposal'!$B$431:$B$541,"total steel")</f>
        <v>17.579005175236759</v>
      </c>
      <c r="H60" s="129">
        <f>SUMIFS('DORC proposal'!G$431:G$541,'DORC proposal'!$A$431:$A$541,'ICB calcs - per asset calc'!$B60,'DORC proposal'!$B$431:$B$541,A60)</f>
        <v>19752.920880639998</v>
      </c>
      <c r="I60" s="143">
        <f t="shared" ref="I60:I70" si="20">H60*$G$20</f>
        <v>15348.843668963209</v>
      </c>
      <c r="J60" s="126"/>
      <c r="K60" s="128">
        <f>SUMIFS('DORC proposal'!D$431:D$541,'DORC proposal'!$A$431:$A$541,'ICB calcs - per asset calc'!$B60,'DORC proposal'!$B$431:$B$541,"total steel")</f>
        <v>125</v>
      </c>
      <c r="L60" s="126">
        <f>$F$8</f>
        <v>60</v>
      </c>
      <c r="M60" s="129">
        <f t="shared" si="14"/>
        <v>107.42099482476324</v>
      </c>
      <c r="N60" s="129">
        <f t="shared" si="15"/>
        <v>42.420994824763241</v>
      </c>
      <c r="O60" s="128">
        <f t="shared" ref="O60:O70" si="21">MAX(N60*$F$12-($F$15-$F$14),0)</f>
        <v>28.386336414403161</v>
      </c>
      <c r="P60" s="128">
        <f t="shared" ref="P60:P70" si="22">MAX(O60-($F$16-$F$15),0)</f>
        <v>18.386336414403161</v>
      </c>
      <c r="Q60" s="126"/>
      <c r="R60" s="182">
        <f t="shared" si="16"/>
        <v>361.82186986344146</v>
      </c>
      <c r="S60" s="182">
        <f t="shared" si="16"/>
        <v>361.82186986344146</v>
      </c>
      <c r="T60" s="182">
        <f t="shared" si="16"/>
        <v>361.82186986344146</v>
      </c>
      <c r="U60" s="182">
        <f t="shared" si="16"/>
        <v>361.82186986344146</v>
      </c>
      <c r="V60" s="182">
        <f t="shared" si="16"/>
        <v>361.82186986344146</v>
      </c>
      <c r="W60" s="182">
        <f t="shared" si="16"/>
        <v>361.82186986344146</v>
      </c>
      <c r="X60" s="182">
        <f t="shared" si="16"/>
        <v>361.82186986344146</v>
      </c>
      <c r="Y60" s="182">
        <f t="shared" si="16"/>
        <v>361.82186986344146</v>
      </c>
      <c r="Z60" s="182">
        <f t="shared" si="16"/>
        <v>361.82186986344146</v>
      </c>
      <c r="AA60" s="182">
        <f t="shared" si="16"/>
        <v>361.82186986344146</v>
      </c>
      <c r="AB60" s="182">
        <f t="shared" si="17"/>
        <v>361.82186986344146</v>
      </c>
      <c r="AC60" s="182">
        <f t="shared" si="17"/>
        <v>361.82186986344146</v>
      </c>
      <c r="AD60" s="182">
        <f t="shared" si="17"/>
        <v>361.82186986344146</v>
      </c>
      <c r="AE60" s="182">
        <f t="shared" si="17"/>
        <v>375.00997681888742</v>
      </c>
      <c r="AF60" s="182">
        <f t="shared" si="17"/>
        <v>375.00997681888742</v>
      </c>
      <c r="AG60" s="182">
        <f t="shared" si="17"/>
        <v>375.00997681888742</v>
      </c>
      <c r="AH60" s="182">
        <f t="shared" si="17"/>
        <v>375.00997681888742</v>
      </c>
      <c r="AI60" s="182">
        <f t="shared" si="17"/>
        <v>375.00997681888742</v>
      </c>
      <c r="AJ60" s="182">
        <f t="shared" si="17"/>
        <v>375.00997681888742</v>
      </c>
      <c r="AK60" s="182">
        <f t="shared" si="17"/>
        <v>375.00997681888742</v>
      </c>
      <c r="AL60" s="182">
        <f t="shared" si="17"/>
        <v>375.00997681888742</v>
      </c>
      <c r="AM60" s="182">
        <f t="shared" si="17"/>
        <v>375.00997681888742</v>
      </c>
      <c r="AN60" s="182">
        <f t="shared" si="17"/>
        <v>375.00997681888742</v>
      </c>
      <c r="AO60" s="252">
        <f t="shared" si="18"/>
        <v>6895.0595925495945</v>
      </c>
      <c r="AP60" s="135">
        <f>AO60*'Inflation assumptions'!$R$18</f>
        <v>11743.766734096358</v>
      </c>
      <c r="AQ60" s="126"/>
      <c r="AR60" s="135">
        <f t="shared" si="19"/>
        <v>11319.845326005074</v>
      </c>
      <c r="AS60" s="126"/>
      <c r="AT60" s="126"/>
      <c r="AU60" s="126"/>
      <c r="AY60" s="126"/>
      <c r="AZ60" s="126"/>
      <c r="BA60" s="126"/>
      <c r="BB60" s="179"/>
      <c r="DN60" s="126"/>
      <c r="DO60" s="126"/>
    </row>
    <row r="61" spans="1:119" customFormat="1">
      <c r="A61" s="126" t="s">
        <v>123</v>
      </c>
      <c r="B61" s="126" t="s">
        <v>129</v>
      </c>
      <c r="C61" s="126" t="s">
        <v>183</v>
      </c>
      <c r="D61" s="126" t="s">
        <v>193</v>
      </c>
      <c r="E61" s="126" t="s">
        <v>181</v>
      </c>
      <c r="F61" s="129">
        <f>SUMIFS('DORC proposal'!C$431:C$541,'DORC proposal'!$A$431:$A$541,'ICB calcs - per asset calc'!$B61,'DORC proposal'!$B$431:$B$541,"total steel")</f>
        <v>49781</v>
      </c>
      <c r="G61" s="128">
        <f>SUMIFS('DORC proposal'!E$431:E$541,'DORC proposal'!$A$431:$A$541,'ICB calcs - per asset calc'!$B61,'DORC proposal'!$B$431:$B$541,"total steel")</f>
        <v>22.976889630145813</v>
      </c>
      <c r="H61" s="129">
        <f>SUMIFS('DORC proposal'!G$431:G$541,'DORC proposal'!$A$431:$A$541,'ICB calcs - per asset calc'!$B61,'DORC proposal'!$B$431:$B$541,A61)</f>
        <v>41775.840109600002</v>
      </c>
      <c r="I61" s="143">
        <f t="shared" si="20"/>
        <v>32461.570764975288</v>
      </c>
      <c r="J61" s="126"/>
      <c r="K61" s="128">
        <f>SUMIFS('DORC proposal'!D$431:D$541,'DORC proposal'!$A$431:$A$541,'ICB calcs - per asset calc'!$B61,'DORC proposal'!$B$431:$B$541,"total steel")</f>
        <v>125</v>
      </c>
      <c r="L61" s="126">
        <f>$F$8</f>
        <v>60</v>
      </c>
      <c r="M61" s="129">
        <f t="shared" si="14"/>
        <v>102.02311036985418</v>
      </c>
      <c r="N61" s="129">
        <f t="shared" si="15"/>
        <v>37.023110369854187</v>
      </c>
      <c r="O61" s="128">
        <f t="shared" si="21"/>
        <v>23.120107677906525</v>
      </c>
      <c r="P61" s="128">
        <f t="shared" si="22"/>
        <v>13.120107677906525</v>
      </c>
      <c r="Q61" s="126"/>
      <c r="R61" s="182">
        <f t="shared" si="16"/>
        <v>876.79210203275898</v>
      </c>
      <c r="S61" s="182">
        <f t="shared" si="16"/>
        <v>876.79210203275898</v>
      </c>
      <c r="T61" s="182">
        <f t="shared" si="16"/>
        <v>876.79210203275898</v>
      </c>
      <c r="U61" s="182">
        <f t="shared" si="16"/>
        <v>876.79210203275898</v>
      </c>
      <c r="V61" s="182">
        <f t="shared" si="16"/>
        <v>876.79210203275898</v>
      </c>
      <c r="W61" s="182">
        <f t="shared" si="16"/>
        <v>876.79210203275898</v>
      </c>
      <c r="X61" s="182">
        <f t="shared" si="16"/>
        <v>876.79210203275898</v>
      </c>
      <c r="Y61" s="182">
        <f t="shared" si="16"/>
        <v>876.79210203275898</v>
      </c>
      <c r="Z61" s="182">
        <f t="shared" si="16"/>
        <v>876.79210203275898</v>
      </c>
      <c r="AA61" s="182">
        <f t="shared" si="16"/>
        <v>876.79210203275898</v>
      </c>
      <c r="AB61" s="182">
        <f t="shared" si="17"/>
        <v>876.79210203275898</v>
      </c>
      <c r="AC61" s="182">
        <f t="shared" si="17"/>
        <v>876.79210203275898</v>
      </c>
      <c r="AD61" s="182">
        <f t="shared" si="17"/>
        <v>876.79210203275898</v>
      </c>
      <c r="AE61" s="182">
        <f t="shared" si="17"/>
        <v>911.03699567443584</v>
      </c>
      <c r="AF61" s="182">
        <f t="shared" si="17"/>
        <v>911.03699567443584</v>
      </c>
      <c r="AG61" s="182">
        <f t="shared" si="17"/>
        <v>911.03699567443584</v>
      </c>
      <c r="AH61" s="182">
        <f t="shared" si="17"/>
        <v>911.03699567443584</v>
      </c>
      <c r="AI61" s="182">
        <f t="shared" si="17"/>
        <v>911.03699567443584</v>
      </c>
      <c r="AJ61" s="182">
        <f t="shared" si="17"/>
        <v>911.03699567443584</v>
      </c>
      <c r="AK61" s="182">
        <f t="shared" si="17"/>
        <v>911.03699567443584</v>
      </c>
      <c r="AL61" s="182">
        <f t="shared" si="17"/>
        <v>911.03699567443584</v>
      </c>
      <c r="AM61" s="182">
        <f t="shared" si="17"/>
        <v>911.03699567443584</v>
      </c>
      <c r="AN61" s="182">
        <f t="shared" si="17"/>
        <v>911.03699567443584</v>
      </c>
      <c r="AO61" s="252">
        <f t="shared" si="18"/>
        <v>11952.903481805057</v>
      </c>
      <c r="AP61" s="135">
        <f>AO61*'Inflation assumptions'!$R$18</f>
        <v>20358.360707594871</v>
      </c>
      <c r="AQ61" s="126"/>
      <c r="AR61" s="135">
        <f t="shared" si="19"/>
        <v>19623.473415212189</v>
      </c>
      <c r="AS61" s="126"/>
      <c r="AT61" s="126"/>
      <c r="AU61" s="126"/>
      <c r="AY61" s="126"/>
      <c r="AZ61" s="126"/>
      <c r="BA61" s="126"/>
      <c r="BB61" s="179"/>
      <c r="DN61" s="126"/>
      <c r="DO61" s="126"/>
    </row>
    <row r="62" spans="1:119" customFormat="1">
      <c r="A62" s="126" t="s">
        <v>123</v>
      </c>
      <c r="B62" s="126" t="s">
        <v>130</v>
      </c>
      <c r="C62" s="126" t="s">
        <v>183</v>
      </c>
      <c r="D62" s="126" t="s">
        <v>193</v>
      </c>
      <c r="E62" s="126" t="s">
        <v>194</v>
      </c>
      <c r="F62" s="129">
        <f>SUMIFS('DORC proposal'!C$431:C$541,'DORC proposal'!$A$431:$A$541,'ICB calcs - per asset calc'!$B62,'DORC proposal'!$B$431:$B$541,"total steel")</f>
        <v>9</v>
      </c>
      <c r="G62" s="128">
        <f>SUMIFS('DORC proposal'!E$431:E$541,'DORC proposal'!$A$431:$A$541,'ICB calcs - per asset calc'!$B62,'DORC proposal'!$B$431:$B$541,"total steel")</f>
        <v>23.031335149863757</v>
      </c>
      <c r="H62" s="129">
        <f>SUMIFS('DORC proposal'!G$431:G$541,'DORC proposal'!$A$431:$A$541,'ICB calcs - per asset calc'!$B62,'DORC proposal'!$B$431:$B$541,A62)</f>
        <v>220.20000000000002</v>
      </c>
      <c r="I62" s="143">
        <f t="shared" si="20"/>
        <v>171.10458733312115</v>
      </c>
      <c r="J62" s="126"/>
      <c r="K62" s="128">
        <f>SUMIFS('DORC proposal'!D$431:D$541,'DORC proposal'!$A$431:$A$541,'ICB calcs - per asset calc'!$B62,'DORC proposal'!$B$431:$B$541,"total steel")</f>
        <v>125</v>
      </c>
      <c r="L62" s="126">
        <f>$F$8</f>
        <v>60</v>
      </c>
      <c r="M62" s="129">
        <f t="shared" si="14"/>
        <v>101.96866485013624</v>
      </c>
      <c r="N62" s="129">
        <f t="shared" si="15"/>
        <v>36.968664850136243</v>
      </c>
      <c r="O62" s="128">
        <f t="shared" si="21"/>
        <v>23.066990097693896</v>
      </c>
      <c r="P62" s="128">
        <f t="shared" si="22"/>
        <v>13.066990097693896</v>
      </c>
      <c r="Q62" s="126"/>
      <c r="R62" s="182">
        <f t="shared" si="16"/>
        <v>4.6283680524234718</v>
      </c>
      <c r="S62" s="182">
        <f t="shared" si="16"/>
        <v>4.6283680524234718</v>
      </c>
      <c r="T62" s="182">
        <f t="shared" si="16"/>
        <v>4.6283680524234718</v>
      </c>
      <c r="U62" s="182">
        <f t="shared" si="16"/>
        <v>4.6283680524234718</v>
      </c>
      <c r="V62" s="182">
        <f t="shared" si="16"/>
        <v>4.6283680524234718</v>
      </c>
      <c r="W62" s="182">
        <f t="shared" si="16"/>
        <v>4.6283680524234718</v>
      </c>
      <c r="X62" s="182">
        <f t="shared" si="16"/>
        <v>4.6283680524234718</v>
      </c>
      <c r="Y62" s="182">
        <f t="shared" si="16"/>
        <v>4.6283680524234718</v>
      </c>
      <c r="Z62" s="182">
        <f t="shared" si="16"/>
        <v>4.6283680524234718</v>
      </c>
      <c r="AA62" s="182">
        <f t="shared" si="16"/>
        <v>4.6283680524234718</v>
      </c>
      <c r="AB62" s="182">
        <f t="shared" si="17"/>
        <v>4.6283680524234718</v>
      </c>
      <c r="AC62" s="182">
        <f t="shared" si="17"/>
        <v>4.6283680524234718</v>
      </c>
      <c r="AD62" s="182">
        <f t="shared" si="17"/>
        <v>4.6283680524234718</v>
      </c>
      <c r="AE62" s="182">
        <f t="shared" si="17"/>
        <v>4.809288172482753</v>
      </c>
      <c r="AF62" s="182">
        <f t="shared" si="17"/>
        <v>4.809288172482753</v>
      </c>
      <c r="AG62" s="182">
        <f t="shared" si="17"/>
        <v>4.809288172482753</v>
      </c>
      <c r="AH62" s="182">
        <f t="shared" si="17"/>
        <v>4.809288172482753</v>
      </c>
      <c r="AI62" s="182">
        <f t="shared" si="17"/>
        <v>4.809288172482753</v>
      </c>
      <c r="AJ62" s="182">
        <f t="shared" si="17"/>
        <v>4.809288172482753</v>
      </c>
      <c r="AK62" s="182">
        <f t="shared" si="17"/>
        <v>4.809288172482753</v>
      </c>
      <c r="AL62" s="182">
        <f t="shared" si="17"/>
        <v>4.809288172482753</v>
      </c>
      <c r="AM62" s="182">
        <f t="shared" si="17"/>
        <v>4.809288172482753</v>
      </c>
      <c r="AN62" s="182">
        <f t="shared" si="17"/>
        <v>4.809288172482753</v>
      </c>
      <c r="AO62" s="252">
        <f t="shared" si="18"/>
        <v>62.842920926788508</v>
      </c>
      <c r="AP62" s="135">
        <f>AO62*'Inflation assumptions'!$R$18</f>
        <v>107.03498560779965</v>
      </c>
      <c r="AQ62" s="126"/>
      <c r="AR62" s="135">
        <f t="shared" si="19"/>
        <v>103.17128302912441</v>
      </c>
      <c r="AS62" s="126"/>
      <c r="AT62" s="126"/>
      <c r="AU62" s="126"/>
      <c r="AY62" s="126"/>
      <c r="AZ62" s="126"/>
      <c r="BA62" s="126"/>
      <c r="BB62" s="179"/>
      <c r="DN62" s="126"/>
      <c r="DO62" s="126"/>
    </row>
    <row r="63" spans="1:119" customFormat="1">
      <c r="A63" s="126" t="s">
        <v>125</v>
      </c>
      <c r="B63" s="126" t="s">
        <v>118</v>
      </c>
      <c r="C63" s="126" t="s">
        <v>124</v>
      </c>
      <c r="D63" s="126" t="s">
        <v>193</v>
      </c>
      <c r="E63" s="126" t="s">
        <v>179</v>
      </c>
      <c r="F63" s="129">
        <f>SUMIFS('DORC proposal'!C$431:C$541,'DORC proposal'!$A$431:$A$541,'ICB calcs - per asset calc'!$B63,'DORC proposal'!$B$431:$B$541,"total CI")</f>
        <v>117650</v>
      </c>
      <c r="G63" s="128">
        <f>SUMIFS('DORC proposal'!E$431:E$541,'DORC proposal'!$A$431:$A$541,'ICB calcs - per asset calc'!$B63,'DORC proposal'!$B$431:$B$541,"total CI")</f>
        <v>39.802604892245519</v>
      </c>
      <c r="H63" s="129">
        <f>SUMIFS('DORC proposal'!G$431:G$541,'DORC proposal'!$A$431:$A$541,'ICB calcs - per asset calc'!$B63,'DORC proposal'!$B$431:$B$541,A63)</f>
        <v>92053.248954945084</v>
      </c>
      <c r="I63" s="143">
        <f t="shared" si="20"/>
        <v>71529.215145817187</v>
      </c>
      <c r="J63" s="126"/>
      <c r="K63" s="128">
        <f>SUMIFS('DORC proposal'!D$431:D$541,'DORC proposal'!$A$431:$A$541,'ICB calcs - per asset calc'!$B63,'DORC proposal'!$B$431:$B$541,"total CI")</f>
        <v>70</v>
      </c>
      <c r="L63" s="126">
        <f>$F$6</f>
        <v>85</v>
      </c>
      <c r="M63" s="129">
        <f t="shared" si="14"/>
        <v>30.197395107754481</v>
      </c>
      <c r="N63" s="129">
        <f t="shared" si="15"/>
        <v>45.197395107754481</v>
      </c>
      <c r="O63" s="128">
        <f t="shared" si="21"/>
        <v>31.095019617321441</v>
      </c>
      <c r="P63" s="128">
        <f t="shared" si="22"/>
        <v>21.095019617321441</v>
      </c>
      <c r="Q63" s="126"/>
      <c r="R63" s="182">
        <f t="shared" si="16"/>
        <v>1582.5959654375076</v>
      </c>
      <c r="S63" s="182">
        <f t="shared" si="16"/>
        <v>1582.5959654375076</v>
      </c>
      <c r="T63" s="182">
        <f t="shared" si="16"/>
        <v>1582.5959654375076</v>
      </c>
      <c r="U63" s="182">
        <f t="shared" si="16"/>
        <v>1582.5959654375076</v>
      </c>
      <c r="V63" s="182">
        <f t="shared" si="16"/>
        <v>1582.5959654375076</v>
      </c>
      <c r="W63" s="182">
        <f t="shared" si="16"/>
        <v>1582.5959654375076</v>
      </c>
      <c r="X63" s="182">
        <f t="shared" si="16"/>
        <v>1582.5959654375076</v>
      </c>
      <c r="Y63" s="182">
        <f t="shared" si="16"/>
        <v>1582.5959654375076</v>
      </c>
      <c r="Z63" s="182">
        <f t="shared" si="16"/>
        <v>1582.5959654375076</v>
      </c>
      <c r="AA63" s="182">
        <f t="shared" si="16"/>
        <v>1582.5959654375076</v>
      </c>
      <c r="AB63" s="182">
        <f t="shared" si="17"/>
        <v>1582.5959654375076</v>
      </c>
      <c r="AC63" s="182">
        <f t="shared" si="17"/>
        <v>1582.5959654375076</v>
      </c>
      <c r="AD63" s="182">
        <f t="shared" si="17"/>
        <v>1582.5959654375076</v>
      </c>
      <c r="AE63" s="182">
        <f t="shared" si="17"/>
        <v>1638.7018957449027</v>
      </c>
      <c r="AF63" s="182">
        <f t="shared" si="17"/>
        <v>1638.7018957449027</v>
      </c>
      <c r="AG63" s="182">
        <f t="shared" si="17"/>
        <v>1638.7018957449027</v>
      </c>
      <c r="AH63" s="182">
        <f t="shared" si="17"/>
        <v>1638.7018957449027</v>
      </c>
      <c r="AI63" s="182">
        <f t="shared" si="17"/>
        <v>1638.7018957449027</v>
      </c>
      <c r="AJ63" s="182">
        <f t="shared" si="17"/>
        <v>1638.7018957449027</v>
      </c>
      <c r="AK63" s="182">
        <f t="shared" si="17"/>
        <v>1638.7018957449027</v>
      </c>
      <c r="AL63" s="182">
        <f t="shared" si="17"/>
        <v>1638.7018957449027</v>
      </c>
      <c r="AM63" s="182">
        <f t="shared" si="17"/>
        <v>1638.7018957449027</v>
      </c>
      <c r="AN63" s="182">
        <f t="shared" si="17"/>
        <v>1638.7018957449027</v>
      </c>
      <c r="AO63" s="252">
        <f t="shared" si="18"/>
        <v>34568.448637680551</v>
      </c>
      <c r="AP63" s="135">
        <f>AO63*'Inflation assumptions'!$R$18</f>
        <v>58877.489267703007</v>
      </c>
      <c r="AQ63" s="126"/>
      <c r="AR63" s="135">
        <f t="shared" si="19"/>
        <v>56752.1551461747</v>
      </c>
      <c r="AS63" s="126"/>
      <c r="AT63" s="126"/>
      <c r="AU63" s="126"/>
      <c r="AY63" s="126"/>
      <c r="AZ63" s="126"/>
      <c r="BA63" s="126"/>
      <c r="BB63" s="179"/>
      <c r="DN63" s="126"/>
      <c r="DO63" s="126"/>
    </row>
    <row r="64" spans="1:119" customFormat="1">
      <c r="A64" s="126" t="s">
        <v>125</v>
      </c>
      <c r="B64" s="126" t="s">
        <v>128</v>
      </c>
      <c r="C64" s="126" t="s">
        <v>124</v>
      </c>
      <c r="D64" s="126" t="s">
        <v>193</v>
      </c>
      <c r="E64" s="126" t="s">
        <v>180</v>
      </c>
      <c r="F64" s="129">
        <f>SUMIFS('DORC proposal'!C$431:C$541,'DORC proposal'!$A$431:$A$541,'ICB calcs - per asset calc'!$B64,'DORC proposal'!$B$431:$B$541,"total CI")</f>
        <v>5777</v>
      </c>
      <c r="G64" s="128">
        <f>SUMIFS('DORC proposal'!E$431:E$541,'DORC proposal'!$A$431:$A$541,'ICB calcs - per asset calc'!$B64,'DORC proposal'!$B$431:$B$541,"total CI")</f>
        <v>59.817224343050377</v>
      </c>
      <c r="H64" s="129">
        <f>SUMIFS('DORC proposal'!G$431:G$541,'DORC proposal'!$A$431:$A$541,'ICB calcs - per asset calc'!$B64,'DORC proposal'!$B$431:$B$541,A64)</f>
        <v>3978.194859692308</v>
      </c>
      <c r="I64" s="143">
        <f t="shared" si="20"/>
        <v>3091.2233869136971</v>
      </c>
      <c r="J64" s="126"/>
      <c r="K64" s="128">
        <f>SUMIFS('DORC proposal'!D$431:D$541,'DORC proposal'!$A$431:$A$541,'ICB calcs - per asset calc'!$B64,'DORC proposal'!$B$431:$B$541,"total CI")</f>
        <v>70</v>
      </c>
      <c r="L64" s="126">
        <f>$F$6</f>
        <v>85</v>
      </c>
      <c r="M64" s="129">
        <f t="shared" si="14"/>
        <v>10.182775656949623</v>
      </c>
      <c r="N64" s="129">
        <f t="shared" si="15"/>
        <v>25.182775656949623</v>
      </c>
      <c r="O64" s="128">
        <f t="shared" si="21"/>
        <v>11.568561616536218</v>
      </c>
      <c r="P64" s="128">
        <f t="shared" si="22"/>
        <v>1.5685616165362184</v>
      </c>
      <c r="Q64" s="126"/>
      <c r="R64" s="182">
        <f t="shared" si="16"/>
        <v>122.75149606316809</v>
      </c>
      <c r="S64" s="182">
        <f t="shared" si="16"/>
        <v>122.75149606316809</v>
      </c>
      <c r="T64" s="182">
        <f t="shared" si="16"/>
        <v>122.75149606316809</v>
      </c>
      <c r="U64" s="182">
        <f t="shared" si="16"/>
        <v>122.75149606316809</v>
      </c>
      <c r="V64" s="182">
        <f t="shared" si="16"/>
        <v>122.75149606316809</v>
      </c>
      <c r="W64" s="182">
        <f t="shared" si="16"/>
        <v>122.75149606316809</v>
      </c>
      <c r="X64" s="182">
        <f t="shared" si="16"/>
        <v>122.75149606316809</v>
      </c>
      <c r="Y64" s="182">
        <f t="shared" si="16"/>
        <v>122.75149606316809</v>
      </c>
      <c r="Z64" s="182">
        <f t="shared" si="16"/>
        <v>122.75149606316809</v>
      </c>
      <c r="AA64" s="182">
        <f t="shared" si="16"/>
        <v>122.75149606316809</v>
      </c>
      <c r="AB64" s="182">
        <f t="shared" si="17"/>
        <v>122.75149606316809</v>
      </c>
      <c r="AC64" s="182">
        <f t="shared" si="17"/>
        <v>122.75149606316809</v>
      </c>
      <c r="AD64" s="182">
        <f t="shared" si="17"/>
        <v>122.75149606316809</v>
      </c>
      <c r="AE64" s="182">
        <f t="shared" si="17"/>
        <v>129.26878791524911</v>
      </c>
      <c r="AF64" s="182">
        <f t="shared" si="17"/>
        <v>129.26878791524911</v>
      </c>
      <c r="AG64" s="182">
        <f t="shared" si="17"/>
        <v>129.26878791524911</v>
      </c>
      <c r="AH64" s="182">
        <f t="shared" si="17"/>
        <v>129.26878791524911</v>
      </c>
      <c r="AI64" s="182">
        <f t="shared" si="17"/>
        <v>129.26878791524911</v>
      </c>
      <c r="AJ64" s="182">
        <f t="shared" si="17"/>
        <v>129.26878791524911</v>
      </c>
      <c r="AK64" s="182">
        <f t="shared" si="17"/>
        <v>129.26878791524911</v>
      </c>
      <c r="AL64" s="182">
        <f t="shared" si="17"/>
        <v>129.26878791524911</v>
      </c>
      <c r="AM64" s="182">
        <f t="shared" si="17"/>
        <v>129.26878791524911</v>
      </c>
      <c r="AN64" s="182">
        <f t="shared" si="17"/>
        <v>129.26878791524911</v>
      </c>
      <c r="AO64" s="252">
        <f t="shared" si="18"/>
        <v>202.76605894002114</v>
      </c>
      <c r="AP64" s="135">
        <f>AO64*'Inflation assumptions'!$R$18</f>
        <v>345.35412868029016</v>
      </c>
      <c r="AQ64" s="126"/>
      <c r="AR64" s="135">
        <f t="shared" si="19"/>
        <v>332.88768483521386</v>
      </c>
      <c r="AS64" s="126"/>
      <c r="AT64" s="126"/>
      <c r="AU64" s="126"/>
      <c r="AY64" s="126"/>
      <c r="AZ64" s="126"/>
      <c r="BA64" s="126"/>
      <c r="BB64" s="179"/>
      <c r="DN64" s="126"/>
      <c r="DO64" s="126"/>
    </row>
    <row r="65" spans="1:122" customFormat="1">
      <c r="A65" s="126" t="s">
        <v>125</v>
      </c>
      <c r="B65" s="126" t="s">
        <v>129</v>
      </c>
      <c r="C65" s="126" t="s">
        <v>124</v>
      </c>
      <c r="D65" s="126" t="s">
        <v>193</v>
      </c>
      <c r="E65" s="126" t="s">
        <v>181</v>
      </c>
      <c r="F65" s="129">
        <f>SUMIFS('DORC proposal'!C$431:C$541,'DORC proposal'!$A$431:$A$541,'ICB calcs - per asset calc'!$B65,'DORC proposal'!$B$431:$B$541,"total CI")</f>
        <v>36</v>
      </c>
      <c r="G65" s="128">
        <f>SUMIFS('DORC proposal'!E$431:E$541,'DORC proposal'!$A$431:$A$541,'ICB calcs - per asset calc'!$B65,'DORC proposal'!$B$431:$B$541,"total CI")</f>
        <v>24.963455116086877</v>
      </c>
      <c r="H65" s="129">
        <f>SUMIFS('DORC proposal'!G$431:G$541,'DORC proposal'!$A$431:$A$541,'ICB calcs - per asset calc'!$B65,'DORC proposal'!$B$431:$B$541,A65)</f>
        <v>31.002192000000004</v>
      </c>
      <c r="I65" s="143">
        <f t="shared" si="20"/>
        <v>24.089996678393234</v>
      </c>
      <c r="J65" s="126"/>
      <c r="K65" s="128">
        <f>SUMIFS('DORC proposal'!D$431:D$541,'DORC proposal'!$A$431:$A$541,'ICB calcs - per asset calc'!$B65,'DORC proposal'!$B$431:$B$541,"total CI")</f>
        <v>70</v>
      </c>
      <c r="L65" s="126">
        <f>$F$6</f>
        <v>85</v>
      </c>
      <c r="M65" s="129">
        <f t="shared" si="14"/>
        <v>45.036544883913123</v>
      </c>
      <c r="N65" s="129">
        <f t="shared" si="15"/>
        <v>60.036544883913123</v>
      </c>
      <c r="O65" s="128">
        <f t="shared" si="21"/>
        <v>45.572238911134754</v>
      </c>
      <c r="P65" s="128">
        <f t="shared" si="22"/>
        <v>35.572238911134754</v>
      </c>
      <c r="Q65" s="126"/>
      <c r="R65" s="182">
        <f t="shared" si="16"/>
        <v>0.40125554734993057</v>
      </c>
      <c r="S65" s="182">
        <f t="shared" si="16"/>
        <v>0.40125554734993057</v>
      </c>
      <c r="T65" s="182">
        <f t="shared" si="16"/>
        <v>0.40125554734993057</v>
      </c>
      <c r="U65" s="182">
        <f t="shared" si="16"/>
        <v>0.40125554734993057</v>
      </c>
      <c r="V65" s="182">
        <f t="shared" si="16"/>
        <v>0.40125554734993057</v>
      </c>
      <c r="W65" s="182">
        <f t="shared" si="16"/>
        <v>0.40125554734993057</v>
      </c>
      <c r="X65" s="182">
        <f t="shared" si="16"/>
        <v>0.40125554734993057</v>
      </c>
      <c r="Y65" s="182">
        <f t="shared" si="16"/>
        <v>0.40125554734993057</v>
      </c>
      <c r="Z65" s="182">
        <f t="shared" si="16"/>
        <v>0.40125554734993057</v>
      </c>
      <c r="AA65" s="182">
        <f t="shared" si="16"/>
        <v>0.40125554734993057</v>
      </c>
      <c r="AB65" s="182">
        <f t="shared" si="17"/>
        <v>0.40125554734993057</v>
      </c>
      <c r="AC65" s="182">
        <f t="shared" si="17"/>
        <v>0.40125554734993057</v>
      </c>
      <c r="AD65" s="182">
        <f t="shared" si="17"/>
        <v>0.40125554734993057</v>
      </c>
      <c r="AE65" s="182">
        <f t="shared" si="17"/>
        <v>0.4141485038654244</v>
      </c>
      <c r="AF65" s="182">
        <f t="shared" si="17"/>
        <v>0.4141485038654244</v>
      </c>
      <c r="AG65" s="182">
        <f t="shared" si="17"/>
        <v>0.4141485038654244</v>
      </c>
      <c r="AH65" s="182">
        <f t="shared" si="17"/>
        <v>0.4141485038654244</v>
      </c>
      <c r="AI65" s="182">
        <f t="shared" si="17"/>
        <v>0.4141485038654244</v>
      </c>
      <c r="AJ65" s="182">
        <f t="shared" si="17"/>
        <v>0.4141485038654244</v>
      </c>
      <c r="AK65" s="182">
        <f t="shared" si="17"/>
        <v>0.4141485038654244</v>
      </c>
      <c r="AL65" s="182">
        <f t="shared" si="17"/>
        <v>0.4141485038654244</v>
      </c>
      <c r="AM65" s="182">
        <f t="shared" si="17"/>
        <v>0.4141485038654244</v>
      </c>
      <c r="AN65" s="182">
        <f t="shared" si="17"/>
        <v>0.4141485038654244</v>
      </c>
      <c r="AO65" s="252">
        <f t="shared" si="18"/>
        <v>14.732189524189893</v>
      </c>
      <c r="AP65" s="135">
        <f>AO65*'Inflation assumptions'!$R$18</f>
        <v>25.092081501591416</v>
      </c>
      <c r="AQ65" s="126"/>
      <c r="AR65" s="135">
        <f t="shared" si="19"/>
        <v>24.186318405053346</v>
      </c>
      <c r="AS65" s="126"/>
      <c r="AT65" s="126"/>
      <c r="AU65" s="126"/>
      <c r="AY65" s="126"/>
      <c r="AZ65" s="126"/>
      <c r="BA65" s="126"/>
      <c r="BB65" s="179"/>
      <c r="DN65" s="126"/>
      <c r="DO65" s="126"/>
    </row>
    <row r="66" spans="1:122" customFormat="1">
      <c r="A66" s="126" t="s">
        <v>125</v>
      </c>
      <c r="B66" s="126" t="s">
        <v>130</v>
      </c>
      <c r="C66" s="126" t="s">
        <v>124</v>
      </c>
      <c r="D66" s="126" t="s">
        <v>193</v>
      </c>
      <c r="E66" s="126" t="s">
        <v>194</v>
      </c>
      <c r="F66" s="129">
        <f>SUMIFS('DORC proposal'!C$431:C$541,'DORC proposal'!$A$431:$A$541,'ICB calcs - per asset calc'!$B66,'DORC proposal'!$B$431:$B$541,"total CI")</f>
        <v>0</v>
      </c>
      <c r="G66" s="128">
        <f>SUMIFS('DORC proposal'!E$431:E$541,'DORC proposal'!$A$431:$A$541,'ICB calcs - per asset calc'!$B66,'DORC proposal'!$B$431:$B$541,"total CI")</f>
        <v>0</v>
      </c>
      <c r="H66" s="129">
        <f>SUMIFS('DORC proposal'!G$431:G$541,'DORC proposal'!$A$431:$A$541,'ICB calcs - per asset calc'!$B66,'DORC proposal'!$B$431:$B$541,A66)</f>
        <v>0</v>
      </c>
      <c r="I66" s="143">
        <f t="shared" si="20"/>
        <v>0</v>
      </c>
      <c r="J66" s="126"/>
      <c r="K66" s="128">
        <f>SUMIFS('DORC proposal'!D$431:D$541,'DORC proposal'!$A$431:$A$541,'ICB calcs - per asset calc'!$B66,'DORC proposal'!$B$431:$B$541,"total CI")</f>
        <v>0</v>
      </c>
      <c r="L66" s="126">
        <f>$F$6</f>
        <v>85</v>
      </c>
      <c r="M66" s="129">
        <f t="shared" si="14"/>
        <v>0</v>
      </c>
      <c r="N66" s="129">
        <f t="shared" si="15"/>
        <v>85</v>
      </c>
      <c r="O66" s="128">
        <f t="shared" si="21"/>
        <v>69.926829268292678</v>
      </c>
      <c r="P66" s="128">
        <f t="shared" si="22"/>
        <v>59.926829268292678</v>
      </c>
      <c r="Q66" s="126"/>
      <c r="R66" s="182">
        <f t="shared" si="16"/>
        <v>0</v>
      </c>
      <c r="S66" s="182">
        <f t="shared" si="16"/>
        <v>0</v>
      </c>
      <c r="T66" s="182">
        <f t="shared" si="16"/>
        <v>0</v>
      </c>
      <c r="U66" s="182">
        <f t="shared" si="16"/>
        <v>0</v>
      </c>
      <c r="V66" s="182">
        <f t="shared" si="16"/>
        <v>0</v>
      </c>
      <c r="W66" s="182">
        <f t="shared" si="16"/>
        <v>0</v>
      </c>
      <c r="X66" s="182">
        <f t="shared" si="16"/>
        <v>0</v>
      </c>
      <c r="Y66" s="182">
        <f t="shared" si="16"/>
        <v>0</v>
      </c>
      <c r="Z66" s="182">
        <f t="shared" si="16"/>
        <v>0</v>
      </c>
      <c r="AA66" s="182">
        <f t="shared" si="16"/>
        <v>0</v>
      </c>
      <c r="AB66" s="182">
        <f t="shared" si="17"/>
        <v>0</v>
      </c>
      <c r="AC66" s="182">
        <f t="shared" si="17"/>
        <v>0</v>
      </c>
      <c r="AD66" s="182">
        <f t="shared" si="17"/>
        <v>0</v>
      </c>
      <c r="AE66" s="182">
        <f t="shared" si="17"/>
        <v>0</v>
      </c>
      <c r="AF66" s="182">
        <f t="shared" si="17"/>
        <v>0</v>
      </c>
      <c r="AG66" s="182">
        <f t="shared" si="17"/>
        <v>0</v>
      </c>
      <c r="AH66" s="182">
        <f t="shared" si="17"/>
        <v>0</v>
      </c>
      <c r="AI66" s="182">
        <f t="shared" si="17"/>
        <v>0</v>
      </c>
      <c r="AJ66" s="182">
        <f t="shared" si="17"/>
        <v>0</v>
      </c>
      <c r="AK66" s="182">
        <f t="shared" si="17"/>
        <v>0</v>
      </c>
      <c r="AL66" s="182">
        <f t="shared" si="17"/>
        <v>0</v>
      </c>
      <c r="AM66" s="182">
        <f t="shared" si="17"/>
        <v>0</v>
      </c>
      <c r="AN66" s="182">
        <f t="shared" si="17"/>
        <v>0</v>
      </c>
      <c r="AO66" s="252">
        <f t="shared" si="18"/>
        <v>0</v>
      </c>
      <c r="AP66" s="135">
        <f>AO66*'Inflation assumptions'!$R$18</f>
        <v>0</v>
      </c>
      <c r="AQ66" s="126"/>
      <c r="AR66" s="135">
        <f t="shared" si="19"/>
        <v>0</v>
      </c>
      <c r="AS66" s="126"/>
      <c r="AT66" s="126"/>
      <c r="AU66" s="126"/>
      <c r="AY66" s="126"/>
      <c r="AZ66" s="126"/>
      <c r="BA66" s="126"/>
      <c r="BB66" s="179"/>
      <c r="DN66" s="126"/>
      <c r="DO66" s="126"/>
    </row>
    <row r="67" spans="1:122" customFormat="1">
      <c r="A67" s="126" t="s">
        <v>127</v>
      </c>
      <c r="B67" s="126" t="s">
        <v>118</v>
      </c>
      <c r="C67" s="126" t="s">
        <v>126</v>
      </c>
      <c r="D67" s="126" t="s">
        <v>193</v>
      </c>
      <c r="E67" s="126" t="s">
        <v>179</v>
      </c>
      <c r="F67" s="129">
        <f>SUMIFS('DORC proposal'!C$431:C$541,'DORC proposal'!$A$431:$A$541,'ICB calcs - per asset calc'!$B67,'DORC proposal'!$B$431:$B$541,"total PE")</f>
        <v>38595</v>
      </c>
      <c r="G67" s="128">
        <f>SUMIFS('DORC proposal'!E$431:E$541,'DORC proposal'!$A$431:$A$541,'ICB calcs - per asset calc'!$B67,'DORC proposal'!$B$431:$B$541,"total PE")</f>
        <v>13.709404621371309</v>
      </c>
      <c r="H67" s="129">
        <f>SUMIFS('DORC proposal'!G$431:G$541,'DORC proposal'!$A$431:$A$541,'ICB calcs - per asset calc'!$B67,'DORC proposal'!$B$431:$B$541,A67)</f>
        <v>30829.161756723082</v>
      </c>
      <c r="I67" s="143">
        <f t="shared" si="20"/>
        <v>23955.544960082392</v>
      </c>
      <c r="J67" s="126"/>
      <c r="K67" s="128">
        <f>SUMIFS('DORC proposal'!D$431:D$541,'DORC proposal'!$A$431:$A$541,'ICB calcs - per asset calc'!$B67,'DORC proposal'!$B$431:$B$541,"total PE")</f>
        <v>70</v>
      </c>
      <c r="L67" s="126">
        <f>$F$9</f>
        <v>60</v>
      </c>
      <c r="M67" s="129">
        <f t="shared" si="14"/>
        <v>56.290595378628694</v>
      </c>
      <c r="N67" s="129">
        <f t="shared" si="15"/>
        <v>46.290595378628694</v>
      </c>
      <c r="O67" s="128">
        <f t="shared" si="21"/>
        <v>32.161556466954821</v>
      </c>
      <c r="P67" s="128">
        <f t="shared" si="22"/>
        <v>22.161556466954821</v>
      </c>
      <c r="Q67" s="126"/>
      <c r="R67" s="182">
        <f t="shared" si="16"/>
        <v>517.50349642601736</v>
      </c>
      <c r="S67" s="182">
        <f t="shared" si="16"/>
        <v>517.50349642601736</v>
      </c>
      <c r="T67" s="182">
        <f t="shared" si="16"/>
        <v>517.50349642601736</v>
      </c>
      <c r="U67" s="182">
        <f t="shared" si="16"/>
        <v>517.50349642601736</v>
      </c>
      <c r="V67" s="182">
        <f t="shared" si="16"/>
        <v>517.50349642601736</v>
      </c>
      <c r="W67" s="182">
        <f t="shared" si="16"/>
        <v>517.50349642601736</v>
      </c>
      <c r="X67" s="182">
        <f t="shared" si="16"/>
        <v>517.50349642601736</v>
      </c>
      <c r="Y67" s="182">
        <f t="shared" si="16"/>
        <v>517.50349642601736</v>
      </c>
      <c r="Z67" s="182">
        <f t="shared" si="16"/>
        <v>517.50349642601736</v>
      </c>
      <c r="AA67" s="182">
        <f t="shared" si="16"/>
        <v>517.50349642601736</v>
      </c>
      <c r="AB67" s="182">
        <f t="shared" si="17"/>
        <v>517.50349642601736</v>
      </c>
      <c r="AC67" s="182">
        <f t="shared" si="17"/>
        <v>517.50349642601736</v>
      </c>
      <c r="AD67" s="182">
        <f t="shared" si="17"/>
        <v>517.50349642601736</v>
      </c>
      <c r="AE67" s="182">
        <f t="shared" si="17"/>
        <v>535.67057689653473</v>
      </c>
      <c r="AF67" s="182">
        <f t="shared" si="17"/>
        <v>535.67057689653473</v>
      </c>
      <c r="AG67" s="182">
        <f t="shared" si="17"/>
        <v>535.67057689653473</v>
      </c>
      <c r="AH67" s="182">
        <f t="shared" si="17"/>
        <v>535.67057689653473</v>
      </c>
      <c r="AI67" s="182">
        <f t="shared" si="17"/>
        <v>535.67057689653473</v>
      </c>
      <c r="AJ67" s="182">
        <f t="shared" si="17"/>
        <v>535.67057689653473</v>
      </c>
      <c r="AK67" s="182">
        <f t="shared" si="17"/>
        <v>535.67057689653473</v>
      </c>
      <c r="AL67" s="182">
        <f t="shared" si="17"/>
        <v>535.67057689653473</v>
      </c>
      <c r="AM67" s="182">
        <f t="shared" si="17"/>
        <v>535.67057689653473</v>
      </c>
      <c r="AN67" s="182">
        <f t="shared" si="17"/>
        <v>535.67057689653473</v>
      </c>
      <c r="AO67" s="252">
        <f t="shared" si="18"/>
        <v>11871.293737578817</v>
      </c>
      <c r="AP67" s="135">
        <f>AO67*'Inflation assumptions'!$R$18</f>
        <v>20219.361793001321</v>
      </c>
      <c r="AQ67" s="126"/>
      <c r="AR67" s="135">
        <f t="shared" si="19"/>
        <v>19489.492023269748</v>
      </c>
      <c r="AS67" s="126"/>
      <c r="AT67" s="126"/>
      <c r="AU67" s="126"/>
      <c r="AY67" s="126"/>
      <c r="AZ67" s="126"/>
      <c r="BA67" s="126"/>
      <c r="BB67" s="179"/>
      <c r="DN67" s="126"/>
      <c r="DO67" s="126"/>
    </row>
    <row r="68" spans="1:122" customFormat="1">
      <c r="A68" s="126" t="s">
        <v>127</v>
      </c>
      <c r="B68" s="126" t="s">
        <v>128</v>
      </c>
      <c r="C68" s="126" t="s">
        <v>126</v>
      </c>
      <c r="D68" s="126" t="s">
        <v>193</v>
      </c>
      <c r="E68" s="126" t="s">
        <v>180</v>
      </c>
      <c r="F68" s="129">
        <f>SUMIFS('DORC proposal'!C$431:C$541,'DORC proposal'!$A$431:$A$541,'ICB calcs - per asset calc'!$B68,'DORC proposal'!$B$431:$B$541,"total PE")</f>
        <v>32978</v>
      </c>
      <c r="G68" s="128">
        <f>SUMIFS('DORC proposal'!E$431:E$541,'DORC proposal'!$A$431:$A$541,'ICB calcs - per asset calc'!$B68,'DORC proposal'!$B$431:$B$541,"total PE")</f>
        <v>11.217933923322601</v>
      </c>
      <c r="H68" s="129">
        <f>SUMIFS('DORC proposal'!G$431:G$541,'DORC proposal'!$A$431:$A$541,'ICB calcs - per asset calc'!$B68,'DORC proposal'!$B$431:$B$541,A68)</f>
        <v>28309.340428527474</v>
      </c>
      <c r="I68" s="143">
        <f t="shared" si="20"/>
        <v>21997.538654387085</v>
      </c>
      <c r="J68" s="126"/>
      <c r="K68" s="128">
        <f>SUMIFS('DORC proposal'!D$431:D$541,'DORC proposal'!$A$431:$A$541,'ICB calcs - per asset calc'!$B68,'DORC proposal'!$B$431:$B$541,"total PE")</f>
        <v>70</v>
      </c>
      <c r="L68" s="126">
        <f>$F$9</f>
        <v>60</v>
      </c>
      <c r="M68" s="129">
        <f t="shared" si="14"/>
        <v>58.782066076677395</v>
      </c>
      <c r="N68" s="129">
        <f t="shared" si="15"/>
        <v>48.782066076677395</v>
      </c>
      <c r="O68" s="128">
        <f t="shared" si="21"/>
        <v>34.592259587002339</v>
      </c>
      <c r="P68" s="128">
        <f t="shared" si="22"/>
        <v>24.592259587002339</v>
      </c>
      <c r="Q68" s="126"/>
      <c r="R68" s="182">
        <f t="shared" si="16"/>
        <v>450.93495260759488</v>
      </c>
      <c r="S68" s="182">
        <f t="shared" si="16"/>
        <v>450.93495260759488</v>
      </c>
      <c r="T68" s="182">
        <f t="shared" si="16"/>
        <v>450.93495260759488</v>
      </c>
      <c r="U68" s="182">
        <f t="shared" si="16"/>
        <v>450.93495260759488</v>
      </c>
      <c r="V68" s="182">
        <f t="shared" si="16"/>
        <v>450.93495260759488</v>
      </c>
      <c r="W68" s="182">
        <f t="shared" si="16"/>
        <v>450.93495260759488</v>
      </c>
      <c r="X68" s="182">
        <f t="shared" si="16"/>
        <v>450.93495260759488</v>
      </c>
      <c r="Y68" s="182">
        <f t="shared" si="16"/>
        <v>450.93495260759488</v>
      </c>
      <c r="Z68" s="182">
        <f t="shared" si="16"/>
        <v>450.93495260759488</v>
      </c>
      <c r="AA68" s="182">
        <f t="shared" si="16"/>
        <v>450.93495260759488</v>
      </c>
      <c r="AB68" s="182">
        <f t="shared" si="17"/>
        <v>450.93495260759488</v>
      </c>
      <c r="AC68" s="182">
        <f t="shared" si="17"/>
        <v>450.93495260759488</v>
      </c>
      <c r="AD68" s="182">
        <f t="shared" si="17"/>
        <v>450.93495260759488</v>
      </c>
      <c r="AE68" s="182">
        <f t="shared" si="17"/>
        <v>466.4449348822256</v>
      </c>
      <c r="AF68" s="182">
        <f t="shared" si="17"/>
        <v>466.4449348822256</v>
      </c>
      <c r="AG68" s="182">
        <f t="shared" si="17"/>
        <v>466.4449348822256</v>
      </c>
      <c r="AH68" s="182">
        <f t="shared" si="17"/>
        <v>466.4449348822256</v>
      </c>
      <c r="AI68" s="182">
        <f t="shared" si="17"/>
        <v>466.4449348822256</v>
      </c>
      <c r="AJ68" s="182">
        <f t="shared" si="17"/>
        <v>466.4449348822256</v>
      </c>
      <c r="AK68" s="182">
        <f t="shared" si="17"/>
        <v>466.4449348822256</v>
      </c>
      <c r="AL68" s="182">
        <f t="shared" si="17"/>
        <v>466.4449348822256</v>
      </c>
      <c r="AM68" s="182">
        <f t="shared" si="17"/>
        <v>466.4449348822256</v>
      </c>
      <c r="AN68" s="182">
        <f t="shared" si="17"/>
        <v>466.4449348822256</v>
      </c>
      <c r="AO68" s="252">
        <f t="shared" si="18"/>
        <v>11470.934921666096</v>
      </c>
      <c r="AP68" s="135">
        <f>AO68*'Inflation assumptions'!$R$18</f>
        <v>19537.464779508002</v>
      </c>
      <c r="AQ68" s="126"/>
      <c r="AR68" s="135">
        <f t="shared" si="19"/>
        <v>18832.20983299955</v>
      </c>
      <c r="AS68" s="126"/>
      <c r="AT68" s="126"/>
      <c r="AU68" s="126"/>
      <c r="AY68" s="126"/>
      <c r="AZ68" s="126"/>
      <c r="BA68" s="126"/>
      <c r="BB68" s="179"/>
      <c r="DN68" s="126"/>
      <c r="DO68" s="126"/>
    </row>
    <row r="69" spans="1:122" customFormat="1">
      <c r="A69" s="126" t="s">
        <v>127</v>
      </c>
      <c r="B69" s="126" t="s">
        <v>129</v>
      </c>
      <c r="C69" s="126" t="s">
        <v>126</v>
      </c>
      <c r="D69" s="126" t="s">
        <v>193</v>
      </c>
      <c r="E69" s="126" t="s">
        <v>181</v>
      </c>
      <c r="F69" s="129">
        <f>SUMIFS('DORC proposal'!C$431:C$541,'DORC proposal'!$A$431:$A$541,'ICB calcs - per asset calc'!$B69,'DORC proposal'!$B$431:$B$541,"total PE")</f>
        <v>41071</v>
      </c>
      <c r="G69" s="128">
        <f>SUMIFS('DORC proposal'!E$431:E$541,'DORC proposal'!$A$431:$A$541,'ICB calcs - per asset calc'!$B69,'DORC proposal'!$B$431:$B$541,"total PE")</f>
        <v>7.944706512708767</v>
      </c>
      <c r="H69" s="129">
        <f>SUMIFS('DORC proposal'!G$431:G$541,'DORC proposal'!$A$431:$A$541,'ICB calcs - per asset calc'!$B69,'DORC proposal'!$B$431:$B$541,A69)</f>
        <v>37503.558441648354</v>
      </c>
      <c r="I69" s="143">
        <f t="shared" si="20"/>
        <v>29141.829657955645</v>
      </c>
      <c r="J69" s="126"/>
      <c r="K69" s="128">
        <f>SUMIFS('DORC proposal'!D$431:D$541,'DORC proposal'!$A$431:$A$541,'ICB calcs - per asset calc'!$B69,'DORC proposal'!$B$431:$B$541,"total PE")</f>
        <v>70</v>
      </c>
      <c r="L69" s="126">
        <f>$F$9</f>
        <v>60</v>
      </c>
      <c r="M69" s="129">
        <f t="shared" si="14"/>
        <v>62.05529348729123</v>
      </c>
      <c r="N69" s="129">
        <f t="shared" si="15"/>
        <v>52.05529348729123</v>
      </c>
      <c r="O69" s="128">
        <f t="shared" si="21"/>
        <v>37.785652182723148</v>
      </c>
      <c r="P69" s="128">
        <f t="shared" si="22"/>
        <v>27.785652182723148</v>
      </c>
      <c r="Q69" s="126"/>
      <c r="R69" s="182">
        <f t="shared" si="16"/>
        <v>559.8245193847639</v>
      </c>
      <c r="S69" s="182">
        <f t="shared" si="16"/>
        <v>559.8245193847639</v>
      </c>
      <c r="T69" s="182">
        <f t="shared" si="16"/>
        <v>559.8245193847639</v>
      </c>
      <c r="U69" s="182">
        <f t="shared" si="16"/>
        <v>559.8245193847639</v>
      </c>
      <c r="V69" s="182">
        <f t="shared" si="16"/>
        <v>559.8245193847639</v>
      </c>
      <c r="W69" s="182">
        <f t="shared" si="16"/>
        <v>559.8245193847639</v>
      </c>
      <c r="X69" s="182">
        <f t="shared" si="16"/>
        <v>559.8245193847639</v>
      </c>
      <c r="Y69" s="182">
        <f t="shared" si="16"/>
        <v>559.8245193847639</v>
      </c>
      <c r="Z69" s="182">
        <f t="shared" si="16"/>
        <v>559.8245193847639</v>
      </c>
      <c r="AA69" s="182">
        <f t="shared" si="16"/>
        <v>559.8245193847639</v>
      </c>
      <c r="AB69" s="182">
        <f t="shared" si="17"/>
        <v>559.8245193847639</v>
      </c>
      <c r="AC69" s="182">
        <f t="shared" si="17"/>
        <v>559.8245193847639</v>
      </c>
      <c r="AD69" s="182">
        <f t="shared" si="17"/>
        <v>559.8245193847639</v>
      </c>
      <c r="AE69" s="182">
        <f t="shared" si="17"/>
        <v>578.63526611168845</v>
      </c>
      <c r="AF69" s="182">
        <f t="shared" si="17"/>
        <v>578.63526611168845</v>
      </c>
      <c r="AG69" s="182">
        <f t="shared" si="17"/>
        <v>578.63526611168845</v>
      </c>
      <c r="AH69" s="182">
        <f t="shared" si="17"/>
        <v>578.63526611168845</v>
      </c>
      <c r="AI69" s="182">
        <f t="shared" si="17"/>
        <v>578.63526611168845</v>
      </c>
      <c r="AJ69" s="182">
        <f t="shared" si="17"/>
        <v>578.63526611168845</v>
      </c>
      <c r="AK69" s="182">
        <f t="shared" si="17"/>
        <v>578.63526611168845</v>
      </c>
      <c r="AL69" s="182">
        <f t="shared" si="17"/>
        <v>578.63526611168845</v>
      </c>
      <c r="AM69" s="182">
        <f t="shared" si="17"/>
        <v>578.63526611168845</v>
      </c>
      <c r="AN69" s="182">
        <f t="shared" si="17"/>
        <v>578.63526611168845</v>
      </c>
      <c r="AO69" s="252">
        <f t="shared" si="18"/>
        <v>16077.758244836823</v>
      </c>
      <c r="AP69" s="135">
        <f>AO69*'Inflation assumptions'!$R$18</f>
        <v>27383.873902783827</v>
      </c>
      <c r="AQ69" s="126"/>
      <c r="AR69" s="135">
        <f t="shared" si="19"/>
        <v>26395.382676186291</v>
      </c>
      <c r="AS69" s="126"/>
      <c r="AT69" s="126"/>
      <c r="AU69" s="126"/>
      <c r="AY69" s="126"/>
      <c r="AZ69" s="126"/>
      <c r="BA69" s="126"/>
      <c r="BB69" s="179"/>
      <c r="DN69" s="126"/>
      <c r="DO69" s="126"/>
    </row>
    <row r="70" spans="1:122" customFormat="1">
      <c r="A70" s="126" t="s">
        <v>127</v>
      </c>
      <c r="B70" s="126" t="s">
        <v>130</v>
      </c>
      <c r="C70" s="126" t="s">
        <v>126</v>
      </c>
      <c r="D70" s="126" t="s">
        <v>193</v>
      </c>
      <c r="E70" s="126" t="s">
        <v>194</v>
      </c>
      <c r="F70" s="194">
        <f>SUMIFS('DORC proposal'!C$431:C$541,'DORC proposal'!$A$431:$A$541,'ICB calcs - per asset calc'!$B70,'DORC proposal'!$B$431:$B$541,"total PE")</f>
        <v>0</v>
      </c>
      <c r="G70" s="128">
        <f>SUMIFS('DORC proposal'!E$431:E$541,'DORC proposal'!$A$431:$A$541,'ICB calcs - per asset calc'!$B70,'DORC proposal'!$B$431:$B$541,"total PE")</f>
        <v>0</v>
      </c>
      <c r="H70" s="129">
        <f>SUMIFS('DORC proposal'!G$431:G$541,'DORC proposal'!$A$431:$A$541,'ICB calcs - per asset calc'!$B70,'DORC proposal'!$B$431:$B$541,A70)</f>
        <v>0</v>
      </c>
      <c r="I70" s="143">
        <f t="shared" si="20"/>
        <v>0</v>
      </c>
      <c r="J70" s="126"/>
      <c r="K70" s="128">
        <f>SUMIFS('DORC proposal'!D$431:D$541,'DORC proposal'!$A$431:$A$541,'ICB calcs - per asset calc'!$B70,'DORC proposal'!$B$431:$B$541,"total PE")</f>
        <v>0</v>
      </c>
      <c r="L70" s="126">
        <f>$F$9</f>
        <v>60</v>
      </c>
      <c r="M70" s="129">
        <f t="shared" si="14"/>
        <v>0</v>
      </c>
      <c r="N70" s="129">
        <f t="shared" si="15"/>
        <v>60</v>
      </c>
      <c r="O70" s="128">
        <f t="shared" si="21"/>
        <v>45.536585365853654</v>
      </c>
      <c r="P70" s="128">
        <f t="shared" si="22"/>
        <v>35.536585365853654</v>
      </c>
      <c r="Q70" s="126"/>
      <c r="R70" s="182">
        <f t="shared" si="16"/>
        <v>0</v>
      </c>
      <c r="S70" s="182">
        <f t="shared" si="16"/>
        <v>0</v>
      </c>
      <c r="T70" s="182">
        <f t="shared" si="16"/>
        <v>0</v>
      </c>
      <c r="U70" s="182">
        <f t="shared" si="16"/>
        <v>0</v>
      </c>
      <c r="V70" s="182">
        <f t="shared" si="16"/>
        <v>0</v>
      </c>
      <c r="W70" s="182">
        <f t="shared" si="16"/>
        <v>0</v>
      </c>
      <c r="X70" s="182">
        <f t="shared" si="16"/>
        <v>0</v>
      </c>
      <c r="Y70" s="182">
        <f t="shared" si="16"/>
        <v>0</v>
      </c>
      <c r="Z70" s="182">
        <f t="shared" si="16"/>
        <v>0</v>
      </c>
      <c r="AA70" s="182">
        <f t="shared" si="16"/>
        <v>0</v>
      </c>
      <c r="AB70" s="182">
        <f t="shared" si="17"/>
        <v>0</v>
      </c>
      <c r="AC70" s="182">
        <f t="shared" si="17"/>
        <v>0</v>
      </c>
      <c r="AD70" s="182">
        <f t="shared" si="17"/>
        <v>0</v>
      </c>
      <c r="AE70" s="182">
        <f t="shared" si="17"/>
        <v>0</v>
      </c>
      <c r="AF70" s="182">
        <f t="shared" si="17"/>
        <v>0</v>
      </c>
      <c r="AG70" s="182">
        <f t="shared" si="17"/>
        <v>0</v>
      </c>
      <c r="AH70" s="182">
        <f t="shared" si="17"/>
        <v>0</v>
      </c>
      <c r="AI70" s="182">
        <f t="shared" si="17"/>
        <v>0</v>
      </c>
      <c r="AJ70" s="182">
        <f t="shared" si="17"/>
        <v>0</v>
      </c>
      <c r="AK70" s="182">
        <f t="shared" si="17"/>
        <v>0</v>
      </c>
      <c r="AL70" s="182">
        <f t="shared" si="17"/>
        <v>0</v>
      </c>
      <c r="AM70" s="182">
        <f t="shared" si="17"/>
        <v>0</v>
      </c>
      <c r="AN70" s="182">
        <f t="shared" si="17"/>
        <v>0</v>
      </c>
      <c r="AO70" s="252">
        <f t="shared" si="18"/>
        <v>0</v>
      </c>
      <c r="AP70" s="135">
        <f>AO70*'Inflation assumptions'!$R$18</f>
        <v>0</v>
      </c>
      <c r="AQ70" s="126"/>
      <c r="AR70" s="135">
        <f t="shared" si="19"/>
        <v>0</v>
      </c>
      <c r="AS70" s="126"/>
      <c r="AT70" s="126"/>
      <c r="AU70" s="126"/>
      <c r="AY70" s="126"/>
      <c r="AZ70" s="126"/>
      <c r="BA70" s="126"/>
      <c r="BB70" s="179"/>
      <c r="DN70" s="126"/>
      <c r="DO70" s="126"/>
    </row>
    <row r="71" spans="1:122" customFormat="1" ht="17.25" thickBot="1">
      <c r="A71" s="126"/>
      <c r="B71" s="162"/>
      <c r="C71" s="162"/>
      <c r="D71" s="185"/>
      <c r="E71" s="137" t="s">
        <v>195</v>
      </c>
      <c r="F71" s="137">
        <f>SUM(F59:F70)</f>
        <v>325806</v>
      </c>
      <c r="G71" s="162"/>
      <c r="H71" s="137">
        <f>SUM(H59:H70)</f>
        <v>266697.30330057628</v>
      </c>
      <c r="I71" s="137">
        <f>SUM(I59:I70)</f>
        <v>207234.9319895611</v>
      </c>
      <c r="J71" s="126"/>
      <c r="K71" s="126"/>
      <c r="L71" s="126"/>
      <c r="Q71" s="126"/>
      <c r="AO71" s="253">
        <f>SUM(AO59:AO70)</f>
        <v>93116.739785507933</v>
      </c>
      <c r="AP71" s="253">
        <f>SUM(AP59:AP70)</f>
        <v>158597.79838047706</v>
      </c>
      <c r="AQ71" s="126"/>
      <c r="AR71" s="253">
        <f>SUM(AR59:AR70)</f>
        <v>152872.80370611695</v>
      </c>
      <c r="AS71" s="126"/>
      <c r="AU71" s="126"/>
      <c r="DN71" s="126"/>
      <c r="DO71" s="126"/>
    </row>
    <row r="72" spans="1:122" customFormat="1" ht="17.25" thickTop="1">
      <c r="A72" s="126"/>
      <c r="B72" s="126"/>
      <c r="C72" s="126"/>
      <c r="D72" s="126"/>
      <c r="E72" s="324" t="s">
        <v>187</v>
      </c>
      <c r="F72" s="324" t="b">
        <f>F71='DORC proposal'!C328</f>
        <v>1</v>
      </c>
      <c r="G72" s="324"/>
      <c r="H72" s="324" t="b">
        <f>H71='DORC proposal'!J328</f>
        <v>1</v>
      </c>
      <c r="I72" s="324" t="b">
        <f>I71=F20*(1-'kms replaced'!E57)*10^3</f>
        <v>1</v>
      </c>
      <c r="J72" s="126"/>
      <c r="K72" s="126"/>
      <c r="L72" s="126"/>
      <c r="M72" s="338" t="s">
        <v>188</v>
      </c>
      <c r="N72" s="339">
        <f>SUMPRODUCT(N59:N70,I59:I70)/I71</f>
        <v>43.857692438007263</v>
      </c>
      <c r="Q72" s="126"/>
      <c r="AT72" s="126"/>
      <c r="DQ72" s="126"/>
      <c r="DR72" s="126"/>
    </row>
    <row r="74" spans="1:122" s="150" customFormat="1">
      <c r="A74" s="150" t="s">
        <v>196</v>
      </c>
      <c r="N74" s="148"/>
      <c r="R74" s="149"/>
    </row>
    <row r="76" spans="1:122" ht="17.25" thickBot="1">
      <c r="E76" s="134" t="s">
        <v>197</v>
      </c>
    </row>
    <row r="77" spans="1:122">
      <c r="F77" s="163" t="s">
        <v>118</v>
      </c>
      <c r="G77" s="163" t="s">
        <v>128</v>
      </c>
      <c r="H77" s="163" t="s">
        <v>129</v>
      </c>
      <c r="I77" s="163" t="s">
        <v>198</v>
      </c>
      <c r="J77" s="135"/>
      <c r="M77" s="433" t="s">
        <v>199</v>
      </c>
      <c r="N77" s="433" t="s">
        <v>200</v>
      </c>
      <c r="O77" s="433" t="s">
        <v>201</v>
      </c>
      <c r="P77" s="433" t="s">
        <v>202</v>
      </c>
      <c r="Q77" s="151" t="s">
        <v>203</v>
      </c>
      <c r="S77" s="126" t="s">
        <v>204</v>
      </c>
    </row>
    <row r="78" spans="1:122" ht="17.25" thickBot="1">
      <c r="E78" s="126" t="s">
        <v>126</v>
      </c>
      <c r="F78" s="135">
        <f>F45</f>
        <v>723.3</v>
      </c>
      <c r="G78" s="135">
        <f>F46</f>
        <v>712.08</v>
      </c>
      <c r="H78" s="135">
        <f>F47</f>
        <v>939.2</v>
      </c>
      <c r="I78" s="135"/>
      <c r="J78" s="135"/>
      <c r="M78" s="434"/>
      <c r="N78" s="434"/>
      <c r="O78" s="434"/>
      <c r="P78" s="434"/>
      <c r="Q78" s="152" t="s">
        <v>205</v>
      </c>
    </row>
    <row r="79" spans="1:122" ht="17.25" thickBot="1">
      <c r="E79" s="126" t="s">
        <v>206</v>
      </c>
      <c r="F79" s="135">
        <f>'DORC proposal'!C40</f>
        <v>216.42</v>
      </c>
      <c r="G79" s="135">
        <f>'DORC proposal'!C45</f>
        <v>20.32</v>
      </c>
      <c r="H79" s="135">
        <f>'DORC proposal'!C50</f>
        <v>104.02</v>
      </c>
      <c r="I79" s="135"/>
      <c r="J79" s="135"/>
      <c r="M79" s="153">
        <v>3255</v>
      </c>
      <c r="N79" s="154">
        <v>1298</v>
      </c>
      <c r="O79" s="154">
        <v>2068</v>
      </c>
      <c r="P79" s="155">
        <v>173</v>
      </c>
      <c r="Q79" s="156">
        <v>6795</v>
      </c>
    </row>
    <row r="80" spans="1:122">
      <c r="E80" s="126" t="s">
        <v>207</v>
      </c>
      <c r="F80" s="135">
        <f>F48</f>
        <v>126.77</v>
      </c>
      <c r="G80" s="135">
        <f>F49</f>
        <v>24.77</v>
      </c>
      <c r="H80" s="135">
        <f>F50</f>
        <v>0.35</v>
      </c>
      <c r="I80" s="135"/>
      <c r="J80" s="135"/>
    </row>
    <row r="81" spans="5:13">
      <c r="E81" s="126" t="s">
        <v>208</v>
      </c>
      <c r="F81" s="135">
        <f>F51</f>
        <v>2067.62</v>
      </c>
      <c r="G81" s="135">
        <f>F52</f>
        <v>100</v>
      </c>
      <c r="H81" s="135">
        <f>F53</f>
        <v>0.47</v>
      </c>
      <c r="I81" s="135"/>
      <c r="J81" s="135"/>
    </row>
    <row r="82" spans="5:13">
      <c r="E82" s="126" t="s">
        <v>209</v>
      </c>
      <c r="F82" s="135">
        <f>'DORC proposal'!C17</f>
        <v>121.06</v>
      </c>
      <c r="G82" s="135">
        <f>'DORC proposal'!C22</f>
        <v>461.77</v>
      </c>
      <c r="H82" s="135">
        <f>'DORC proposal'!C27</f>
        <v>1049.28</v>
      </c>
      <c r="I82" s="135">
        <f>'DORC proposal'!C32</f>
        <v>173.316</v>
      </c>
      <c r="J82" s="135"/>
    </row>
    <row r="83" spans="5:13" ht="17.25" thickBot="1">
      <c r="F83" s="136">
        <f>SUM(F78:F82)</f>
        <v>3255.1699999999996</v>
      </c>
      <c r="G83" s="136">
        <f>SUM(G78:G82)</f>
        <v>1318.94</v>
      </c>
      <c r="H83" s="136">
        <f>SUM(H78:H82)</f>
        <v>2093.3199999999997</v>
      </c>
      <c r="I83" s="136">
        <f>SUM(I78:I82)</f>
        <v>173.316</v>
      </c>
      <c r="J83" s="135">
        <f>SUM(F83:I83)</f>
        <v>6840.7459999999992</v>
      </c>
      <c r="K83" s="195"/>
    </row>
    <row r="84" spans="5:13" ht="17.25" thickTop="1">
      <c r="E84" s="366" t="s">
        <v>210</v>
      </c>
      <c r="F84" s="367">
        <f>F83-M79</f>
        <v>0.16999999999961801</v>
      </c>
      <c r="G84" s="367">
        <f>G83-N79</f>
        <v>20.940000000000055</v>
      </c>
      <c r="H84" s="367">
        <f>H83-O79</f>
        <v>25.319999999999709</v>
      </c>
      <c r="I84" s="367">
        <f>I83-P79</f>
        <v>0.3160000000000025</v>
      </c>
      <c r="J84" s="367">
        <f>J83-Q79</f>
        <v>45.745999999999185</v>
      </c>
    </row>
    <row r="85" spans="5:13">
      <c r="E85" s="324"/>
      <c r="F85" s="368">
        <f>F84/M79</f>
        <v>5.2227342549805842E-5</v>
      </c>
      <c r="G85" s="368">
        <f>G84/N79</f>
        <v>1.6132511556240414E-2</v>
      </c>
      <c r="H85" s="368">
        <f>H84/O79</f>
        <v>1.2243713733075295E-2</v>
      </c>
      <c r="I85" s="368">
        <f>I84/P79</f>
        <v>1.826589595375737E-3</v>
      </c>
      <c r="J85" s="368">
        <f>J84/Q79</f>
        <v>6.7323031640911237E-3</v>
      </c>
    </row>
    <row r="87" spans="5:13">
      <c r="E87"/>
      <c r="F87"/>
      <c r="G87"/>
      <c r="H87"/>
      <c r="I87"/>
      <c r="J87"/>
      <c r="K87"/>
      <c r="L87"/>
      <c r="M87"/>
    </row>
    <row r="88" spans="5:13">
      <c r="E88"/>
      <c r="F88"/>
      <c r="G88"/>
      <c r="H88"/>
      <c r="I88"/>
      <c r="J88"/>
      <c r="K88"/>
      <c r="L88"/>
      <c r="M88"/>
    </row>
    <row r="91" spans="5:13">
      <c r="G91" s="129"/>
    </row>
  </sheetData>
  <mergeCells count="4">
    <mergeCell ref="M77:M78"/>
    <mergeCell ref="N77:N78"/>
    <mergeCell ref="O77:O78"/>
    <mergeCell ref="P77:P78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1C376B"/>
  </sheetPr>
  <dimension ref="A1:AA99"/>
  <sheetViews>
    <sheetView topLeftCell="A22" zoomScaleNormal="100" workbookViewId="0">
      <selection activeCell="D6" sqref="D6"/>
    </sheetView>
  </sheetViews>
  <sheetFormatPr defaultRowHeight="16.5"/>
  <cols>
    <col min="1" max="2" width="8.7109375" style="126" customWidth="1"/>
    <col min="3" max="3" width="28.140625" style="126" customWidth="1"/>
    <col min="4" max="7" width="12.7109375" style="126" customWidth="1"/>
    <col min="8" max="8" width="31" style="126" bestFit="1" customWidth="1"/>
    <col min="9" max="15" width="12.7109375" style="126" customWidth="1"/>
    <col min="16" max="16" width="9.140625" style="126"/>
    <col min="17" max="17" width="4.140625" style="126" customWidth="1"/>
    <col min="18" max="16384" width="9.140625" style="126"/>
  </cols>
  <sheetData>
    <row r="1" spans="1:12" ht="17.25">
      <c r="A1" s="279" t="s">
        <v>211</v>
      </c>
    </row>
    <row r="3" spans="1:12">
      <c r="C3" s="127" t="s">
        <v>212</v>
      </c>
    </row>
    <row r="5" spans="1:12">
      <c r="C5" s="255" t="s">
        <v>213</v>
      </c>
      <c r="D5" s="145">
        <v>43281</v>
      </c>
      <c r="E5" s="256"/>
      <c r="F5" s="257"/>
      <c r="G5" s="256"/>
      <c r="H5" s="258"/>
    </row>
    <row r="6" spans="1:12">
      <c r="C6" s="255" t="s">
        <v>214</v>
      </c>
      <c r="D6" s="145">
        <v>35976</v>
      </c>
      <c r="E6" s="256"/>
      <c r="F6" s="257"/>
      <c r="G6" s="256"/>
      <c r="H6" s="258"/>
      <c r="I6"/>
      <c r="J6"/>
      <c r="K6"/>
    </row>
    <row r="7" spans="1:12" ht="17.25" thickBot="1">
      <c r="C7" s="255"/>
      <c r="D7" s="259"/>
      <c r="E7" s="256"/>
      <c r="F7" s="257"/>
      <c r="G7" s="256"/>
      <c r="H7" s="258"/>
      <c r="I7"/>
      <c r="J7"/>
      <c r="K7"/>
    </row>
    <row r="8" spans="1:12" ht="33">
      <c r="C8" s="260"/>
      <c r="D8" s="428" t="s">
        <v>215</v>
      </c>
      <c r="E8" s="428" t="s">
        <v>216</v>
      </c>
      <c r="F8" s="428" t="s">
        <v>217</v>
      </c>
      <c r="G8" s="428" t="s">
        <v>218</v>
      </c>
      <c r="H8" s="261" t="s">
        <v>219</v>
      </c>
      <c r="I8"/>
      <c r="J8" s="388"/>
      <c r="K8" s="389" t="s">
        <v>220</v>
      </c>
      <c r="L8" s="167" t="s">
        <v>221</v>
      </c>
    </row>
    <row r="9" spans="1:12">
      <c r="C9" s="262" t="s">
        <v>49</v>
      </c>
      <c r="D9" s="263">
        <v>70</v>
      </c>
      <c r="E9" s="263">
        <v>50</v>
      </c>
      <c r="F9" s="270">
        <f>DATE(YEAR($D$5)-D9,MONTH($D$5),DAY($D$5))</f>
        <v>17714</v>
      </c>
      <c r="G9" s="268">
        <f>DATE(YEAR($D$5)-E9,MONTH($D$5),DAY($D$5))</f>
        <v>25019</v>
      </c>
      <c r="H9" s="264" t="str">
        <f>IF(G9&lt;=$D$6,"All in the ICB",IF(F9&gt;$D$6,"None in the ICB","Some in the ICB, some installled after"))</f>
        <v>All in the ICB</v>
      </c>
      <c r="I9"/>
      <c r="J9"/>
      <c r="K9"/>
    </row>
    <row r="10" spans="1:12">
      <c r="C10" s="262" t="s">
        <v>222</v>
      </c>
      <c r="D10" s="263">
        <v>63</v>
      </c>
      <c r="E10" s="263">
        <v>49</v>
      </c>
      <c r="F10" s="270">
        <f t="shared" ref="F10:F16" si="0">DATE(YEAR($D$5)-D10,MONTH($D$5),DAY($D$5))</f>
        <v>20270</v>
      </c>
      <c r="G10" s="268">
        <f t="shared" ref="G10:G16" si="1">DATE(YEAR($D$5)-E10,MONTH($D$5),DAY($D$5))</f>
        <v>25384</v>
      </c>
      <c r="H10" s="264" t="str">
        <f t="shared" ref="H10:H16" si="2">IF(G10&lt;=$D$6,"All in the ICB",IF(F10&gt;$D$6,"None in the ICB","Some in the ICB, some installled after"))</f>
        <v>All in the ICB</v>
      </c>
      <c r="I10"/>
      <c r="J10"/>
      <c r="K10"/>
    </row>
    <row r="11" spans="1:12">
      <c r="C11" s="262" t="s">
        <v>223</v>
      </c>
      <c r="D11" s="263">
        <v>49</v>
      </c>
      <c r="E11" s="263">
        <v>0</v>
      </c>
      <c r="F11" s="270">
        <f t="shared" si="0"/>
        <v>25384</v>
      </c>
      <c r="G11" s="268">
        <f t="shared" si="1"/>
        <v>43281</v>
      </c>
      <c r="H11" s="264" t="str">
        <f t="shared" si="2"/>
        <v>Some in the ICB, some installled after</v>
      </c>
      <c r="I11"/>
      <c r="J11"/>
      <c r="K11"/>
    </row>
    <row r="12" spans="1:12">
      <c r="C12" s="262" t="s">
        <v>224</v>
      </c>
      <c r="D12" s="263">
        <v>15</v>
      </c>
      <c r="E12" s="263">
        <v>10</v>
      </c>
      <c r="F12" s="270">
        <f t="shared" si="0"/>
        <v>37802</v>
      </c>
      <c r="G12" s="268">
        <f t="shared" si="1"/>
        <v>39629</v>
      </c>
      <c r="H12" s="264" t="str">
        <f t="shared" si="2"/>
        <v>None in the ICB</v>
      </c>
      <c r="I12"/>
      <c r="J12"/>
      <c r="K12"/>
    </row>
    <row r="13" spans="1:12">
      <c r="C13" s="262" t="s">
        <v>225</v>
      </c>
      <c r="D13" s="263">
        <v>45</v>
      </c>
      <c r="E13" s="263">
        <v>40</v>
      </c>
      <c r="F13" s="270">
        <f t="shared" si="0"/>
        <v>26845</v>
      </c>
      <c r="G13" s="268">
        <f t="shared" si="1"/>
        <v>28671</v>
      </c>
      <c r="H13" s="264" t="str">
        <f t="shared" si="2"/>
        <v>All in the ICB</v>
      </c>
      <c r="I13"/>
      <c r="J13"/>
      <c r="K13"/>
    </row>
    <row r="14" spans="1:12">
      <c r="C14" s="262" t="s">
        <v>226</v>
      </c>
      <c r="D14" s="263">
        <v>37</v>
      </c>
      <c r="E14" s="263">
        <v>23</v>
      </c>
      <c r="F14" s="270">
        <f t="shared" si="0"/>
        <v>29767</v>
      </c>
      <c r="G14" s="268">
        <f t="shared" si="1"/>
        <v>34880</v>
      </c>
      <c r="H14" s="264" t="str">
        <f t="shared" si="2"/>
        <v>All in the ICB</v>
      </c>
      <c r="I14"/>
      <c r="J14"/>
      <c r="K14"/>
    </row>
    <row r="15" spans="1:12">
      <c r="C15" s="262" t="s">
        <v>227</v>
      </c>
      <c r="D15" s="263">
        <v>23</v>
      </c>
      <c r="E15" s="263">
        <v>4</v>
      </c>
      <c r="F15" s="270">
        <f t="shared" si="0"/>
        <v>34880</v>
      </c>
      <c r="G15" s="268">
        <f t="shared" si="1"/>
        <v>41820</v>
      </c>
      <c r="H15" s="264" t="str">
        <f t="shared" si="2"/>
        <v>Some in the ICB, some installled after</v>
      </c>
      <c r="I15"/>
      <c r="J15"/>
      <c r="K15"/>
    </row>
    <row r="16" spans="1:12" ht="17.25" thickBot="1">
      <c r="C16" s="265" t="s">
        <v>228</v>
      </c>
      <c r="D16" s="266">
        <v>4</v>
      </c>
      <c r="E16" s="266">
        <v>0</v>
      </c>
      <c r="F16" s="271">
        <f t="shared" si="0"/>
        <v>41820</v>
      </c>
      <c r="G16" s="269">
        <f t="shared" si="1"/>
        <v>43281</v>
      </c>
      <c r="H16" s="267" t="str">
        <f t="shared" si="2"/>
        <v>None in the ICB</v>
      </c>
      <c r="I16"/>
      <c r="J16"/>
      <c r="K16"/>
    </row>
    <row r="18" spans="1:17">
      <c r="C18" s="134" t="s">
        <v>229</v>
      </c>
    </row>
    <row r="20" spans="1:17">
      <c r="C20" s="127" t="s">
        <v>230</v>
      </c>
      <c r="D20" s="145">
        <v>36341</v>
      </c>
    </row>
    <row r="21" spans="1:17" ht="17.25" thickBot="1">
      <c r="C21" s="127"/>
      <c r="D21" s="147"/>
    </row>
    <row r="22" spans="1:17" ht="49.5">
      <c r="C22" s="272" t="s">
        <v>231</v>
      </c>
      <c r="D22" s="429" t="s">
        <v>232</v>
      </c>
      <c r="E22" s="429" t="s">
        <v>233</v>
      </c>
      <c r="F22" s="430" t="s">
        <v>234</v>
      </c>
      <c r="J22" s="388"/>
      <c r="K22" s="389" t="s">
        <v>235</v>
      </c>
      <c r="L22" s="167" t="s">
        <v>236</v>
      </c>
    </row>
    <row r="23" spans="1:17">
      <c r="C23" s="262" t="s">
        <v>237</v>
      </c>
      <c r="D23" s="273">
        <v>20.100000000000001</v>
      </c>
      <c r="E23" s="278">
        <f>ROUND(($D$6-$F$15)/($D$20-$F$15),2)</f>
        <v>0.75</v>
      </c>
      <c r="F23" s="274">
        <f>D23*E23</f>
        <v>15.075000000000001</v>
      </c>
    </row>
    <row r="24" spans="1:17">
      <c r="C24" s="262" t="s">
        <v>238</v>
      </c>
      <c r="D24" s="273">
        <v>95.1</v>
      </c>
      <c r="E24" s="278">
        <f t="shared" ref="E24:E25" si="3">ROUND(($D$6-$F$15)/($D$20-$F$15),2)</f>
        <v>0.75</v>
      </c>
      <c r="F24" s="274">
        <f t="shared" ref="F24:F25" si="4">D24*E24</f>
        <v>71.324999999999989</v>
      </c>
    </row>
    <row r="25" spans="1:17">
      <c r="C25" s="262" t="s">
        <v>239</v>
      </c>
      <c r="D25" s="273">
        <v>112.9</v>
      </c>
      <c r="E25" s="278">
        <f t="shared" si="3"/>
        <v>0.75</v>
      </c>
      <c r="F25" s="274">
        <f t="shared" si="4"/>
        <v>84.675000000000011</v>
      </c>
    </row>
    <row r="26" spans="1:17" ht="17.25" thickBot="1">
      <c r="C26" s="244" t="s">
        <v>203</v>
      </c>
      <c r="D26" s="275">
        <f>SUM(D23:D25)</f>
        <v>228.1</v>
      </c>
      <c r="E26" s="277"/>
      <c r="F26" s="276">
        <f>SUM(F23:F25)</f>
        <v>171.07499999999999</v>
      </c>
    </row>
    <row r="27" spans="1:17">
      <c r="D27" s="197"/>
      <c r="E27" s="197"/>
    </row>
    <row r="28" spans="1:17">
      <c r="C28" s="198" t="s">
        <v>240</v>
      </c>
      <c r="D28" s="197"/>
      <c r="E28" s="197"/>
    </row>
    <row r="29" spans="1:17">
      <c r="D29" s="197"/>
      <c r="E29" s="207">
        <v>20</v>
      </c>
      <c r="F29" s="207"/>
      <c r="G29" s="207">
        <f>E29-8</f>
        <v>12</v>
      </c>
      <c r="H29" s="207"/>
      <c r="I29" s="207">
        <f>G29-8</f>
        <v>4</v>
      </c>
    </row>
    <row r="30" spans="1:17">
      <c r="D30" s="197" t="s">
        <v>241</v>
      </c>
      <c r="E30" s="126" t="s">
        <v>242</v>
      </c>
      <c r="F30" s="126" t="s">
        <v>243</v>
      </c>
      <c r="G30" s="197" t="s">
        <v>244</v>
      </c>
      <c r="H30" s="126" t="s">
        <v>243</v>
      </c>
      <c r="I30" s="126" t="s">
        <v>245</v>
      </c>
      <c r="J30" s="126" t="s">
        <v>243</v>
      </c>
      <c r="M30"/>
      <c r="N30"/>
    </row>
    <row r="31" spans="1:17">
      <c r="A31" s="126">
        <v>2</v>
      </c>
      <c r="B31" s="126" t="s">
        <v>179</v>
      </c>
      <c r="C31" s="126" t="str">
        <f>Results!C7</f>
        <v>CI</v>
      </c>
      <c r="D31" s="197">
        <f>SUMIFS('ICB calcs - per asset calc'!$F$38:$F$53,'ICB calcs - per asset calc'!$C$38:$C$53,'kms replaced'!C31,'ICB calcs - per asset calc'!$E$38:$E$53,'kms replaced'!B31)</f>
        <v>2194.39</v>
      </c>
      <c r="E31" s="126" cm="1">
        <f t="array" ref="E31">INDEX($C$63:$O$86,E$29,$A31)</f>
        <v>373</v>
      </c>
      <c r="F31" s="195">
        <f t="shared" ref="F31:F37" si="5">($D31-E31)/$D31</f>
        <v>0.83002109925765244</v>
      </c>
      <c r="G31" s="126" cm="1">
        <f t="array" ref="G31">INDEX($C$63:$O$86,G$29,$A31)</f>
        <v>300</v>
      </c>
      <c r="H31" s="195">
        <f t="shared" ref="H31:H37" si="6">($D31-G31)/$D31</f>
        <v>0.86328774739221381</v>
      </c>
      <c r="I31" s="126" cm="1">
        <f t="array" ref="I31">INDEX($C$63:$O$86,I$29,$A31)</f>
        <v>0</v>
      </c>
      <c r="J31" s="195">
        <f t="shared" ref="J31:J37" si="7">($D31-I31)/$D31</f>
        <v>1</v>
      </c>
      <c r="M31"/>
      <c r="N31"/>
      <c r="Q31" s="207">
        <v>1</v>
      </c>
    </row>
    <row r="32" spans="1:17">
      <c r="A32" s="126">
        <v>4</v>
      </c>
      <c r="B32" s="126" t="s">
        <v>179</v>
      </c>
      <c r="C32" s="126" t="str">
        <f>Results!C8</f>
        <v>UPS</v>
      </c>
      <c r="D32" s="197">
        <f>SUMIFS('ICB calcs - per asset calc'!$F$38:$F$53,'ICB calcs - per asset calc'!$C$38:$C$53,'kms replaced'!C32,'ICB calcs - per asset calc'!$E$38:$E$53,'kms replaced'!B32)</f>
        <v>216.42</v>
      </c>
      <c r="E32" s="126" cm="1">
        <f t="array" ref="E32">INDEX($C$63:$O$86,E$29,$A32)</f>
        <v>36</v>
      </c>
      <c r="F32" s="195">
        <f t="shared" si="5"/>
        <v>0.83365677848627673</v>
      </c>
      <c r="G32" s="126" cm="1">
        <f t="array" ref="G32">INDEX($C$63:$O$86,G$29,$A32)</f>
        <v>32</v>
      </c>
      <c r="H32" s="195">
        <f t="shared" si="6"/>
        <v>0.8521393586544681</v>
      </c>
      <c r="I32" s="126" cm="1">
        <f t="array" ref="I32">INDEX($C$63:$O$86,I$29,$A32)</f>
        <v>0</v>
      </c>
      <c r="J32" s="195">
        <f t="shared" si="7"/>
        <v>1</v>
      </c>
      <c r="M32"/>
      <c r="N32"/>
      <c r="Q32" s="207">
        <f>Q31+1</f>
        <v>2</v>
      </c>
    </row>
    <row r="33" spans="1:17">
      <c r="A33" s="126">
        <v>5</v>
      </c>
      <c r="B33" s="126" t="s">
        <v>179</v>
      </c>
      <c r="C33" s="126" t="str">
        <f>Results!C9</f>
        <v>PS</v>
      </c>
      <c r="D33" s="197">
        <f>SUMIFS('ICB calcs - per asset calc'!$F$38:$F$53,'ICB calcs - per asset calc'!$C$38:$C$53,'kms replaced'!C33,'ICB calcs - per asset calc'!$E$38:$E$53,'kms replaced'!B33)</f>
        <v>121.06</v>
      </c>
      <c r="E33" s="126" cm="1">
        <f t="array" ref="E33">INDEX($C$63:$O$86,E$29,$A33)</f>
        <v>15</v>
      </c>
      <c r="F33" s="195">
        <f t="shared" si="5"/>
        <v>0.87609449859573763</v>
      </c>
      <c r="G33" s="126" cm="1">
        <f t="array" ref="G33">INDEX($C$63:$O$86,G$29,$A33)</f>
        <v>17</v>
      </c>
      <c r="H33" s="195">
        <f t="shared" si="6"/>
        <v>0.85957376507516936</v>
      </c>
      <c r="I33" s="126" cm="1">
        <f t="array" ref="I33">INDEX($C$63:$O$86,I$29,$A33)</f>
        <v>6</v>
      </c>
      <c r="J33" s="195">
        <f t="shared" si="7"/>
        <v>0.95043779943829509</v>
      </c>
      <c r="M33"/>
      <c r="N33"/>
      <c r="Q33" s="207">
        <f t="shared" ref="Q33:Q44" si="8">Q32+1</f>
        <v>3</v>
      </c>
    </row>
    <row r="34" spans="1:17">
      <c r="B34" s="126" t="s">
        <v>179</v>
      </c>
      <c r="C34" s="126" t="str">
        <f>Results!C10</f>
        <v>PE</v>
      </c>
      <c r="D34" s="197">
        <f>SUMIFS('ICB calcs - per asset calc'!$F$38:$F$53,'ICB calcs - per asset calc'!$C$38:$C$53,'kms replaced'!C34,'ICB calcs - per asset calc'!$E$38:$E$53,'kms replaced'!B34)</f>
        <v>723.3</v>
      </c>
      <c r="E34" s="128">
        <f>J82+K82</f>
        <v>203</v>
      </c>
      <c r="F34" s="195">
        <f t="shared" si="5"/>
        <v>0.71934190515691965</v>
      </c>
      <c r="G34" s="197">
        <f>J74+K74</f>
        <v>154</v>
      </c>
      <c r="H34" s="195">
        <f t="shared" si="6"/>
        <v>0.78708696253283561</v>
      </c>
      <c r="I34" s="129">
        <f>J66+K66</f>
        <v>0</v>
      </c>
      <c r="J34" s="195">
        <f t="shared" si="7"/>
        <v>1</v>
      </c>
      <c r="M34"/>
      <c r="N34"/>
      <c r="Q34" s="207">
        <f t="shared" si="8"/>
        <v>4</v>
      </c>
    </row>
    <row r="35" spans="1:17">
      <c r="A35" s="126">
        <v>2</v>
      </c>
      <c r="B35" s="126" t="s">
        <v>180</v>
      </c>
      <c r="C35" s="126" t="str">
        <f>Results!C11</f>
        <v>CI</v>
      </c>
      <c r="D35" s="197">
        <f>SUMIFS('ICB calcs - per asset calc'!$F$38:$F$53,'ICB calcs - per asset calc'!$C$38:$C$53,'kms replaced'!C35,'ICB calcs - per asset calc'!$E$38:$E$53,'kms replaced'!B35)</f>
        <v>124.77</v>
      </c>
      <c r="E35" s="126" cm="1">
        <f t="array" ref="E35">INDEX($C$63:$O$86,E$29+1,$A35)</f>
        <v>17</v>
      </c>
      <c r="F35" s="195">
        <f t="shared" si="5"/>
        <v>0.86374929870962569</v>
      </c>
      <c r="G35" s="126" cm="1">
        <f t="array" ref="G35">INDEX($C$63:$O$86,G$29+1,$A35)</f>
        <v>7</v>
      </c>
      <c r="H35" s="195">
        <f t="shared" si="6"/>
        <v>0.94389677005690475</v>
      </c>
      <c r="I35" s="126" cm="1">
        <f t="array" ref="I35">INDEX($C$63:$O$86,I$29+1,$A35)</f>
        <v>0</v>
      </c>
      <c r="J35" s="195">
        <f t="shared" si="7"/>
        <v>1</v>
      </c>
      <c r="M35"/>
      <c r="N35"/>
      <c r="Q35" s="207">
        <f t="shared" si="8"/>
        <v>5</v>
      </c>
    </row>
    <row r="36" spans="1:17">
      <c r="A36" s="126">
        <v>4</v>
      </c>
      <c r="B36" s="126" t="s">
        <v>180</v>
      </c>
      <c r="C36" s="126" t="str">
        <f>Results!C12</f>
        <v>UPS</v>
      </c>
      <c r="D36" s="197">
        <f>SUMIFS('ICB calcs - per asset calc'!$F$38:$F$53,'ICB calcs - per asset calc'!$C$38:$C$53,'kms replaced'!C36,'ICB calcs - per asset calc'!$E$38:$E$53,'kms replaced'!B36)</f>
        <v>20.32</v>
      </c>
      <c r="E36" s="126" cm="1">
        <f t="array" ref="E36">INDEX($C$63:$O$86,E$29+1,$A36)</f>
        <v>4</v>
      </c>
      <c r="F36" s="195">
        <f t="shared" si="5"/>
        <v>0.80314960629921262</v>
      </c>
      <c r="G36" s="126" cm="1">
        <f t="array" ref="G36">INDEX($C$63:$O$86,G$29+1,$A36)</f>
        <v>1</v>
      </c>
      <c r="H36" s="195">
        <f t="shared" si="6"/>
        <v>0.95078740157480313</v>
      </c>
      <c r="I36" s="126" cm="1">
        <f t="array" ref="I36">INDEX($C$63:$O$86,I$29+1,$A36)</f>
        <v>0</v>
      </c>
      <c r="J36" s="195">
        <f t="shared" si="7"/>
        <v>1</v>
      </c>
      <c r="M36"/>
      <c r="N36"/>
      <c r="Q36" s="207">
        <f t="shared" si="8"/>
        <v>6</v>
      </c>
    </row>
    <row r="37" spans="1:17" ht="17.25" thickBot="1">
      <c r="C37" s="162" t="s">
        <v>203</v>
      </c>
      <c r="D37" s="199">
        <f>SUM(D31:D36)</f>
        <v>3400.26</v>
      </c>
      <c r="E37" s="199">
        <f>SUM(E31:E36)</f>
        <v>648</v>
      </c>
      <c r="F37" s="200">
        <f t="shared" si="5"/>
        <v>0.80942633798591879</v>
      </c>
      <c r="G37" s="199">
        <f>SUM(G31:G36)</f>
        <v>511</v>
      </c>
      <c r="H37" s="200">
        <f t="shared" si="6"/>
        <v>0.84971737455371066</v>
      </c>
      <c r="I37" s="199">
        <f>SUM(I31:I36)</f>
        <v>6</v>
      </c>
      <c r="J37" s="200">
        <f t="shared" si="7"/>
        <v>0.99823542905542517</v>
      </c>
      <c r="M37"/>
      <c r="N37"/>
      <c r="Q37" s="207">
        <f t="shared" si="8"/>
        <v>7</v>
      </c>
    </row>
    <row r="38" spans="1:17" ht="17.25" thickTop="1">
      <c r="D38" s="197"/>
      <c r="E38" s="197"/>
      <c r="F38" s="195"/>
      <c r="G38" s="129"/>
      <c r="H38" s="195"/>
      <c r="M38"/>
      <c r="N38"/>
      <c r="Q38" s="207">
        <f t="shared" si="8"/>
        <v>8</v>
      </c>
    </row>
    <row r="39" spans="1:17">
      <c r="C39" s="198" t="s">
        <v>246</v>
      </c>
      <c r="D39" s="197"/>
      <c r="E39" s="197"/>
      <c r="F39" s="195"/>
      <c r="G39" s="129"/>
      <c r="H39" s="195"/>
      <c r="M39"/>
      <c r="N39"/>
      <c r="Q39" s="207">
        <f t="shared" si="8"/>
        <v>9</v>
      </c>
    </row>
    <row r="40" spans="1:17">
      <c r="D40" s="197"/>
      <c r="E40" s="197"/>
      <c r="F40" s="195"/>
      <c r="G40" s="129"/>
      <c r="H40" s="195"/>
      <c r="M40"/>
      <c r="N40"/>
      <c r="Q40" s="207">
        <f t="shared" si="8"/>
        <v>10</v>
      </c>
    </row>
    <row r="41" spans="1:17">
      <c r="D41" s="197" t="s">
        <v>241</v>
      </c>
      <c r="E41" s="126" t="s">
        <v>242</v>
      </c>
      <c r="F41" s="126" t="s">
        <v>243</v>
      </c>
      <c r="G41" s="197" t="s">
        <v>244</v>
      </c>
      <c r="H41" s="126" t="s">
        <v>243</v>
      </c>
      <c r="I41" s="126" t="s">
        <v>245</v>
      </c>
      <c r="J41" s="126" t="s">
        <v>243</v>
      </c>
      <c r="M41"/>
      <c r="N41"/>
      <c r="Q41" s="207">
        <f t="shared" si="8"/>
        <v>11</v>
      </c>
    </row>
    <row r="42" spans="1:17">
      <c r="B42" s="126" t="s">
        <v>180</v>
      </c>
      <c r="C42" s="126" t="s">
        <v>126</v>
      </c>
      <c r="D42" s="197">
        <f>SUMIFS('ICB calcs - per asset calc'!$F$38:$F$53,'ICB calcs - per asset calc'!$C$38:$C$53,'kms replaced'!C42,'ICB calcs - per asset calc'!$E$38:$E$53,'kms replaced'!B42)</f>
        <v>712.08</v>
      </c>
      <c r="E42" s="197">
        <f>J83+K83+F24</f>
        <v>687.32500000000005</v>
      </c>
      <c r="F42" s="195">
        <f t="shared" ref="F42:H43" si="9">($D42-E42)/$D42</f>
        <v>3.476435231996404E-2</v>
      </c>
      <c r="G42" s="197">
        <f>J75+K75+F24</f>
        <v>555.52499999999998</v>
      </c>
      <c r="H42" s="195">
        <f t="shared" si="9"/>
        <v>0.21985591506572302</v>
      </c>
      <c r="I42" s="197">
        <f>J67+K67+F24</f>
        <v>451.125</v>
      </c>
      <c r="J42" s="195">
        <f t="shared" ref="J42" si="10">($D42-I42)/$D42</f>
        <v>0.36646865520728011</v>
      </c>
      <c r="M42"/>
      <c r="N42"/>
      <c r="Q42" s="207">
        <f t="shared" si="8"/>
        <v>12</v>
      </c>
    </row>
    <row r="43" spans="1:17">
      <c r="B43" s="126" t="s">
        <v>181</v>
      </c>
      <c r="C43" s="126" t="s">
        <v>126</v>
      </c>
      <c r="D43" s="197">
        <f>SUMIFS('ICB calcs - per asset calc'!$F$38:$F$53,'ICB calcs - per asset calc'!$C$38:$C$53,'kms replaced'!C43,'ICB calcs - per asset calc'!$E$38:$E$53,'kms replaced'!B43)</f>
        <v>939.2</v>
      </c>
      <c r="E43" s="197">
        <f>J84+K84+F25</f>
        <v>849.67499999999995</v>
      </c>
      <c r="F43" s="195">
        <f t="shared" si="9"/>
        <v>9.5320485519591228E-2</v>
      </c>
      <c r="G43" s="197">
        <f>J76+K76+F25</f>
        <v>687.875</v>
      </c>
      <c r="H43" s="195">
        <f t="shared" si="9"/>
        <v>0.26759476149914824</v>
      </c>
      <c r="I43" s="197">
        <f>J68+K68+F25</f>
        <v>490.375</v>
      </c>
      <c r="J43" s="195">
        <f t="shared" ref="J43" si="11">($D43-I43)/$D43</f>
        <v>0.47788011073253833</v>
      </c>
      <c r="M43"/>
      <c r="N43"/>
      <c r="Q43" s="207">
        <f t="shared" si="8"/>
        <v>13</v>
      </c>
    </row>
    <row r="44" spans="1:17" ht="17.25" thickBot="1">
      <c r="C44" s="162" t="s">
        <v>203</v>
      </c>
      <c r="D44" s="199">
        <f>SUM(D42:D43)</f>
        <v>1651.2800000000002</v>
      </c>
      <c r="E44" s="199">
        <f>SUM(E42:E43)</f>
        <v>1537</v>
      </c>
      <c r="F44" s="200">
        <f>($D44-E44)/$D44</f>
        <v>6.9206918269463805E-2</v>
      </c>
      <c r="G44" s="199">
        <f>SUM(G42:G43)</f>
        <v>1243.4000000000001</v>
      </c>
      <c r="H44" s="200">
        <f>($D44-G44)/$D44</f>
        <v>0.24700838137687131</v>
      </c>
      <c r="I44" s="199">
        <f>SUM(I42:I43)</f>
        <v>941.5</v>
      </c>
      <c r="J44" s="200">
        <f>($D44-I44)/$D44</f>
        <v>0.42983624824378669</v>
      </c>
      <c r="M44"/>
      <c r="N44"/>
      <c r="Q44" s="207">
        <f t="shared" si="8"/>
        <v>14</v>
      </c>
    </row>
    <row r="45" spans="1:17" ht="17.25" thickTop="1">
      <c r="C45" s="201"/>
      <c r="D45" s="202"/>
      <c r="E45" s="202"/>
      <c r="F45" s="203"/>
      <c r="G45" s="202"/>
      <c r="H45" s="203"/>
      <c r="I45" s="202"/>
      <c r="J45" s="203"/>
      <c r="M45"/>
      <c r="N45"/>
    </row>
    <row r="46" spans="1:17">
      <c r="C46" s="206" t="s">
        <v>247</v>
      </c>
      <c r="D46" s="202"/>
      <c r="E46" s="202"/>
      <c r="F46" s="203"/>
      <c r="G46" s="202"/>
      <c r="H46" s="203"/>
      <c r="I46" s="202"/>
      <c r="J46" s="203"/>
    </row>
    <row r="47" spans="1:17">
      <c r="C47" s="201"/>
      <c r="D47" s="202"/>
      <c r="E47" s="202"/>
      <c r="F47" s="203"/>
      <c r="G47" s="202"/>
      <c r="H47" s="203"/>
      <c r="I47" s="202"/>
      <c r="J47" s="203"/>
    </row>
    <row r="48" spans="1:17">
      <c r="B48" s="126" t="s">
        <v>179</v>
      </c>
      <c r="C48" s="126" t="s">
        <v>177</v>
      </c>
      <c r="D48" s="197">
        <f>SUMIFS('ICB calcs - per asset calc'!$F$38:$F$53,'ICB calcs - per asset calc'!$C$38:$C$53,'kms replaced'!C48,'ICB calcs - per asset calc'!$E$38:$E$53,'kms replaced'!B48)</f>
        <v>121.06</v>
      </c>
      <c r="E48" s="217">
        <f>D48/(D48+D49)</f>
        <v>0.35871755363280788</v>
      </c>
      <c r="F48" s="203"/>
      <c r="G48" s="202"/>
      <c r="H48" s="203"/>
      <c r="I48" s="202"/>
      <c r="J48" s="203"/>
    </row>
    <row r="49" spans="1:15">
      <c r="B49" s="126" t="s">
        <v>179</v>
      </c>
      <c r="C49" s="126" t="s">
        <v>183</v>
      </c>
      <c r="D49" s="197">
        <f>SUMIFS('ICB calcs - per asset calc'!$F$38:$F$53,'ICB calcs - per asset calc'!$C$38:$C$53,'kms replaced'!C49,'ICB calcs - per asset calc'!$E$38:$E$53,'kms replaced'!B49)</f>
        <v>216.42</v>
      </c>
      <c r="E49" s="217">
        <f>1-E48</f>
        <v>0.64128244636719212</v>
      </c>
      <c r="F49" s="203"/>
      <c r="G49" s="202"/>
      <c r="H49" s="203"/>
      <c r="I49" s="202"/>
      <c r="J49" s="203"/>
    </row>
    <row r="50" spans="1:15">
      <c r="C50" s="201"/>
      <c r="D50" s="202"/>
      <c r="E50" s="218"/>
      <c r="F50" s="203"/>
      <c r="G50" s="202"/>
      <c r="H50" s="203"/>
      <c r="I50" s="202"/>
      <c r="J50" s="203"/>
    </row>
    <row r="51" spans="1:15">
      <c r="B51" s="126" t="s">
        <v>180</v>
      </c>
      <c r="C51" s="126" t="s">
        <v>177</v>
      </c>
      <c r="D51" s="197">
        <f>SUMIFS('ICB calcs - per asset calc'!$F$38:$F$53,'ICB calcs - per asset calc'!$C$38:$C$53,'kms replaced'!C51,'ICB calcs - per asset calc'!$E$38:$E$53,'kms replaced'!B51)</f>
        <v>461.77</v>
      </c>
      <c r="E51" s="217">
        <f>D51/(D51+D52)</f>
        <v>0.95785019394718829</v>
      </c>
      <c r="F51" s="203"/>
      <c r="G51" s="202"/>
      <c r="H51" s="203"/>
      <c r="I51" s="202"/>
      <c r="J51" s="203"/>
    </row>
    <row r="52" spans="1:15">
      <c r="B52" s="126" t="s">
        <v>180</v>
      </c>
      <c r="C52" s="126" t="s">
        <v>183</v>
      </c>
      <c r="D52" s="197">
        <f>SUMIFS('ICB calcs - per asset calc'!$F$38:$F$53,'ICB calcs - per asset calc'!$C$38:$C$53,'kms replaced'!C52,'ICB calcs - per asset calc'!$E$38:$E$53,'kms replaced'!B52)</f>
        <v>20.32</v>
      </c>
      <c r="E52" s="217">
        <f>1-E51</f>
        <v>4.2149806052811711E-2</v>
      </c>
      <c r="F52" s="203"/>
      <c r="G52" s="202"/>
      <c r="H52" s="203"/>
      <c r="I52" s="202"/>
      <c r="J52" s="203"/>
    </row>
    <row r="53" spans="1:15">
      <c r="D53" s="197"/>
      <c r="E53" s="204"/>
      <c r="F53" s="203"/>
      <c r="G53" s="202"/>
      <c r="H53" s="203"/>
      <c r="I53" s="202"/>
      <c r="J53" s="203"/>
    </row>
    <row r="54" spans="1:15">
      <c r="C54" s="198" t="s">
        <v>248</v>
      </c>
      <c r="D54" s="197"/>
      <c r="E54" s="204"/>
      <c r="F54" s="203"/>
      <c r="G54" s="202"/>
      <c r="H54" s="203"/>
      <c r="I54" s="202"/>
      <c r="J54" s="203"/>
    </row>
    <row r="55" spans="1:15">
      <c r="D55" s="197"/>
      <c r="E55" s="204"/>
      <c r="F55" s="203"/>
      <c r="G55" s="202"/>
      <c r="H55" s="203"/>
      <c r="I55" s="202"/>
      <c r="J55" s="203"/>
    </row>
    <row r="56" spans="1:15">
      <c r="C56" s="126" t="s">
        <v>249</v>
      </c>
      <c r="D56" s="197">
        <f>'DORC proposal'!J328</f>
        <v>266697.30330057628</v>
      </c>
      <c r="E56" s="217">
        <f>D56/$D$58</f>
        <v>0.98730315383306844</v>
      </c>
      <c r="F56" s="203"/>
      <c r="G56" s="202"/>
      <c r="H56" s="203"/>
      <c r="I56" s="202"/>
      <c r="J56" s="203"/>
    </row>
    <row r="57" spans="1:15">
      <c r="C57" s="126" t="s">
        <v>250</v>
      </c>
      <c r="D57" s="197">
        <f>'DORC proposal'!J396</f>
        <v>3429.761790992367</v>
      </c>
      <c r="E57" s="217">
        <f>D57/$D$58</f>
        <v>1.2696846166931603E-2</v>
      </c>
      <c r="F57" s="203"/>
      <c r="G57" s="202"/>
      <c r="H57" s="203"/>
      <c r="I57" s="202"/>
      <c r="J57" s="203"/>
    </row>
    <row r="58" spans="1:15" ht="17.25" thickBot="1">
      <c r="C58" s="185" t="s">
        <v>203</v>
      </c>
      <c r="D58" s="196">
        <f>D56+D57</f>
        <v>270127.06509156863</v>
      </c>
      <c r="E58" s="204"/>
      <c r="F58" s="203"/>
      <c r="G58" s="202"/>
      <c r="H58" s="203"/>
      <c r="I58" s="202"/>
      <c r="J58" s="203"/>
    </row>
    <row r="59" spans="1:15" ht="17.25" thickTop="1">
      <c r="D59" s="197"/>
      <c r="E59" s="204"/>
      <c r="F59" s="203"/>
      <c r="G59" s="202"/>
      <c r="H59" s="203"/>
      <c r="I59" s="202"/>
      <c r="J59" s="203"/>
    </row>
    <row r="60" spans="1:15">
      <c r="D60" s="197"/>
      <c r="E60" s="204"/>
      <c r="F60" s="203"/>
      <c r="G60" s="202"/>
      <c r="H60" s="203"/>
      <c r="I60" s="202"/>
      <c r="J60" s="203"/>
    </row>
    <row r="61" spans="1:15" s="150" customFormat="1">
      <c r="A61" s="150" t="s">
        <v>251</v>
      </c>
      <c r="D61" s="221"/>
      <c r="E61" s="219"/>
      <c r="F61" s="220"/>
      <c r="G61" s="221"/>
      <c r="H61" s="220"/>
      <c r="I61" s="221"/>
      <c r="J61" s="220"/>
    </row>
    <row r="62" spans="1:15" ht="17.25" thickBot="1"/>
    <row r="63" spans="1:15">
      <c r="C63" s="272" t="s">
        <v>252</v>
      </c>
      <c r="D63" s="309"/>
      <c r="E63" s="309"/>
      <c r="F63" s="309"/>
      <c r="G63" s="309"/>
      <c r="H63" s="309"/>
      <c r="I63" s="309"/>
      <c r="J63" s="309"/>
      <c r="K63" s="309"/>
      <c r="L63" s="309"/>
      <c r="M63" s="309"/>
      <c r="N63" s="309"/>
      <c r="O63" s="310"/>
    </row>
    <row r="64" spans="1:15">
      <c r="C64" s="437"/>
      <c r="D64" s="435" t="s">
        <v>253</v>
      </c>
      <c r="E64" s="435" t="s">
        <v>224</v>
      </c>
      <c r="F64" s="435" t="s">
        <v>183</v>
      </c>
      <c r="G64" s="308" t="s">
        <v>48</v>
      </c>
      <c r="H64" s="435" t="s">
        <v>254</v>
      </c>
      <c r="I64" s="435" t="s">
        <v>255</v>
      </c>
      <c r="J64" s="308" t="s">
        <v>256</v>
      </c>
      <c r="K64" s="308" t="s">
        <v>256</v>
      </c>
      <c r="L64" s="308" t="s">
        <v>257</v>
      </c>
      <c r="M64" s="308" t="s">
        <v>256</v>
      </c>
      <c r="N64" s="308" t="s">
        <v>126</v>
      </c>
      <c r="O64" s="436" t="s">
        <v>203</v>
      </c>
    </row>
    <row r="65" spans="3:27" ht="33">
      <c r="C65" s="437"/>
      <c r="D65" s="435"/>
      <c r="E65" s="435"/>
      <c r="F65" s="435"/>
      <c r="G65" s="308" t="s">
        <v>258</v>
      </c>
      <c r="H65" s="435"/>
      <c r="I65" s="435"/>
      <c r="J65" s="308" t="s">
        <v>259</v>
      </c>
      <c r="K65" s="308" t="s">
        <v>260</v>
      </c>
      <c r="L65" s="308" t="s">
        <v>227</v>
      </c>
      <c r="M65" s="308" t="s">
        <v>228</v>
      </c>
      <c r="N65" s="308" t="s">
        <v>261</v>
      </c>
      <c r="O65" s="436"/>
      <c r="R65"/>
      <c r="S65"/>
      <c r="T65"/>
      <c r="U65"/>
      <c r="V65"/>
      <c r="W65"/>
      <c r="X65"/>
      <c r="Y65"/>
      <c r="Z65"/>
      <c r="AA65"/>
    </row>
    <row r="66" spans="3:27">
      <c r="C66" s="311" t="s">
        <v>179</v>
      </c>
      <c r="D66" s="307">
        <v>0</v>
      </c>
      <c r="E66" s="307">
        <v>0</v>
      </c>
      <c r="F66" s="307">
        <v>0</v>
      </c>
      <c r="G66" s="307">
        <v>6</v>
      </c>
      <c r="H66" s="307">
        <v>0</v>
      </c>
      <c r="I66" s="307">
        <v>0</v>
      </c>
      <c r="J66" s="307">
        <v>0</v>
      </c>
      <c r="K66" s="307">
        <v>0</v>
      </c>
      <c r="L66" s="307">
        <v>0</v>
      </c>
      <c r="M66" s="307">
        <v>21</v>
      </c>
      <c r="N66" s="307">
        <v>0</v>
      </c>
      <c r="O66" s="316">
        <v>27</v>
      </c>
      <c r="R66"/>
      <c r="S66"/>
      <c r="T66"/>
      <c r="U66"/>
      <c r="V66"/>
      <c r="W66"/>
      <c r="X66"/>
      <c r="Y66"/>
      <c r="Z66"/>
      <c r="AA66"/>
    </row>
    <row r="67" spans="3:27">
      <c r="C67" s="311" t="s">
        <v>180</v>
      </c>
      <c r="D67" s="307">
        <v>0</v>
      </c>
      <c r="E67" s="307">
        <v>1</v>
      </c>
      <c r="F67" s="307">
        <v>0</v>
      </c>
      <c r="G67" s="307">
        <v>480</v>
      </c>
      <c r="H67" s="307">
        <v>0</v>
      </c>
      <c r="I67" s="307">
        <v>0</v>
      </c>
      <c r="J67" s="307">
        <v>0</v>
      </c>
      <c r="K67" s="307">
        <v>379.8</v>
      </c>
      <c r="L67" s="307">
        <v>1387</v>
      </c>
      <c r="M67" s="307">
        <v>657.9</v>
      </c>
      <c r="N67" s="307">
        <v>0</v>
      </c>
      <c r="O67" s="316">
        <v>2905.7</v>
      </c>
      <c r="R67"/>
      <c r="S67"/>
      <c r="T67"/>
      <c r="U67"/>
      <c r="V67"/>
      <c r="W67"/>
      <c r="X67"/>
      <c r="Y67"/>
      <c r="Z67"/>
      <c r="AA67"/>
    </row>
    <row r="68" spans="3:27">
      <c r="C68" s="311" t="s">
        <v>181</v>
      </c>
      <c r="D68" s="307">
        <v>0</v>
      </c>
      <c r="E68" s="307">
        <v>0</v>
      </c>
      <c r="F68" s="307">
        <v>0</v>
      </c>
      <c r="G68" s="307">
        <v>1140</v>
      </c>
      <c r="H68" s="307">
        <v>0</v>
      </c>
      <c r="I68" s="307">
        <v>0</v>
      </c>
      <c r="J68" s="307">
        <v>0</v>
      </c>
      <c r="K68" s="307">
        <v>405.7</v>
      </c>
      <c r="L68" s="307">
        <v>1926</v>
      </c>
      <c r="M68" s="307">
        <v>2224.8000000000002</v>
      </c>
      <c r="N68" s="307">
        <v>0</v>
      </c>
      <c r="O68" s="316">
        <v>5696.5</v>
      </c>
      <c r="R68"/>
      <c r="S68"/>
      <c r="T68"/>
      <c r="U68"/>
      <c r="V68"/>
      <c r="W68"/>
      <c r="X68"/>
      <c r="Y68"/>
      <c r="Z68"/>
      <c r="AA68"/>
    </row>
    <row r="69" spans="3:27">
      <c r="C69" s="311" t="s">
        <v>182</v>
      </c>
      <c r="D69" s="307">
        <v>0</v>
      </c>
      <c r="E69" s="307">
        <v>0</v>
      </c>
      <c r="F69" s="307">
        <v>0</v>
      </c>
      <c r="G69" s="307">
        <v>214</v>
      </c>
      <c r="H69" s="307">
        <v>0</v>
      </c>
      <c r="I69" s="307">
        <v>0</v>
      </c>
      <c r="J69" s="307">
        <v>0</v>
      </c>
      <c r="K69" s="307">
        <v>0</v>
      </c>
      <c r="L69" s="307">
        <v>0</v>
      </c>
      <c r="M69" s="307">
        <v>0</v>
      </c>
      <c r="N69" s="307">
        <v>0</v>
      </c>
      <c r="O69" s="316">
        <v>214</v>
      </c>
      <c r="R69"/>
      <c r="S69"/>
      <c r="T69"/>
      <c r="U69"/>
      <c r="V69"/>
      <c r="W69"/>
      <c r="X69"/>
      <c r="Y69"/>
      <c r="Z69"/>
      <c r="AA69"/>
    </row>
    <row r="70" spans="3:27">
      <c r="C70" s="314" t="s">
        <v>203</v>
      </c>
      <c r="D70" s="315">
        <v>0</v>
      </c>
      <c r="E70" s="315">
        <v>1</v>
      </c>
      <c r="F70" s="315">
        <v>0</v>
      </c>
      <c r="G70" s="315">
        <v>1840</v>
      </c>
      <c r="H70" s="315">
        <v>0</v>
      </c>
      <c r="I70" s="315">
        <v>0</v>
      </c>
      <c r="J70" s="315">
        <v>0</v>
      </c>
      <c r="K70" s="315">
        <v>786</v>
      </c>
      <c r="L70" s="315">
        <v>3313</v>
      </c>
      <c r="M70" s="315">
        <v>2904</v>
      </c>
      <c r="N70" s="315">
        <v>0</v>
      </c>
      <c r="O70" s="317">
        <v>8843</v>
      </c>
      <c r="R70"/>
      <c r="S70"/>
      <c r="T70"/>
      <c r="U70"/>
      <c r="V70"/>
      <c r="W70"/>
      <c r="X70"/>
      <c r="Y70"/>
      <c r="Z70"/>
      <c r="AA70"/>
    </row>
    <row r="71" spans="3:27">
      <c r="C71" s="312" t="s">
        <v>262</v>
      </c>
      <c r="D71" s="306"/>
      <c r="E71" s="306"/>
      <c r="F71" s="306"/>
      <c r="G71" s="306"/>
      <c r="H71" s="306"/>
      <c r="I71" s="306"/>
      <c r="J71" s="306"/>
      <c r="K71" s="306"/>
      <c r="L71" s="306"/>
      <c r="M71" s="306"/>
      <c r="N71" s="306"/>
      <c r="O71" s="313"/>
      <c r="R71"/>
      <c r="S71"/>
      <c r="T71"/>
      <c r="U71"/>
      <c r="V71"/>
      <c r="W71"/>
      <c r="X71"/>
      <c r="Y71"/>
      <c r="Z71"/>
      <c r="AA71"/>
    </row>
    <row r="72" spans="3:27">
      <c r="C72" s="437"/>
      <c r="D72" s="435" t="s">
        <v>253</v>
      </c>
      <c r="E72" s="435" t="s">
        <v>224</v>
      </c>
      <c r="F72" s="435" t="s">
        <v>183</v>
      </c>
      <c r="G72" s="308" t="s">
        <v>48</v>
      </c>
      <c r="H72" s="435" t="s">
        <v>254</v>
      </c>
      <c r="I72" s="435" t="s">
        <v>255</v>
      </c>
      <c r="J72" s="308" t="s">
        <v>256</v>
      </c>
      <c r="K72" s="308" t="s">
        <v>256</v>
      </c>
      <c r="L72" s="308" t="s">
        <v>257</v>
      </c>
      <c r="M72" s="308" t="s">
        <v>256</v>
      </c>
      <c r="N72" s="308" t="s">
        <v>126</v>
      </c>
      <c r="O72" s="436" t="s">
        <v>203</v>
      </c>
      <c r="R72"/>
      <c r="S72"/>
      <c r="T72"/>
      <c r="U72"/>
      <c r="V72"/>
      <c r="W72"/>
      <c r="X72"/>
      <c r="Y72"/>
      <c r="Z72"/>
      <c r="AA72"/>
    </row>
    <row r="73" spans="3:27" ht="33">
      <c r="C73" s="437"/>
      <c r="D73" s="435"/>
      <c r="E73" s="435"/>
      <c r="F73" s="435"/>
      <c r="G73" s="308" t="s">
        <v>258</v>
      </c>
      <c r="H73" s="435"/>
      <c r="I73" s="435"/>
      <c r="J73" s="308" t="s">
        <v>259</v>
      </c>
      <c r="K73" s="308" t="s">
        <v>260</v>
      </c>
      <c r="L73" s="308" t="s">
        <v>227</v>
      </c>
      <c r="M73" s="308" t="s">
        <v>228</v>
      </c>
      <c r="N73" s="308" t="s">
        <v>261</v>
      </c>
      <c r="O73" s="436"/>
      <c r="R73"/>
      <c r="S73"/>
      <c r="T73"/>
      <c r="U73"/>
      <c r="V73"/>
      <c r="W73"/>
      <c r="X73"/>
      <c r="Y73"/>
      <c r="Z73"/>
      <c r="AA73"/>
    </row>
    <row r="74" spans="3:27">
      <c r="C74" s="311" t="s">
        <v>179</v>
      </c>
      <c r="D74" s="307">
        <v>300</v>
      </c>
      <c r="E74" s="307">
        <v>0</v>
      </c>
      <c r="F74" s="307">
        <v>32</v>
      </c>
      <c r="G74" s="307">
        <v>17</v>
      </c>
      <c r="H74" s="307">
        <v>0</v>
      </c>
      <c r="I74" s="307">
        <v>0</v>
      </c>
      <c r="J74" s="307">
        <v>118</v>
      </c>
      <c r="K74" s="307">
        <v>36</v>
      </c>
      <c r="L74" s="307">
        <v>44</v>
      </c>
      <c r="M74" s="307">
        <v>30</v>
      </c>
      <c r="N74" s="307">
        <v>0</v>
      </c>
      <c r="O74" s="316">
        <v>577</v>
      </c>
      <c r="R74"/>
      <c r="S74"/>
      <c r="T74"/>
      <c r="U74"/>
      <c r="V74"/>
      <c r="W74"/>
      <c r="X74"/>
      <c r="Y74"/>
      <c r="Z74"/>
      <c r="AA74"/>
    </row>
    <row r="75" spans="3:27">
      <c r="C75" s="311" t="s">
        <v>180</v>
      </c>
      <c r="D75" s="307">
        <v>7</v>
      </c>
      <c r="E75" s="307">
        <v>1</v>
      </c>
      <c r="F75" s="307">
        <v>1</v>
      </c>
      <c r="G75" s="307">
        <v>480</v>
      </c>
      <c r="H75" s="307">
        <v>0</v>
      </c>
      <c r="I75" s="307">
        <v>0</v>
      </c>
      <c r="J75" s="307">
        <v>14</v>
      </c>
      <c r="K75" s="307">
        <v>470.2</v>
      </c>
      <c r="L75" s="307">
        <v>1387</v>
      </c>
      <c r="M75" s="307">
        <v>538.5</v>
      </c>
      <c r="N75" s="307">
        <v>0</v>
      </c>
      <c r="O75" s="316">
        <v>2898.7</v>
      </c>
      <c r="R75"/>
      <c r="S75"/>
      <c r="T75"/>
      <c r="U75"/>
      <c r="V75"/>
      <c r="W75"/>
      <c r="X75"/>
      <c r="Y75"/>
      <c r="Z75"/>
      <c r="AA75"/>
    </row>
    <row r="76" spans="3:27">
      <c r="C76" s="311" t="s">
        <v>181</v>
      </c>
      <c r="D76" s="307">
        <v>0</v>
      </c>
      <c r="E76" s="307">
        <v>0</v>
      </c>
      <c r="F76" s="307">
        <v>0</v>
      </c>
      <c r="G76" s="307">
        <v>1140</v>
      </c>
      <c r="H76" s="307">
        <v>0</v>
      </c>
      <c r="I76" s="307">
        <v>0</v>
      </c>
      <c r="J76" s="307">
        <v>0</v>
      </c>
      <c r="K76" s="307">
        <v>603.20000000000005</v>
      </c>
      <c r="L76" s="307">
        <v>1926</v>
      </c>
      <c r="M76" s="307">
        <v>1134.3</v>
      </c>
      <c r="N76" s="307">
        <v>0</v>
      </c>
      <c r="O76" s="316">
        <v>4803.5</v>
      </c>
      <c r="R76"/>
      <c r="S76"/>
      <c r="T76"/>
      <c r="U76"/>
      <c r="V76"/>
      <c r="W76"/>
      <c r="X76"/>
      <c r="Y76"/>
      <c r="Z76"/>
      <c r="AA76"/>
    </row>
    <row r="77" spans="3:27">
      <c r="C77" s="311" t="s">
        <v>182</v>
      </c>
      <c r="D77" s="307">
        <v>0</v>
      </c>
      <c r="E77" s="307">
        <v>0</v>
      </c>
      <c r="F77" s="307">
        <v>0</v>
      </c>
      <c r="G77" s="307">
        <v>214</v>
      </c>
      <c r="H77" s="307">
        <v>0</v>
      </c>
      <c r="I77" s="307">
        <v>0</v>
      </c>
      <c r="J77" s="307">
        <v>0</v>
      </c>
      <c r="K77" s="307">
        <v>0</v>
      </c>
      <c r="L77" s="307">
        <v>0</v>
      </c>
      <c r="M77" s="307">
        <v>0</v>
      </c>
      <c r="N77" s="307">
        <v>0</v>
      </c>
      <c r="O77" s="316">
        <v>214</v>
      </c>
      <c r="R77"/>
      <c r="S77"/>
      <c r="T77"/>
      <c r="U77"/>
      <c r="V77"/>
      <c r="W77"/>
      <c r="X77"/>
      <c r="Y77"/>
      <c r="Z77"/>
      <c r="AA77"/>
    </row>
    <row r="78" spans="3:27">
      <c r="C78" s="314" t="s">
        <v>203</v>
      </c>
      <c r="D78" s="315">
        <v>307</v>
      </c>
      <c r="E78" s="315">
        <v>1</v>
      </c>
      <c r="F78" s="315">
        <v>33</v>
      </c>
      <c r="G78" s="315">
        <v>1851</v>
      </c>
      <c r="H78" s="315">
        <v>0</v>
      </c>
      <c r="I78" s="315">
        <v>0</v>
      </c>
      <c r="J78" s="315">
        <v>132</v>
      </c>
      <c r="K78" s="315">
        <v>1109.4000000000001</v>
      </c>
      <c r="L78" s="315">
        <v>3357</v>
      </c>
      <c r="M78" s="315">
        <v>1702.8</v>
      </c>
      <c r="N78" s="315">
        <v>0</v>
      </c>
      <c r="O78" s="317">
        <v>8493.2000000000007</v>
      </c>
      <c r="R78"/>
      <c r="S78"/>
      <c r="T78"/>
      <c r="U78"/>
      <c r="V78"/>
      <c r="W78"/>
      <c r="X78"/>
      <c r="Y78"/>
      <c r="Z78"/>
      <c r="AA78"/>
    </row>
    <row r="79" spans="3:27">
      <c r="C79" s="312" t="s">
        <v>263</v>
      </c>
      <c r="D79" s="306"/>
      <c r="E79" s="306"/>
      <c r="F79" s="306"/>
      <c r="G79" s="306"/>
      <c r="H79" s="306"/>
      <c r="I79" s="306"/>
      <c r="J79" s="306"/>
      <c r="K79" s="306"/>
      <c r="L79" s="306"/>
      <c r="M79" s="306"/>
      <c r="N79" s="306"/>
      <c r="O79" s="313"/>
      <c r="R79"/>
      <c r="S79"/>
      <c r="T79"/>
      <c r="U79"/>
      <c r="V79"/>
      <c r="W79"/>
      <c r="X79"/>
      <c r="Y79"/>
      <c r="Z79"/>
      <c r="AA79"/>
    </row>
    <row r="80" spans="3:27">
      <c r="C80" s="437"/>
      <c r="D80" s="435" t="s">
        <v>253</v>
      </c>
      <c r="E80" s="435" t="s">
        <v>224</v>
      </c>
      <c r="F80" s="435" t="s">
        <v>183</v>
      </c>
      <c r="G80" s="308" t="s">
        <v>48</v>
      </c>
      <c r="H80" s="435" t="s">
        <v>254</v>
      </c>
      <c r="I80" s="435" t="s">
        <v>255</v>
      </c>
      <c r="J80" s="308" t="s">
        <v>256</v>
      </c>
      <c r="K80" s="308" t="s">
        <v>256</v>
      </c>
      <c r="L80" s="308" t="s">
        <v>257</v>
      </c>
      <c r="M80" s="308" t="s">
        <v>256</v>
      </c>
      <c r="N80" s="308" t="s">
        <v>126</v>
      </c>
      <c r="O80" s="436" t="s">
        <v>203</v>
      </c>
      <c r="R80"/>
      <c r="S80"/>
      <c r="T80"/>
      <c r="U80"/>
      <c r="V80"/>
      <c r="W80"/>
      <c r="X80"/>
      <c r="Y80"/>
      <c r="Z80"/>
      <c r="AA80"/>
    </row>
    <row r="81" spans="2:27" ht="33">
      <c r="C81" s="437"/>
      <c r="D81" s="435"/>
      <c r="E81" s="435"/>
      <c r="F81" s="435"/>
      <c r="G81" s="308" t="s">
        <v>258</v>
      </c>
      <c r="H81" s="435"/>
      <c r="I81" s="435"/>
      <c r="J81" s="308" t="s">
        <v>259</v>
      </c>
      <c r="K81" s="308" t="s">
        <v>260</v>
      </c>
      <c r="L81" s="308" t="s">
        <v>227</v>
      </c>
      <c r="M81" s="308" t="s">
        <v>228</v>
      </c>
      <c r="N81" s="308" t="s">
        <v>261</v>
      </c>
      <c r="O81" s="436"/>
      <c r="R81"/>
      <c r="S81"/>
      <c r="T81"/>
      <c r="U81"/>
      <c r="V81"/>
      <c r="W81"/>
      <c r="X81"/>
      <c r="Y81"/>
      <c r="Z81"/>
      <c r="AA81"/>
    </row>
    <row r="82" spans="2:27">
      <c r="C82" s="311" t="s">
        <v>179</v>
      </c>
      <c r="D82" s="307">
        <v>373</v>
      </c>
      <c r="E82" s="307">
        <v>0</v>
      </c>
      <c r="F82" s="307">
        <v>36</v>
      </c>
      <c r="G82" s="307">
        <v>15</v>
      </c>
      <c r="H82" s="307">
        <v>0</v>
      </c>
      <c r="I82" s="307">
        <v>0</v>
      </c>
      <c r="J82" s="307">
        <v>155</v>
      </c>
      <c r="K82" s="307">
        <v>48</v>
      </c>
      <c r="L82" s="307">
        <v>58</v>
      </c>
      <c r="M82" s="307">
        <v>12</v>
      </c>
      <c r="N82" s="307">
        <v>0</v>
      </c>
      <c r="O82" s="316">
        <v>697</v>
      </c>
      <c r="R82"/>
      <c r="S82"/>
      <c r="T82"/>
      <c r="U82"/>
      <c r="V82"/>
      <c r="W82"/>
      <c r="X82"/>
      <c r="Y82"/>
      <c r="Z82"/>
      <c r="AA82"/>
    </row>
    <row r="83" spans="2:27">
      <c r="C83" s="311" t="s">
        <v>180</v>
      </c>
      <c r="D83" s="307">
        <v>17</v>
      </c>
      <c r="E83" s="307">
        <v>1</v>
      </c>
      <c r="F83" s="307">
        <v>4</v>
      </c>
      <c r="G83" s="307">
        <v>480</v>
      </c>
      <c r="H83" s="307">
        <v>0</v>
      </c>
      <c r="I83" s="307">
        <v>0</v>
      </c>
      <c r="J83" s="307">
        <v>125</v>
      </c>
      <c r="K83" s="307">
        <v>491</v>
      </c>
      <c r="L83" s="307">
        <v>1387</v>
      </c>
      <c r="M83" s="307">
        <v>396</v>
      </c>
      <c r="N83" s="307">
        <v>0</v>
      </c>
      <c r="O83" s="316">
        <v>2901</v>
      </c>
      <c r="R83"/>
      <c r="S83"/>
      <c r="T83"/>
      <c r="U83"/>
      <c r="V83"/>
      <c r="W83"/>
      <c r="X83"/>
      <c r="Y83"/>
      <c r="Z83"/>
      <c r="AA83"/>
    </row>
    <row r="84" spans="2:27">
      <c r="C84" s="311" t="s">
        <v>181</v>
      </c>
      <c r="D84" s="307">
        <v>0</v>
      </c>
      <c r="E84" s="307">
        <v>0</v>
      </c>
      <c r="F84" s="307">
        <v>0</v>
      </c>
      <c r="G84" s="307">
        <v>1140</v>
      </c>
      <c r="H84" s="307">
        <v>0</v>
      </c>
      <c r="I84" s="307">
        <v>0</v>
      </c>
      <c r="J84" s="307">
        <v>0</v>
      </c>
      <c r="K84" s="307">
        <v>765</v>
      </c>
      <c r="L84" s="307">
        <v>1926</v>
      </c>
      <c r="M84" s="307">
        <v>711</v>
      </c>
      <c r="N84" s="307">
        <v>0</v>
      </c>
      <c r="O84" s="316">
        <v>4542</v>
      </c>
      <c r="R84"/>
      <c r="S84"/>
      <c r="T84"/>
      <c r="U84"/>
      <c r="V84"/>
      <c r="W84"/>
      <c r="X84"/>
      <c r="Y84"/>
      <c r="Z84"/>
      <c r="AA84"/>
    </row>
    <row r="85" spans="2:27">
      <c r="C85" s="311" t="s">
        <v>182</v>
      </c>
      <c r="D85" s="307">
        <v>0</v>
      </c>
      <c r="E85" s="307">
        <v>0</v>
      </c>
      <c r="F85" s="307">
        <v>0</v>
      </c>
      <c r="G85" s="307">
        <v>214</v>
      </c>
      <c r="H85" s="307">
        <v>0</v>
      </c>
      <c r="I85" s="307">
        <v>0</v>
      </c>
      <c r="J85" s="307">
        <v>0</v>
      </c>
      <c r="K85" s="307">
        <v>0</v>
      </c>
      <c r="L85" s="307">
        <v>0</v>
      </c>
      <c r="M85" s="307">
        <v>0</v>
      </c>
      <c r="N85" s="307">
        <v>0</v>
      </c>
      <c r="O85" s="316">
        <v>214</v>
      </c>
      <c r="R85"/>
      <c r="S85"/>
      <c r="T85"/>
      <c r="U85"/>
      <c r="V85"/>
      <c r="W85"/>
      <c r="X85"/>
      <c r="Y85"/>
      <c r="Z85"/>
      <c r="AA85"/>
    </row>
    <row r="86" spans="2:27" ht="17.25" thickBot="1">
      <c r="C86" s="318" t="s">
        <v>203</v>
      </c>
      <c r="D86" s="319">
        <v>390</v>
      </c>
      <c r="E86" s="319">
        <v>1</v>
      </c>
      <c r="F86" s="319">
        <v>40</v>
      </c>
      <c r="G86" s="319">
        <v>1850</v>
      </c>
      <c r="H86" s="319">
        <v>0</v>
      </c>
      <c r="I86" s="319">
        <v>0</v>
      </c>
      <c r="J86" s="319">
        <v>279</v>
      </c>
      <c r="K86" s="319">
        <v>1304</v>
      </c>
      <c r="L86" s="319">
        <v>3372</v>
      </c>
      <c r="M86" s="319">
        <v>1118</v>
      </c>
      <c r="N86" s="319">
        <v>0</v>
      </c>
      <c r="O86" s="320">
        <v>8354</v>
      </c>
      <c r="R86"/>
      <c r="S86"/>
      <c r="T86"/>
      <c r="U86"/>
      <c r="V86"/>
      <c r="W86"/>
      <c r="X86"/>
      <c r="Y86"/>
      <c r="Z86"/>
      <c r="AA86"/>
    </row>
    <row r="87" spans="2:27">
      <c r="R87"/>
      <c r="S87"/>
      <c r="T87"/>
      <c r="U87"/>
      <c r="V87"/>
      <c r="W87"/>
      <c r="X87"/>
      <c r="Y87"/>
      <c r="Z87"/>
      <c r="AA87"/>
    </row>
    <row r="88" spans="2:27">
      <c r="R88"/>
      <c r="S88"/>
      <c r="T88"/>
      <c r="U88"/>
      <c r="V88"/>
      <c r="W88"/>
      <c r="X88"/>
      <c r="Y88"/>
      <c r="Z88"/>
      <c r="AA88"/>
    </row>
    <row r="90" spans="2:27">
      <c r="B90"/>
      <c r="C90"/>
      <c r="D90"/>
      <c r="E90"/>
      <c r="F90"/>
      <c r="G90"/>
      <c r="H90"/>
      <c r="I90"/>
    </row>
    <row r="91" spans="2:27">
      <c r="B91"/>
      <c r="C91"/>
      <c r="D91"/>
      <c r="E91"/>
      <c r="F91"/>
      <c r="G91"/>
      <c r="H91"/>
      <c r="I91"/>
      <c r="J91"/>
      <c r="K91"/>
      <c r="L91"/>
    </row>
    <row r="92" spans="2:27">
      <c r="B92"/>
      <c r="C92"/>
      <c r="D92"/>
      <c r="E92"/>
      <c r="F92"/>
      <c r="G92"/>
      <c r="H92"/>
      <c r="I92"/>
      <c r="J92"/>
      <c r="K92"/>
      <c r="L92"/>
    </row>
    <row r="93" spans="2:27">
      <c r="B93"/>
      <c r="C93"/>
      <c r="D93"/>
      <c r="E93"/>
      <c r="F93"/>
      <c r="G93"/>
      <c r="H93"/>
      <c r="I93"/>
      <c r="J93"/>
      <c r="K93"/>
      <c r="L93"/>
    </row>
    <row r="94" spans="2:27">
      <c r="B94"/>
      <c r="C94"/>
      <c r="D94"/>
      <c r="E94"/>
      <c r="F94"/>
      <c r="G94"/>
      <c r="H94"/>
      <c r="I94"/>
      <c r="J94"/>
      <c r="K94"/>
      <c r="L94"/>
    </row>
    <row r="95" spans="2:27">
      <c r="B95"/>
      <c r="C95"/>
      <c r="D95"/>
      <c r="E95"/>
      <c r="F95"/>
      <c r="G95"/>
      <c r="H95"/>
      <c r="I95"/>
      <c r="J95"/>
      <c r="K95"/>
      <c r="L95"/>
    </row>
    <row r="96" spans="2:27">
      <c r="B96"/>
      <c r="C96"/>
      <c r="D96"/>
      <c r="E96"/>
      <c r="F96"/>
      <c r="G96"/>
      <c r="H96"/>
      <c r="I96"/>
      <c r="J96"/>
      <c r="K96"/>
      <c r="L96"/>
    </row>
    <row r="97" spans="2:12">
      <c r="B97"/>
      <c r="C97"/>
      <c r="D97"/>
      <c r="E97"/>
      <c r="F97"/>
      <c r="G97"/>
      <c r="H97"/>
      <c r="I97"/>
      <c r="J97"/>
      <c r="K97"/>
      <c r="L97"/>
    </row>
    <row r="98" spans="2:12">
      <c r="B98"/>
      <c r="C98"/>
      <c r="D98"/>
      <c r="E98"/>
      <c r="F98"/>
      <c r="G98"/>
      <c r="H98"/>
      <c r="I98"/>
      <c r="J98"/>
      <c r="K98"/>
      <c r="L98"/>
    </row>
    <row r="99" spans="2:12">
      <c r="I99"/>
      <c r="J99"/>
      <c r="K99"/>
      <c r="L99"/>
    </row>
  </sheetData>
  <mergeCells count="21">
    <mergeCell ref="I80:I81"/>
    <mergeCell ref="O80:O81"/>
    <mergeCell ref="C80:C81"/>
    <mergeCell ref="D80:D81"/>
    <mergeCell ref="E80:E81"/>
    <mergeCell ref="F80:F81"/>
    <mergeCell ref="H80:H81"/>
    <mergeCell ref="I64:I65"/>
    <mergeCell ref="O64:O65"/>
    <mergeCell ref="C72:C73"/>
    <mergeCell ref="D72:D73"/>
    <mergeCell ref="E72:E73"/>
    <mergeCell ref="F72:F73"/>
    <mergeCell ref="H72:H73"/>
    <mergeCell ref="I72:I73"/>
    <mergeCell ref="O72:O73"/>
    <mergeCell ref="C64:C65"/>
    <mergeCell ref="D64:D65"/>
    <mergeCell ref="E64:E65"/>
    <mergeCell ref="F64:F65"/>
    <mergeCell ref="H64:H65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1C376B"/>
  </sheetPr>
  <dimension ref="A1:X40"/>
  <sheetViews>
    <sheetView zoomScale="124" zoomScaleNormal="124" workbookViewId="0">
      <selection activeCell="U22" sqref="U22"/>
    </sheetView>
  </sheetViews>
  <sheetFormatPr defaultRowHeight="16.5"/>
  <cols>
    <col min="1" max="3" width="9.140625" style="126"/>
    <col min="4" max="4" width="44" style="126" bestFit="1" customWidth="1"/>
    <col min="5" max="5" width="9.140625" style="126"/>
    <col min="6" max="6" width="12.140625" style="126" bestFit="1" customWidth="1"/>
    <col min="7" max="16" width="9.140625" style="126"/>
    <col min="17" max="17" width="10.42578125" style="126" bestFit="1" customWidth="1"/>
    <col min="18" max="16384" width="9.140625" style="126"/>
  </cols>
  <sheetData>
    <row r="1" spans="1:19">
      <c r="A1" s="127" t="s">
        <v>264</v>
      </c>
    </row>
    <row r="2" spans="1:19">
      <c r="S2" s="168" t="s">
        <v>134</v>
      </c>
    </row>
    <row r="3" spans="1:19">
      <c r="D3" s="126" t="s">
        <v>265</v>
      </c>
      <c r="E3" s="188">
        <f>[1]Inflation!$D$14</f>
        <v>122.9979511818771</v>
      </c>
      <c r="S3" s="167" t="s">
        <v>141</v>
      </c>
    </row>
    <row r="4" spans="1:19">
      <c r="D4" s="126" t="s">
        <v>266</v>
      </c>
      <c r="E4" s="188">
        <f>[1]Inflation!$L$12</f>
        <v>147.5</v>
      </c>
      <c r="S4" s="167" t="s">
        <v>141</v>
      </c>
    </row>
    <row r="5" spans="1:19">
      <c r="S5" s="167"/>
    </row>
    <row r="6" spans="1:19">
      <c r="D6" s="126" t="s">
        <v>267</v>
      </c>
      <c r="E6" s="189">
        <f>'[1]SA RAB Roll Fwd 1999-2011'!$N$688</f>
        <v>1.1425313263632406</v>
      </c>
      <c r="S6" s="167" t="s">
        <v>141</v>
      </c>
    </row>
    <row r="8" spans="1:19">
      <c r="F8" s="127">
        <v>2011</v>
      </c>
      <c r="G8" s="127">
        <f>F8+1</f>
        <v>2012</v>
      </c>
      <c r="H8" s="127">
        <f t="shared" ref="H8:K8" si="0">G8+1</f>
        <v>2013</v>
      </c>
      <c r="I8" s="127">
        <f t="shared" si="0"/>
        <v>2014</v>
      </c>
      <c r="J8" s="127">
        <f t="shared" si="0"/>
        <v>2015</v>
      </c>
      <c r="K8" s="127">
        <f t="shared" si="0"/>
        <v>2016</v>
      </c>
      <c r="L8" s="127">
        <f t="shared" ref="L8" si="1">K8+1</f>
        <v>2017</v>
      </c>
      <c r="M8" s="127">
        <f t="shared" ref="M8" si="2">L8+1</f>
        <v>2018</v>
      </c>
      <c r="N8" s="127">
        <f t="shared" ref="N8" si="3">M8+1</f>
        <v>2019</v>
      </c>
      <c r="O8" s="127">
        <f t="shared" ref="O8" si="4">N8+1</f>
        <v>2020</v>
      </c>
      <c r="P8" s="127">
        <f t="shared" ref="P8" si="5">O8+1</f>
        <v>2021</v>
      </c>
    </row>
    <row r="9" spans="1:19">
      <c r="D9" s="126" t="s">
        <v>268</v>
      </c>
      <c r="F9" s="180">
        <f>[2]Input!G177</f>
        <v>3.3333333333333215E-2</v>
      </c>
      <c r="G9" s="180">
        <f>[2]Input!H177</f>
        <v>1.5846066779853007E-2</v>
      </c>
      <c r="H9" s="180">
        <f>[2]Input!I177</f>
        <v>2.5025025025025016E-2</v>
      </c>
      <c r="I9" s="180">
        <f>[2]Input!J177</f>
        <v>2.9296875E-2</v>
      </c>
      <c r="J9" s="180">
        <f>[2]Input!K177</f>
        <v>1.3282732447817747E-2</v>
      </c>
      <c r="K9" s="180">
        <f>[2]Input!L177</f>
        <v>1.3108614232209881E-2</v>
      </c>
      <c r="S9" s="167" t="s">
        <v>269</v>
      </c>
    </row>
    <row r="10" spans="1:19">
      <c r="D10" s="126" t="s">
        <v>270</v>
      </c>
      <c r="K10" s="180">
        <f>'[3]RFM input'!G282</f>
        <v>1.3108614232209881E-2</v>
      </c>
      <c r="L10" s="180">
        <f>'[3]RFM input'!H282</f>
        <v>1.4760147601476037E-2</v>
      </c>
      <c r="M10" s="180">
        <f>'[3]RFM input'!I282</f>
        <v>1.9090909090909047E-2</v>
      </c>
      <c r="N10" s="180">
        <f>'[3]RFM input'!J282</f>
        <v>1.7841213202497874E-2</v>
      </c>
      <c r="O10" s="180">
        <f>'[3]RFM input'!K282</f>
        <v>1.8404907975460238E-2</v>
      </c>
      <c r="P10" s="180">
        <f>'[3]RFM input'!L282</f>
        <v>0.02</v>
      </c>
      <c r="S10" s="167" t="s">
        <v>271</v>
      </c>
    </row>
    <row r="12" spans="1:19">
      <c r="D12" s="126" t="s">
        <v>272</v>
      </c>
      <c r="F12" s="222">
        <f>'[1]SA RAB Roll Fwd 1999-2011'!$O$21</f>
        <v>370.40335403875167</v>
      </c>
    </row>
    <row r="13" spans="1:19">
      <c r="D13" s="126" t="s">
        <v>273</v>
      </c>
      <c r="F13" s="223">
        <f>'[1]SA RAB Roll Fwd 1999-2011'!$O$29</f>
        <v>173.14872578234971</v>
      </c>
    </row>
    <row r="14" spans="1:19">
      <c r="D14" s="126" t="s">
        <v>274</v>
      </c>
      <c r="F14" s="224">
        <f>'[1]SA RAB Roll Fwd 1999-2011'!$T$20</f>
        <v>47</v>
      </c>
    </row>
    <row r="15" spans="1:19">
      <c r="D15" s="126" t="s">
        <v>275</v>
      </c>
      <c r="F15" s="224">
        <f>'[1]SA RAB Roll Fwd 1999-2011'!$T$28</f>
        <v>27</v>
      </c>
    </row>
    <row r="16" spans="1:19" s="138" customFormat="1">
      <c r="F16" s="190"/>
    </row>
    <row r="17" spans="4:24" s="138" customFormat="1">
      <c r="F17" s="193" t="s">
        <v>276</v>
      </c>
      <c r="G17" s="146" t="s">
        <v>277</v>
      </c>
      <c r="H17" s="146">
        <v>2011</v>
      </c>
      <c r="I17" s="146">
        <f>H17+1</f>
        <v>2012</v>
      </c>
      <c r="J17" s="146">
        <f t="shared" ref="J17:M17" si="6">I17+1</f>
        <v>2013</v>
      </c>
      <c r="K17" s="146">
        <f t="shared" si="6"/>
        <v>2014</v>
      </c>
      <c r="L17" s="146">
        <f t="shared" si="6"/>
        <v>2015</v>
      </c>
      <c r="M17" s="146">
        <f t="shared" si="6"/>
        <v>2016</v>
      </c>
      <c r="N17" s="146">
        <f t="shared" ref="N17" si="7">M17+1</f>
        <v>2017</v>
      </c>
      <c r="O17" s="146">
        <f t="shared" ref="O17" si="8">N17+1</f>
        <v>2018</v>
      </c>
      <c r="P17" s="146">
        <f t="shared" ref="P17" si="9">O17+1</f>
        <v>2019</v>
      </c>
      <c r="Q17" s="146">
        <f t="shared" ref="Q17" si="10">P17+1</f>
        <v>2020</v>
      </c>
      <c r="R17" s="146">
        <f t="shared" ref="R17" si="11">Q17+1</f>
        <v>2021</v>
      </c>
    </row>
    <row r="18" spans="4:24" s="138" customFormat="1">
      <c r="D18" s="192" t="s">
        <v>278</v>
      </c>
      <c r="F18" s="191">
        <f>E4/E3</f>
        <v>1.199206967129816</v>
      </c>
      <c r="G18" s="191">
        <f>F18*E6</f>
        <v>1.3701315267388678</v>
      </c>
      <c r="H18" s="191">
        <f t="shared" ref="H18:M18" si="12">G18*(1+F9)</f>
        <v>1.4158025776301633</v>
      </c>
      <c r="I18" s="191">
        <f t="shared" si="12"/>
        <v>1.4382374798223789</v>
      </c>
      <c r="J18" s="191">
        <f t="shared" si="12"/>
        <v>1.4742294087468628</v>
      </c>
      <c r="K18" s="191">
        <f t="shared" si="12"/>
        <v>1.5174197234562437</v>
      </c>
      <c r="L18" s="191">
        <f t="shared" si="12"/>
        <v>1.5375752036539545</v>
      </c>
      <c r="M18" s="191">
        <f t="shared" si="12"/>
        <v>1.5577306838516658</v>
      </c>
      <c r="N18" s="191">
        <f>M18*(1+L10)</f>
        <v>1.5807230186686645</v>
      </c>
      <c r="O18" s="191">
        <f>N18*(1+M10)</f>
        <v>1.6109004581159754</v>
      </c>
      <c r="P18" s="191">
        <f>O18*(1+N10)</f>
        <v>1.6396408766372239</v>
      </c>
      <c r="Q18" s="191">
        <f>P18*(1+O10)</f>
        <v>1.669818316084535</v>
      </c>
      <c r="R18" s="191">
        <f>Q18*(1+P10)</f>
        <v>1.7032146824062258</v>
      </c>
    </row>
    <row r="19" spans="4:24">
      <c r="D19" s="127" t="s">
        <v>279</v>
      </c>
      <c r="F19" s="377"/>
      <c r="G19" s="191">
        <f>E6</f>
        <v>1.1425313263632406</v>
      </c>
      <c r="H19" s="191">
        <f t="shared" ref="H19:M19" si="13">G19*(1+F9)</f>
        <v>1.1806157039086818</v>
      </c>
      <c r="I19" s="191">
        <f t="shared" si="13"/>
        <v>1.199323819194162</v>
      </c>
      <c r="J19" s="191">
        <f t="shared" si="13"/>
        <v>1.2293369277826045</v>
      </c>
      <c r="K19" s="191">
        <f t="shared" si="13"/>
        <v>1.2653526580887355</v>
      </c>
      <c r="L19" s="191">
        <f t="shared" si="13"/>
        <v>1.2821599988982633</v>
      </c>
      <c r="M19" s="191">
        <f t="shared" si="13"/>
        <v>1.2989673397077912</v>
      </c>
      <c r="N19" s="377">
        <f>M19*(1+L10)</f>
        <v>1.318140289371375</v>
      </c>
      <c r="O19" s="377">
        <f>N19*(1+M10)</f>
        <v>1.3433047858048284</v>
      </c>
      <c r="P19" s="377">
        <f>O19*(1+N10)</f>
        <v>1.367270972884308</v>
      </c>
      <c r="Q19" s="377">
        <f>P19*(1+O10)</f>
        <v>1.3924354693177616</v>
      </c>
      <c r="R19" s="377">
        <f>Q19*(1+P10)</f>
        <v>1.4202841787041169</v>
      </c>
      <c r="U19" s="423" t="s">
        <v>280</v>
      </c>
      <c r="V19" s="423">
        <f>R18/F18-R19</f>
        <v>0</v>
      </c>
      <c r="X19"/>
    </row>
    <row r="22" spans="4:24" customFormat="1" ht="12.75"/>
    <row r="23" spans="4:24" customFormat="1" ht="12.75"/>
    <row r="24" spans="4:24" customFormat="1" ht="12.75"/>
    <row r="25" spans="4:24" customFormat="1" ht="12.75"/>
    <row r="26" spans="4:24" customFormat="1" ht="12.75"/>
    <row r="27" spans="4:24" customFormat="1" ht="12.75"/>
    <row r="28" spans="4:24" customFormat="1" ht="12.75"/>
    <row r="29" spans="4:24" customFormat="1" ht="12.75"/>
    <row r="30" spans="4:24" customFormat="1" ht="12.75"/>
    <row r="31" spans="4:24" customFormat="1" ht="12.75"/>
    <row r="32" spans="4:24" customFormat="1" ht="12.75"/>
    <row r="33" customFormat="1" ht="12.75"/>
    <row r="34" customFormat="1" ht="12.75"/>
    <row r="35" customFormat="1" ht="12.75"/>
    <row r="36" customFormat="1" ht="12.75"/>
    <row r="37" customFormat="1" ht="12.75"/>
    <row r="38" customFormat="1" ht="12.75"/>
    <row r="39" customFormat="1" ht="12.75"/>
    <row r="40" customFormat="1" ht="12.75"/>
  </sheetData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577A7A"/>
  </sheetPr>
  <dimension ref="A1:R57"/>
  <sheetViews>
    <sheetView zoomScaleNormal="100" workbookViewId="0">
      <selection activeCell="A19" sqref="A19"/>
    </sheetView>
  </sheetViews>
  <sheetFormatPr defaultRowHeight="16.5"/>
  <cols>
    <col min="1" max="2" width="9.140625" style="126"/>
    <col min="3" max="3" width="12.140625" style="126" bestFit="1" customWidth="1"/>
    <col min="4" max="4" width="9.140625" style="126"/>
    <col min="5" max="5" width="12.140625" style="126" bestFit="1" customWidth="1"/>
    <col min="6" max="8" width="12.7109375" style="126" customWidth="1"/>
    <col min="9" max="12" width="15.7109375" style="126" customWidth="1"/>
    <col min="13" max="17" width="9.140625" style="126"/>
    <col min="18" max="18" width="4.42578125" style="250" customWidth="1"/>
    <col min="19" max="16384" width="9.140625" style="126"/>
  </cols>
  <sheetData>
    <row r="1" spans="1:18" ht="17.25">
      <c r="A1" s="279" t="s">
        <v>281</v>
      </c>
    </row>
    <row r="3" spans="1:18">
      <c r="J3"/>
      <c r="K3"/>
      <c r="L3"/>
    </row>
    <row r="4" spans="1:18">
      <c r="E4" s="127" t="s">
        <v>282</v>
      </c>
      <c r="J4"/>
      <c r="K4"/>
      <c r="L4"/>
    </row>
    <row r="5" spans="1:18" ht="33">
      <c r="G5" s="126">
        <v>1</v>
      </c>
      <c r="H5" s="126">
        <v>3</v>
      </c>
      <c r="I5" s="126">
        <v>5</v>
      </c>
      <c r="J5" s="424" t="s">
        <v>283</v>
      </c>
      <c r="K5" s="425" t="s">
        <v>284</v>
      </c>
      <c r="L5" s="426" t="s">
        <v>285</v>
      </c>
    </row>
    <row r="6" spans="1:18">
      <c r="E6" s="146" t="s">
        <v>286</v>
      </c>
      <c r="F6" s="173" t="s">
        <v>287</v>
      </c>
      <c r="G6" s="126" t="s">
        <v>288</v>
      </c>
      <c r="H6" s="126" t="s">
        <v>289</v>
      </c>
      <c r="I6" s="126" t="s">
        <v>290</v>
      </c>
      <c r="J6" s="208"/>
      <c r="K6" s="212"/>
      <c r="L6" s="170"/>
    </row>
    <row r="7" spans="1:18">
      <c r="A7" s="205">
        <v>1</v>
      </c>
      <c r="B7" s="126" t="s">
        <v>178</v>
      </c>
      <c r="C7" s="126" t="s">
        <v>124</v>
      </c>
      <c r="D7" s="126" t="s">
        <v>179</v>
      </c>
      <c r="E7" s="126" t="s">
        <v>291</v>
      </c>
      <c r="F7" s="179">
        <f>SUMIFS('ICB calcs - per asset calc'!AR$37:AR$71,'ICB calcs - per asset calc'!$C$37:$C$71,Results!$C7,'ICB calcs - per asset calc'!$D$37:$D$71,Results!$B7,'ICB calcs - per asset calc'!$E$37:$E$71,Results!$D7)*Results!$A7</f>
        <v>74800.864595291612</v>
      </c>
      <c r="G7" s="130" cm="1">
        <f t="array" ref="G7">INDEX('kms replaced'!$F$31:$J$44,$R7,G$5)</f>
        <v>0.83002109925765244</v>
      </c>
      <c r="H7" s="130" cm="1">
        <f t="array" ref="H7">INDEX('kms replaced'!$F$31:$J$44,$R7,H$5)</f>
        <v>0.86328774739221381</v>
      </c>
      <c r="I7" s="130" cm="1">
        <f t="array" ref="I7">INDEX('kms replaced'!$F$31:$J$44,$R7,I$5)</f>
        <v>1</v>
      </c>
      <c r="J7" s="209">
        <f>$F7*G7</f>
        <v>62086.295856806762</v>
      </c>
      <c r="K7" s="212">
        <f t="shared" ref="K7:K12" si="0">$F7*H7</f>
        <v>64574.669899459295</v>
      </c>
      <c r="L7" s="170">
        <f t="shared" ref="L7:L12" si="1">$F7*I7</f>
        <v>74800.864595291612</v>
      </c>
      <c r="R7" s="251">
        <f>'kms replaced'!Q31</f>
        <v>1</v>
      </c>
    </row>
    <row r="8" spans="1:18">
      <c r="A8" s="205">
        <v>1</v>
      </c>
      <c r="B8" s="126" t="s">
        <v>178</v>
      </c>
      <c r="C8" s="126" t="s">
        <v>183</v>
      </c>
      <c r="D8" s="126" t="s">
        <v>179</v>
      </c>
      <c r="E8" s="126" t="s">
        <v>292</v>
      </c>
      <c r="F8" s="179">
        <f>SUMIFS('ICB calcs - per asset calc'!AR$37:AR$71,'ICB calcs - per asset calc'!$C$37:$C$71,Results!$C8,'ICB calcs - per asset calc'!$D$37:$D$71,Results!$B8,'ICB calcs - per asset calc'!$E$37:$E$71,Results!$D8)*Results!$A8</f>
        <v>0</v>
      </c>
      <c r="G8" s="130" cm="1">
        <f t="array" ref="G8">INDEX('kms replaced'!$F$31:$J$44,$R8,G$5)</f>
        <v>0.83365677848627673</v>
      </c>
      <c r="H8" s="130" cm="1">
        <f t="array" ref="H8">INDEX('kms replaced'!$F$31:$J$44,$R8,H$5)</f>
        <v>0.8521393586544681</v>
      </c>
      <c r="I8" s="130" cm="1">
        <f t="array" ref="I8">INDEX('kms replaced'!$F$31:$J$44,$R8,I$5)</f>
        <v>1</v>
      </c>
      <c r="J8" s="209">
        <f t="shared" ref="J8:J12" si="2">$F8*G8</f>
        <v>0</v>
      </c>
      <c r="K8" s="212">
        <f t="shared" si="0"/>
        <v>0</v>
      </c>
      <c r="L8" s="170">
        <f t="shared" si="1"/>
        <v>0</v>
      </c>
      <c r="R8" s="251">
        <f>'kms replaced'!Q32</f>
        <v>2</v>
      </c>
    </row>
    <row r="9" spans="1:18">
      <c r="A9" s="205">
        <v>1</v>
      </c>
      <c r="B9" s="126" t="s">
        <v>178</v>
      </c>
      <c r="C9" s="126" t="s">
        <v>177</v>
      </c>
      <c r="D9" s="126" t="s">
        <v>179</v>
      </c>
      <c r="E9" s="126" t="s">
        <v>292</v>
      </c>
      <c r="F9" s="179">
        <f>SUMIFS('ICB calcs - per asset calc'!AR$37:AR$71,'ICB calcs - per asset calc'!$C$37:$C$71,Results!$C9,'ICB calcs - per asset calc'!$D$37:$D$71,Results!$B9,'ICB calcs - per asset calc'!$E$37:$E$71,Results!$D9)*Results!$A9</f>
        <v>8462.5621206004071</v>
      </c>
      <c r="G9" s="130" cm="1">
        <f t="array" ref="G9">INDEX('kms replaced'!$F$31:$J$44,$R9,G$5)</f>
        <v>0.87609449859573763</v>
      </c>
      <c r="H9" s="130" cm="1">
        <f t="array" ref="H9">INDEX('kms replaced'!$F$31:$J$44,$R9,H$5)</f>
        <v>0.85957376507516936</v>
      </c>
      <c r="I9" s="130" cm="1">
        <f t="array" ref="I9">INDEX('kms replaced'!$F$31:$J$44,$R9,I$5)</f>
        <v>0.95043779943829509</v>
      </c>
      <c r="J9" s="209">
        <f t="shared" si="2"/>
        <v>7414.0041178826959</v>
      </c>
      <c r="K9" s="212">
        <f t="shared" si="0"/>
        <v>7274.1963841870011</v>
      </c>
      <c r="L9" s="170">
        <f t="shared" si="1"/>
        <v>8043.1389195133233</v>
      </c>
      <c r="R9" s="251">
        <f>'kms replaced'!Q33</f>
        <v>3</v>
      </c>
    </row>
    <row r="10" spans="1:18">
      <c r="A10" s="205">
        <v>1</v>
      </c>
      <c r="B10" s="126" t="s">
        <v>178</v>
      </c>
      <c r="C10" s="126" t="s">
        <v>126</v>
      </c>
      <c r="D10" s="126" t="s">
        <v>179</v>
      </c>
      <c r="E10" s="126" t="s">
        <v>293</v>
      </c>
      <c r="F10" s="179">
        <f>SUMIFS('ICB calcs - per asset calc'!AR$37:AR$71,'ICB calcs - per asset calc'!$C$37:$C$71,Results!$C10,'ICB calcs - per asset calc'!$D$37:$D$71,Results!$B10,'ICB calcs - per asset calc'!$E$37:$E$71,Results!$D10)*Results!$A10</f>
        <v>40002.457852310334</v>
      </c>
      <c r="G10" s="130" cm="1">
        <f t="array" ref="G10">INDEX('kms replaced'!$F$31:$J$44,$R10,G$5)</f>
        <v>0.71934190515691965</v>
      </c>
      <c r="H10" s="130" cm="1">
        <f t="array" ref="H10">INDEX('kms replaced'!$F$31:$J$44,$R10,H$5)</f>
        <v>0.78708696253283561</v>
      </c>
      <c r="I10" s="130" cm="1">
        <f t="array" ref="I10">INDEX('kms replaced'!$F$31:$J$44,$R10,I$5)</f>
        <v>1</v>
      </c>
      <c r="J10" s="209">
        <f t="shared" si="2"/>
        <v>28775.444242440295</v>
      </c>
      <c r="K10" s="212">
        <f t="shared" si="0"/>
        <v>31485.413044822719</v>
      </c>
      <c r="L10" s="170">
        <f t="shared" si="1"/>
        <v>40002.457852310334</v>
      </c>
      <c r="R10" s="251">
        <f>'kms replaced'!Q34</f>
        <v>4</v>
      </c>
    </row>
    <row r="11" spans="1:18">
      <c r="A11" s="205">
        <v>1</v>
      </c>
      <c r="B11" s="126" t="s">
        <v>178</v>
      </c>
      <c r="C11" s="126" t="s">
        <v>124</v>
      </c>
      <c r="D11" s="126" t="s">
        <v>180</v>
      </c>
      <c r="E11" s="126" t="s">
        <v>294</v>
      </c>
      <c r="F11" s="179">
        <f>SUMIFS('ICB calcs - per asset calc'!AR$37:AR$71,'ICB calcs - per asset calc'!$C$37:$C$71,Results!$C11,'ICB calcs - per asset calc'!$D$37:$D$71,Results!$B11,'ICB calcs - per asset calc'!$E$37:$E$71,Results!$D11)*Results!$A11</f>
        <v>0</v>
      </c>
      <c r="G11" s="130" cm="1">
        <f t="array" ref="G11">INDEX('kms replaced'!$F$31:$J$44,$R11,G$5)</f>
        <v>0.86374929870962569</v>
      </c>
      <c r="H11" s="130" cm="1">
        <f t="array" ref="H11">INDEX('kms replaced'!$F$31:$J$44,$R11,H$5)</f>
        <v>0.94389677005690475</v>
      </c>
      <c r="I11" s="130" cm="1">
        <f t="array" ref="I11">INDEX('kms replaced'!$F$31:$J$44,$R11,I$5)</f>
        <v>1</v>
      </c>
      <c r="J11" s="209">
        <f t="shared" si="2"/>
        <v>0</v>
      </c>
      <c r="K11" s="212">
        <f t="shared" si="0"/>
        <v>0</v>
      </c>
      <c r="L11" s="170">
        <f t="shared" si="1"/>
        <v>0</v>
      </c>
      <c r="R11" s="251">
        <f>'kms replaced'!Q35</f>
        <v>5</v>
      </c>
    </row>
    <row r="12" spans="1:18">
      <c r="A12" s="205">
        <v>1</v>
      </c>
      <c r="B12" s="126" t="s">
        <v>178</v>
      </c>
      <c r="C12" s="126" t="s">
        <v>183</v>
      </c>
      <c r="D12" s="126" t="s">
        <v>180</v>
      </c>
      <c r="E12" s="126" t="s">
        <v>295</v>
      </c>
      <c r="F12" s="179">
        <f>SUMIFS('ICB calcs - per asset calc'!AR$37:AR$71,'ICB calcs - per asset calc'!$C$37:$C$71,Results!$C12,'ICB calcs - per asset calc'!$D$37:$D$71,Results!$B12,'ICB calcs - per asset calc'!$E$37:$E$71,Results!$D12)*Results!$A12</f>
        <v>0</v>
      </c>
      <c r="G12" s="130" cm="1">
        <f t="array" ref="G12">INDEX('kms replaced'!$F$31:$J$44,$R12,G$5)</f>
        <v>0.80314960629921262</v>
      </c>
      <c r="H12" s="130" cm="1">
        <f t="array" ref="H12">INDEX('kms replaced'!$F$31:$J$44,$R12,H$5)</f>
        <v>0.95078740157480313</v>
      </c>
      <c r="I12" s="130" cm="1">
        <f t="array" ref="I12">INDEX('kms replaced'!$F$31:$J$44,$R12,I$5)</f>
        <v>1</v>
      </c>
      <c r="J12" s="209">
        <f t="shared" si="2"/>
        <v>0</v>
      </c>
      <c r="K12" s="212">
        <f t="shared" si="0"/>
        <v>0</v>
      </c>
      <c r="L12" s="170">
        <f t="shared" si="1"/>
        <v>0</v>
      </c>
      <c r="R12" s="251">
        <f>'kms replaced'!Q36</f>
        <v>6</v>
      </c>
    </row>
    <row r="13" spans="1:18">
      <c r="E13" s="186" t="s">
        <v>203</v>
      </c>
      <c r="F13" s="187"/>
      <c r="G13" s="187"/>
      <c r="H13" s="187"/>
      <c r="I13" s="187"/>
      <c r="J13" s="210">
        <f t="shared" ref="J13" si="3">SUM(J7:J12)</f>
        <v>98275.744217129759</v>
      </c>
      <c r="K13" s="213">
        <f t="shared" ref="K13:L13" si="4">SUM(K7:K12)</f>
        <v>103334.27932846901</v>
      </c>
      <c r="L13" s="215">
        <f t="shared" si="4"/>
        <v>122846.46136711526</v>
      </c>
      <c r="R13" s="251"/>
    </row>
    <row r="14" spans="1:18">
      <c r="J14" s="135"/>
      <c r="K14" s="135"/>
      <c r="L14" s="135"/>
      <c r="R14" s="251"/>
    </row>
    <row r="15" spans="1:18">
      <c r="J15" s="135"/>
      <c r="K15" s="135"/>
      <c r="L15" s="135"/>
      <c r="R15" s="251"/>
    </row>
    <row r="16" spans="1:18">
      <c r="E16" s="134" t="s">
        <v>296</v>
      </c>
      <c r="J16" s="135"/>
      <c r="K16" s="135"/>
      <c r="L16" s="135"/>
      <c r="R16" s="251"/>
    </row>
    <row r="17" spans="1:18">
      <c r="A17" s="205">
        <v>1</v>
      </c>
      <c r="B17" s="126" t="s">
        <v>193</v>
      </c>
      <c r="C17" s="126" t="s">
        <v>124</v>
      </c>
      <c r="D17" s="126" t="s">
        <v>179</v>
      </c>
      <c r="E17" s="126" t="s">
        <v>291</v>
      </c>
      <c r="F17" s="179">
        <f>SUMIFS('ICB calcs - per asset calc'!AR$37:AR$71,'ICB calcs - per asset calc'!$C$37:$C$71,Results!$C17,'ICB calcs - per asset calc'!$D$37:$D$71,Results!$B17,'ICB calcs - per asset calc'!$E$37:$E$71,Results!$D17)*Results!$A17</f>
        <v>56752.1551461747</v>
      </c>
      <c r="G17" s="176">
        <f>G7</f>
        <v>0.83002109925765244</v>
      </c>
      <c r="H17" s="176">
        <f t="shared" ref="H17:I17" si="5">H7</f>
        <v>0.86328774739221381</v>
      </c>
      <c r="I17" s="176">
        <f t="shared" si="5"/>
        <v>1</v>
      </c>
      <c r="J17" s="209">
        <f>$F17*G17</f>
        <v>47105.486199668761</v>
      </c>
      <c r="K17" s="212">
        <f t="shared" ref="K17:K22" si="6">$F17*H17</f>
        <v>48993.440175794589</v>
      </c>
      <c r="L17" s="170">
        <f t="shared" ref="L17:L22" si="7">$F17*I17</f>
        <v>56752.1551461747</v>
      </c>
      <c r="R17" s="251"/>
    </row>
    <row r="18" spans="1:18">
      <c r="A18" s="205">
        <f>'kms replaced'!E49</f>
        <v>0.64128244636719212</v>
      </c>
      <c r="B18" s="126" t="s">
        <v>193</v>
      </c>
      <c r="C18" s="126" t="s">
        <v>183</v>
      </c>
      <c r="D18" s="126" t="s">
        <v>179</v>
      </c>
      <c r="E18" s="126" t="s">
        <v>292</v>
      </c>
      <c r="F18" s="179">
        <f>SUMIFS('ICB calcs - per asset calc'!AR$37:AR$71,'ICB calcs - per asset calc'!$C$37:$C$71,Results!$C18,'ICB calcs - per asset calc'!$D$37:$D$71,Results!$B18,'ICB calcs - per asset calc'!$E$37:$E$71,Results!$D18)*Results!$A18</f>
        <v>0</v>
      </c>
      <c r="G18" s="176">
        <f t="shared" ref="G18:I18" si="8">G8</f>
        <v>0.83365677848627673</v>
      </c>
      <c r="H18" s="176">
        <f t="shared" si="8"/>
        <v>0.8521393586544681</v>
      </c>
      <c r="I18" s="176">
        <f t="shared" si="8"/>
        <v>1</v>
      </c>
      <c r="J18" s="209">
        <f t="shared" ref="J18:J22" si="9">$F18*G18</f>
        <v>0</v>
      </c>
      <c r="K18" s="212">
        <f t="shared" si="6"/>
        <v>0</v>
      </c>
      <c r="L18" s="170">
        <f t="shared" si="7"/>
        <v>0</v>
      </c>
      <c r="R18" s="251"/>
    </row>
    <row r="19" spans="1:18">
      <c r="A19" s="205">
        <f>'kms replaced'!E48</f>
        <v>0.35871755363280788</v>
      </c>
      <c r="B19" s="126" t="s">
        <v>193</v>
      </c>
      <c r="C19" s="126" t="s">
        <v>183</v>
      </c>
      <c r="D19" s="126" t="s">
        <v>179</v>
      </c>
      <c r="E19" s="126" t="s">
        <v>292</v>
      </c>
      <c r="F19" s="179">
        <f>SUMIFS('ICB calcs - per asset calc'!AR$37:AR$71,'ICB calcs - per asset calc'!$C$37:$C$71,Results!$C19,'ICB calcs - per asset calc'!$D$37:$D$71,Results!$B19,'ICB calcs - per asset calc'!$E$37:$E$71,Results!$D19)*Results!$A19</f>
        <v>0</v>
      </c>
      <c r="G19" s="176">
        <f t="shared" ref="G19:I19" si="10">G9</f>
        <v>0.87609449859573763</v>
      </c>
      <c r="H19" s="176">
        <f t="shared" si="10"/>
        <v>0.85957376507516936</v>
      </c>
      <c r="I19" s="176">
        <f t="shared" si="10"/>
        <v>0.95043779943829509</v>
      </c>
      <c r="J19" s="209">
        <f t="shared" si="9"/>
        <v>0</v>
      </c>
      <c r="K19" s="212">
        <f t="shared" si="6"/>
        <v>0</v>
      </c>
      <c r="L19" s="170">
        <f t="shared" si="7"/>
        <v>0</v>
      </c>
      <c r="R19" s="251"/>
    </row>
    <row r="20" spans="1:18">
      <c r="A20" s="205">
        <v>1</v>
      </c>
      <c r="B20" s="126" t="s">
        <v>193</v>
      </c>
      <c r="C20" s="126" t="s">
        <v>126</v>
      </c>
      <c r="D20" s="126" t="s">
        <v>179</v>
      </c>
      <c r="E20" s="126" t="s">
        <v>293</v>
      </c>
      <c r="F20" s="179">
        <f>SUMIFS('ICB calcs - per asset calc'!AR$37:AR$71,'ICB calcs - per asset calc'!$C$37:$C$71,Results!$C20,'ICB calcs - per asset calc'!$D$37:$D$71,Results!$B20,'ICB calcs - per asset calc'!$E$37:$E$71,Results!$D20)*Results!$A20</f>
        <v>19489.492023269748</v>
      </c>
      <c r="G20" s="176">
        <f t="shared" ref="G20:I20" si="11">G10</f>
        <v>0.71934190515691965</v>
      </c>
      <c r="H20" s="176">
        <f t="shared" si="11"/>
        <v>0.78708696253283561</v>
      </c>
      <c r="I20" s="176">
        <f t="shared" si="11"/>
        <v>1</v>
      </c>
      <c r="J20" s="209">
        <f t="shared" si="9"/>
        <v>14019.608322559448</v>
      </c>
      <c r="K20" s="212">
        <f t="shared" si="6"/>
        <v>15339.925077903314</v>
      </c>
      <c r="L20" s="170">
        <f t="shared" si="7"/>
        <v>19489.492023269748</v>
      </c>
      <c r="R20" s="251"/>
    </row>
    <row r="21" spans="1:18">
      <c r="A21" s="205">
        <v>1</v>
      </c>
      <c r="B21" s="126" t="s">
        <v>193</v>
      </c>
      <c r="C21" s="126" t="s">
        <v>124</v>
      </c>
      <c r="D21" s="126" t="s">
        <v>180</v>
      </c>
      <c r="E21" s="126" t="s">
        <v>294</v>
      </c>
      <c r="F21" s="179">
        <f>SUMIFS('ICB calcs - per asset calc'!AR$37:AR$71,'ICB calcs - per asset calc'!$C$37:$C$71,Results!$C21,'ICB calcs - per asset calc'!$D$37:$D$71,Results!$B21,'ICB calcs - per asset calc'!$E$37:$E$71,Results!$D21)*Results!$A21</f>
        <v>332.88768483521386</v>
      </c>
      <c r="G21" s="176">
        <f t="shared" ref="G21:I21" si="12">G11</f>
        <v>0.86374929870962569</v>
      </c>
      <c r="H21" s="176">
        <f t="shared" si="12"/>
        <v>0.94389677005690475</v>
      </c>
      <c r="I21" s="176">
        <f t="shared" si="12"/>
        <v>1</v>
      </c>
      <c r="J21" s="209">
        <f t="shared" si="9"/>
        <v>287.53150432548688</v>
      </c>
      <c r="K21" s="212">
        <f t="shared" si="6"/>
        <v>314.21161050767921</v>
      </c>
      <c r="L21" s="170">
        <f t="shared" si="7"/>
        <v>332.88768483521386</v>
      </c>
      <c r="R21" s="251"/>
    </row>
    <row r="22" spans="1:18">
      <c r="A22" s="205">
        <f>'kms replaced'!E52</f>
        <v>4.2149806052811711E-2</v>
      </c>
      <c r="B22" s="126" t="s">
        <v>193</v>
      </c>
      <c r="C22" s="126" t="s">
        <v>183</v>
      </c>
      <c r="D22" s="126" t="s">
        <v>180</v>
      </c>
      <c r="E22" s="126" t="s">
        <v>295</v>
      </c>
      <c r="F22" s="179">
        <f>SUMIFS('ICB calcs - per asset calc'!AR$37:AR$71,'ICB calcs - per asset calc'!$C$37:$C$71,Results!$C22,'ICB calcs - per asset calc'!$D$37:$D$71,Results!$B22,'ICB calcs - per asset calc'!$E$37:$E$71,Results!$D22)*Results!$A22</f>
        <v>477.12928503894102</v>
      </c>
      <c r="G22" s="176">
        <f t="shared" ref="G22:I22" si="13">G12</f>
        <v>0.80314960629921262</v>
      </c>
      <c r="H22" s="176">
        <f t="shared" si="13"/>
        <v>0.95078740157480313</v>
      </c>
      <c r="I22" s="176">
        <f t="shared" si="13"/>
        <v>1</v>
      </c>
      <c r="J22" s="209">
        <f t="shared" si="9"/>
        <v>383.20619743285027</v>
      </c>
      <c r="K22" s="212">
        <f t="shared" si="6"/>
        <v>453.64851313741832</v>
      </c>
      <c r="L22" s="170">
        <f t="shared" si="7"/>
        <v>477.12928503894102</v>
      </c>
      <c r="R22" s="251"/>
    </row>
    <row r="23" spans="1:18">
      <c r="E23" s="186" t="s">
        <v>203</v>
      </c>
      <c r="F23" s="187"/>
      <c r="G23" s="187"/>
      <c r="H23" s="187"/>
      <c r="I23" s="187"/>
      <c r="J23" s="210">
        <f t="shared" ref="J23" si="14">SUM(J17:J22)</f>
        <v>61795.832223986552</v>
      </c>
      <c r="K23" s="213">
        <f>SUM(K17:K22)</f>
        <v>65101.225377343006</v>
      </c>
      <c r="L23" s="215">
        <f>SUM(L17:L22)</f>
        <v>77051.6641393186</v>
      </c>
      <c r="R23" s="251"/>
    </row>
    <row r="24" spans="1:18" ht="17.25" thickBot="1">
      <c r="E24" s="162" t="s">
        <v>297</v>
      </c>
      <c r="F24" s="162"/>
      <c r="G24" s="183"/>
      <c r="H24" s="183"/>
      <c r="I24" s="183"/>
      <c r="J24" s="211">
        <f t="shared" ref="J24" si="15">J23+J13</f>
        <v>160071.57644111631</v>
      </c>
      <c r="K24" s="214">
        <f>K23+K13</f>
        <v>168435.50470581203</v>
      </c>
      <c r="L24" s="216">
        <f>L23+L13</f>
        <v>199898.12550643386</v>
      </c>
      <c r="R24" s="251"/>
    </row>
    <row r="25" spans="1:18" ht="17.25" thickTop="1">
      <c r="F25" s="179"/>
      <c r="J25" s="135"/>
      <c r="K25" s="135"/>
      <c r="L25" s="135"/>
      <c r="R25" s="251"/>
    </row>
    <row r="26" spans="1:18">
      <c r="J26" s="135"/>
      <c r="K26" s="135"/>
      <c r="L26" s="135"/>
      <c r="R26" s="251"/>
    </row>
    <row r="27" spans="1:18">
      <c r="E27" s="127" t="s">
        <v>298</v>
      </c>
      <c r="J27" s="135"/>
      <c r="K27" s="135"/>
      <c r="L27" s="135"/>
      <c r="R27" s="251"/>
    </row>
    <row r="28" spans="1:18">
      <c r="J28" s="135"/>
      <c r="K28" s="135"/>
      <c r="L28" s="135"/>
      <c r="R28" s="251"/>
    </row>
    <row r="29" spans="1:18">
      <c r="E29" s="134" t="s">
        <v>299</v>
      </c>
      <c r="J29" s="135"/>
      <c r="K29" s="135"/>
      <c r="L29" s="135"/>
      <c r="R29" s="251"/>
    </row>
    <row r="30" spans="1:18">
      <c r="A30" s="205">
        <v>1</v>
      </c>
      <c r="B30" s="126" t="s">
        <v>178</v>
      </c>
      <c r="C30" s="126" t="s">
        <v>126</v>
      </c>
      <c r="D30" s="126" t="s">
        <v>180</v>
      </c>
      <c r="E30" s="126" t="s">
        <v>300</v>
      </c>
      <c r="F30" s="179">
        <f>SUMIFS('ICB calcs - per asset calc'!AR$37:AR$71,'ICB calcs - per asset calc'!$C$37:$C$71,Results!$C30,'ICB calcs - per asset calc'!$D$37:$D$71,Results!$B30,'ICB calcs - per asset calc'!$E$37:$E$71,Results!$D30)*Results!$A30</f>
        <v>31402.251902275006</v>
      </c>
      <c r="G30" s="176" cm="1">
        <f t="array" ref="G30">INDEX('kms replaced'!$F$31:$J$44,$R30,G$5)</f>
        <v>3.476435231996404E-2</v>
      </c>
      <c r="H30" s="176" cm="1">
        <f t="array" ref="H30">INDEX('kms replaced'!$F$31:$J$44,$R30,H$5)</f>
        <v>0.21985591506572302</v>
      </c>
      <c r="I30" s="176" cm="1">
        <f t="array" ref="I30">INDEX('kms replaced'!$F$31:$J$44,$R30,I$5)</f>
        <v>0.36646865520728011</v>
      </c>
      <c r="J30" s="209">
        <f>$F30*G30</f>
        <v>1091.6789487709493</v>
      </c>
      <c r="K30" s="212">
        <f t="shared" ref="K30:K31" si="16">$F30*H30</f>
        <v>6903.9708270990131</v>
      </c>
      <c r="L30" s="170">
        <f t="shared" ref="L30:L31" si="17">$F30*I30</f>
        <v>11507.941025106975</v>
      </c>
      <c r="R30" s="251">
        <f>'kms replaced'!Q42</f>
        <v>12</v>
      </c>
    </row>
    <row r="31" spans="1:18">
      <c r="A31" s="205">
        <v>1</v>
      </c>
      <c r="B31" s="126" t="s">
        <v>178</v>
      </c>
      <c r="C31" s="126" t="s">
        <v>126</v>
      </c>
      <c r="D31" s="126" t="s">
        <v>181</v>
      </c>
      <c r="E31" s="126" t="s">
        <v>301</v>
      </c>
      <c r="F31" s="179">
        <f>SUMIFS('ICB calcs - per asset calc'!AR$37:AR$71,'ICB calcs - per asset calc'!$C$37:$C$71,Results!$C31,'ICB calcs - per asset calc'!$D$37:$D$71,Results!$B31,'ICB calcs - per asset calc'!$E$37:$E$71,Results!$D31)*Results!$A31</f>
        <v>43113.195585113994</v>
      </c>
      <c r="G31" s="176" cm="1">
        <f t="array" ref="G31">INDEX('kms replaced'!$F$31:$J$44,$R31,G$5)</f>
        <v>9.5320485519591228E-2</v>
      </c>
      <c r="H31" s="176" cm="1">
        <f t="array" ref="H31">INDEX('kms replaced'!$F$31:$J$44,$R31,H$5)</f>
        <v>0.26759476149914824</v>
      </c>
      <c r="I31" s="176" cm="1">
        <f t="array" ref="I31">INDEX('kms replaced'!$F$31:$J$44,$R31,I$5)</f>
        <v>0.47788011073253833</v>
      </c>
      <c r="J31" s="209">
        <f t="shared" ref="J31" si="18">$F31*G31</f>
        <v>4109.5707354741626</v>
      </c>
      <c r="K31" s="212">
        <f t="shared" si="16"/>
        <v>11536.86529006471</v>
      </c>
      <c r="L31" s="170">
        <f t="shared" si="17"/>
        <v>20602.938680247858</v>
      </c>
      <c r="R31" s="251">
        <f>'kms replaced'!Q43</f>
        <v>13</v>
      </c>
    </row>
    <row r="32" spans="1:18">
      <c r="E32" s="186" t="s">
        <v>203</v>
      </c>
      <c r="F32" s="186"/>
      <c r="G32" s="187"/>
      <c r="H32" s="187"/>
      <c r="I32" s="187"/>
      <c r="J32" s="210">
        <f t="shared" ref="J32" si="19">J30+J31</f>
        <v>5201.2496842451119</v>
      </c>
      <c r="K32" s="213">
        <f>K30+K31</f>
        <v>18440.836117163723</v>
      </c>
      <c r="L32" s="215">
        <f>L30+L31</f>
        <v>32110.879705354833</v>
      </c>
    </row>
    <row r="33" spans="1:12">
      <c r="H33" s="179"/>
      <c r="I33" s="179"/>
      <c r="J33" s="135"/>
      <c r="K33" s="135"/>
      <c r="L33" s="135"/>
    </row>
    <row r="34" spans="1:12">
      <c r="E34" s="134" t="s">
        <v>302</v>
      </c>
      <c r="H34" s="179"/>
      <c r="I34" s="179"/>
      <c r="J34" s="135"/>
      <c r="K34" s="135"/>
      <c r="L34" s="135"/>
    </row>
    <row r="35" spans="1:12">
      <c r="A35" s="205">
        <v>1</v>
      </c>
      <c r="B35" s="126" t="s">
        <v>193</v>
      </c>
      <c r="C35" s="126" t="s">
        <v>126</v>
      </c>
      <c r="D35" s="126" t="s">
        <v>180</v>
      </c>
      <c r="E35" s="126" t="s">
        <v>300</v>
      </c>
      <c r="F35" s="179">
        <f>SUMIFS('ICB calcs - per asset calc'!AR$37:AR$71,'ICB calcs - per asset calc'!$C$37:$C$71,Results!$C35,'ICB calcs - per asset calc'!$D$37:$D$71,Results!$B35,'ICB calcs - per asset calc'!$E$37:$E$71,Results!$D35)*Results!$A35</f>
        <v>18832.20983299955</v>
      </c>
      <c r="G35" s="176">
        <f>G30</f>
        <v>3.476435231996404E-2</v>
      </c>
      <c r="H35" s="176">
        <f t="shared" ref="H35:I35" si="20">H30</f>
        <v>0.21985591506572302</v>
      </c>
      <c r="I35" s="176">
        <f t="shared" si="20"/>
        <v>0.36646865520728011</v>
      </c>
      <c r="J35" s="209">
        <f>$F35*G35</f>
        <v>654.68957759788748</v>
      </c>
      <c r="K35" s="212">
        <f t="shared" ref="K35:K36" si="21">$F35*H35</f>
        <v>4140.3727255438225</v>
      </c>
      <c r="L35" s="170">
        <f t="shared" ref="L35:L36" si="22">$F35*I35</f>
        <v>6901.4146120806618</v>
      </c>
    </row>
    <row r="36" spans="1:12">
      <c r="A36" s="205">
        <v>1</v>
      </c>
      <c r="B36" s="126" t="s">
        <v>193</v>
      </c>
      <c r="C36" s="126" t="s">
        <v>126</v>
      </c>
      <c r="D36" s="126" t="s">
        <v>181</v>
      </c>
      <c r="E36" s="126" t="s">
        <v>301</v>
      </c>
      <c r="F36" s="179">
        <f>SUMIFS('ICB calcs - per asset calc'!AR$37:AR$71,'ICB calcs - per asset calc'!$C$37:$C$71,Results!$C36,'ICB calcs - per asset calc'!$D$37:$D$71,Results!$B36,'ICB calcs - per asset calc'!$E$37:$E$71,Results!$D36)*Results!$A36</f>
        <v>26395.382676186291</v>
      </c>
      <c r="G36" s="176">
        <f t="shared" ref="G36:I36" si="23">G31</f>
        <v>9.5320485519591228E-2</v>
      </c>
      <c r="H36" s="176">
        <f t="shared" si="23"/>
        <v>0.26759476149914824</v>
      </c>
      <c r="I36" s="176">
        <f t="shared" si="23"/>
        <v>0.47788011073253833</v>
      </c>
      <c r="J36" s="209">
        <f t="shared" ref="J36" si="24">$F36*G36</f>
        <v>2516.0206921694844</v>
      </c>
      <c r="K36" s="212">
        <f t="shared" si="21"/>
        <v>7063.2661319128201</v>
      </c>
      <c r="L36" s="170">
        <f t="shared" si="22"/>
        <v>12613.828396123628</v>
      </c>
    </row>
    <row r="37" spans="1:12">
      <c r="E37" s="186" t="s">
        <v>203</v>
      </c>
      <c r="F37" s="187"/>
      <c r="G37" s="187"/>
      <c r="H37" s="187"/>
      <c r="I37" s="187"/>
      <c r="J37" s="210">
        <f t="shared" ref="J37" si="25">J35+J36</f>
        <v>3170.7102697673718</v>
      </c>
      <c r="K37" s="213">
        <f>K35+K36</f>
        <v>11203.638857456643</v>
      </c>
      <c r="L37" s="215">
        <f>L35+L36</f>
        <v>19515.243008204292</v>
      </c>
    </row>
    <row r="38" spans="1:12" ht="17.25" thickBot="1">
      <c r="E38" s="162" t="s">
        <v>297</v>
      </c>
      <c r="F38" s="162"/>
      <c r="G38" s="183"/>
      <c r="H38" s="183"/>
      <c r="I38" s="183"/>
      <c r="J38" s="211">
        <f t="shared" ref="J38" si="26">J32+J37</f>
        <v>8371.9599540124836</v>
      </c>
      <c r="K38" s="214">
        <f>K32+K37</f>
        <v>29644.474974620367</v>
      </c>
      <c r="L38" s="216">
        <f>L32+L37</f>
        <v>51626.122713559125</v>
      </c>
    </row>
    <row r="39" spans="1:12" ht="17.25" thickTop="1">
      <c r="J39" s="135"/>
      <c r="K39" s="135"/>
      <c r="L39" s="135"/>
    </row>
    <row r="40" spans="1:12" ht="17.25" thickBot="1">
      <c r="E40" s="162" t="s">
        <v>303</v>
      </c>
      <c r="F40" s="162"/>
      <c r="G40" s="183"/>
      <c r="H40" s="183"/>
      <c r="I40" s="183"/>
      <c r="J40" s="211">
        <f t="shared" ref="J40" si="27">J24+J38</f>
        <v>168443.53639512879</v>
      </c>
      <c r="K40" s="214">
        <f>K24+K38</f>
        <v>198079.97968043239</v>
      </c>
      <c r="L40" s="216">
        <f>L24+L38</f>
        <v>251524.24821999299</v>
      </c>
    </row>
    <row r="41" spans="1:12" ht="17.25" thickTop="1"/>
    <row r="42" spans="1:12" customFormat="1" ht="12.75"/>
    <row r="43" spans="1:12" customFormat="1" ht="12.75"/>
    <row r="44" spans="1:12" customFormat="1" ht="12.75"/>
    <row r="45" spans="1:12" customFormat="1" ht="12.75"/>
    <row r="46" spans="1:12">
      <c r="C46"/>
      <c r="D46"/>
      <c r="E46"/>
      <c r="F46"/>
      <c r="G46"/>
      <c r="H46"/>
      <c r="I46"/>
    </row>
    <row r="47" spans="1:12">
      <c r="C47"/>
      <c r="D47"/>
      <c r="E47"/>
      <c r="F47"/>
      <c r="G47"/>
      <c r="H47"/>
      <c r="I47"/>
    </row>
    <row r="48" spans="1:12">
      <c r="C48"/>
      <c r="D48"/>
      <c r="E48"/>
      <c r="F48"/>
      <c r="G48"/>
      <c r="H48"/>
      <c r="I48"/>
    </row>
    <row r="49" spans="3:9">
      <c r="C49"/>
      <c r="D49"/>
      <c r="E49"/>
      <c r="F49"/>
      <c r="G49"/>
      <c r="H49"/>
      <c r="I49"/>
    </row>
    <row r="50" spans="3:9">
      <c r="C50"/>
      <c r="D50"/>
      <c r="E50"/>
      <c r="F50"/>
      <c r="G50"/>
      <c r="H50"/>
      <c r="I50"/>
    </row>
    <row r="51" spans="3:9">
      <c r="C51"/>
      <c r="D51"/>
      <c r="E51"/>
      <c r="F51"/>
      <c r="G51"/>
      <c r="H51"/>
      <c r="I51"/>
    </row>
    <row r="52" spans="3:9">
      <c r="C52"/>
      <c r="D52"/>
      <c r="E52"/>
      <c r="F52"/>
      <c r="G52"/>
      <c r="H52"/>
      <c r="I52"/>
    </row>
    <row r="53" spans="3:9">
      <c r="C53"/>
      <c r="D53"/>
      <c r="E53"/>
      <c r="F53"/>
      <c r="G53"/>
      <c r="H53"/>
      <c r="I53"/>
    </row>
    <row r="54" spans="3:9">
      <c r="C54"/>
      <c r="D54"/>
      <c r="E54"/>
      <c r="F54"/>
      <c r="G54"/>
      <c r="H54"/>
      <c r="I54"/>
    </row>
    <row r="55" spans="3:9">
      <c r="C55"/>
      <c r="D55"/>
      <c r="E55"/>
      <c r="F55"/>
      <c r="G55"/>
      <c r="H55"/>
      <c r="I55"/>
    </row>
    <row r="56" spans="3:9">
      <c r="C56"/>
      <c r="D56"/>
      <c r="E56"/>
      <c r="F56"/>
      <c r="G56"/>
      <c r="H56"/>
      <c r="I56"/>
    </row>
    <row r="57" spans="3:9">
      <c r="C57"/>
      <c r="D57"/>
      <c r="E57"/>
      <c r="F57"/>
      <c r="G57"/>
      <c r="H57"/>
      <c r="I57"/>
    </row>
  </sheetData>
  <phoneticPr fontId="28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577A7A"/>
  </sheetPr>
  <dimension ref="A1:M18"/>
  <sheetViews>
    <sheetView zoomScaleNormal="100" workbookViewId="0">
      <selection activeCell="N23" sqref="N23"/>
    </sheetView>
  </sheetViews>
  <sheetFormatPr defaultRowHeight="16.5"/>
  <cols>
    <col min="1" max="5" width="9.140625" style="126"/>
    <col min="6" max="6" width="34.42578125" style="126" customWidth="1"/>
    <col min="7" max="15" width="12.7109375" style="126" customWidth="1"/>
    <col min="16" max="16384" width="9.140625" style="126"/>
  </cols>
  <sheetData>
    <row r="1" spans="1:13" ht="17.25">
      <c r="A1" s="279" t="s">
        <v>304</v>
      </c>
      <c r="F1"/>
    </row>
    <row r="2" spans="1:13" ht="17.25" thickBot="1"/>
    <row r="3" spans="1:13" ht="33" customHeight="1">
      <c r="F3" s="234"/>
      <c r="G3" s="439" t="s">
        <v>305</v>
      </c>
      <c r="H3" s="438" t="s">
        <v>306</v>
      </c>
      <c r="I3" s="438"/>
      <c r="J3" s="438"/>
      <c r="K3" s="439" t="s">
        <v>307</v>
      </c>
      <c r="L3" s="439"/>
      <c r="M3" s="441"/>
    </row>
    <row r="4" spans="1:13">
      <c r="F4" s="235"/>
      <c r="G4" s="440"/>
      <c r="H4" s="236">
        <v>43646</v>
      </c>
      <c r="I4" s="236">
        <v>44377</v>
      </c>
      <c r="J4" s="236">
        <v>46203</v>
      </c>
      <c r="K4" s="236">
        <v>43646</v>
      </c>
      <c r="L4" s="236">
        <v>44377</v>
      </c>
      <c r="M4" s="387">
        <v>46203</v>
      </c>
    </row>
    <row r="5" spans="1:13">
      <c r="F5" s="237" t="s">
        <v>308</v>
      </c>
      <c r="G5" s="238"/>
      <c r="H5" s="238"/>
      <c r="I5" s="238"/>
      <c r="J5" s="238"/>
      <c r="K5" s="238"/>
      <c r="L5" s="238"/>
      <c r="M5" s="239"/>
    </row>
    <row r="6" spans="1:13">
      <c r="B6" s="126" t="str">
        <f>Results!C7</f>
        <v>CI</v>
      </c>
      <c r="C6" s="126" t="str">
        <f>Results!E17</f>
        <v>Cast iron - LP</v>
      </c>
      <c r="F6" s="262" t="s">
        <v>309</v>
      </c>
      <c r="G6" s="226">
        <f>'kms replaced'!D31</f>
        <v>2194.39</v>
      </c>
      <c r="H6" s="225">
        <f>$G6-'kms replaced'!E31</f>
        <v>1821.3899999999999</v>
      </c>
      <c r="I6" s="226">
        <f>$G6-'kms replaced'!G31</f>
        <v>1894.3899999999999</v>
      </c>
      <c r="J6" s="227">
        <f>$G6-'kms replaced'!$I31</f>
        <v>2194.39</v>
      </c>
      <c r="K6" s="410">
        <f>(Results!J7+Results!J17)/10^3</f>
        <v>109.19178205647552</v>
      </c>
      <c r="L6" s="411">
        <f>(Results!K7+Results!K17)/10^3</f>
        <v>113.56811007525388</v>
      </c>
      <c r="M6" s="412">
        <f>(Results!L7+Results!L17)/10^3</f>
        <v>131.55301974146633</v>
      </c>
    </row>
    <row r="7" spans="1:13">
      <c r="B7" s="126" t="str">
        <f>Results!C8</f>
        <v>UPS</v>
      </c>
      <c r="C7" s="126" t="str">
        <f>Results!E18</f>
        <v>Steel - LP</v>
      </c>
      <c r="F7" s="262" t="s">
        <v>310</v>
      </c>
      <c r="G7" s="226">
        <f>'kms replaced'!D32</f>
        <v>216.42</v>
      </c>
      <c r="H7" s="225">
        <f>$G7-'kms replaced'!E32</f>
        <v>180.42</v>
      </c>
      <c r="I7" s="226">
        <f>$G7-'kms replaced'!G32</f>
        <v>184.42</v>
      </c>
      <c r="J7" s="227">
        <f>$G7-'kms replaced'!$I32</f>
        <v>216.42</v>
      </c>
      <c r="K7" s="410">
        <f>(Results!J8+Results!J18)/10^3</f>
        <v>0</v>
      </c>
      <c r="L7" s="411">
        <f>(Results!K8+Results!K18)/10^3</f>
        <v>0</v>
      </c>
      <c r="M7" s="412">
        <f>(Results!L8+Results!L18)/10^3</f>
        <v>0</v>
      </c>
    </row>
    <row r="8" spans="1:13">
      <c r="B8" s="126" t="str">
        <f>Results!C9</f>
        <v>PS</v>
      </c>
      <c r="C8" s="126" t="str">
        <f>Results!E19</f>
        <v>Steel - LP</v>
      </c>
      <c r="F8" s="262" t="s">
        <v>311</v>
      </c>
      <c r="G8" s="226">
        <f>'kms replaced'!D33</f>
        <v>121.06</v>
      </c>
      <c r="H8" s="225">
        <f>$G8-'kms replaced'!E33</f>
        <v>106.06</v>
      </c>
      <c r="I8" s="226">
        <f>$G8-'kms replaced'!G33</f>
        <v>104.06</v>
      </c>
      <c r="J8" s="227">
        <f>$G8-'kms replaced'!$I33</f>
        <v>115.06</v>
      </c>
      <c r="K8" s="410">
        <f>(Results!J9+Results!J19)/10^3</f>
        <v>7.4140041178826959</v>
      </c>
      <c r="L8" s="411">
        <f>(Results!K9+Results!K19)/10^3</f>
        <v>7.2741963841870012</v>
      </c>
      <c r="M8" s="412">
        <f>(Results!L9+Results!L19)/10^3</f>
        <v>8.0431389195133232</v>
      </c>
    </row>
    <row r="9" spans="1:13">
      <c r="B9" s="126" t="str">
        <f>Results!C10</f>
        <v>PE</v>
      </c>
      <c r="C9" s="126" t="str">
        <f>Results!E20</f>
        <v>PE - LP</v>
      </c>
      <c r="F9" s="262" t="s">
        <v>312</v>
      </c>
      <c r="G9" s="226">
        <f>'kms replaced'!D34</f>
        <v>723.3</v>
      </c>
      <c r="H9" s="225">
        <f>$G9-'kms replaced'!E34</f>
        <v>520.29999999999995</v>
      </c>
      <c r="I9" s="226">
        <f>$G9-'kms replaced'!G34</f>
        <v>569.29999999999995</v>
      </c>
      <c r="J9" s="227">
        <f>$G9-'kms replaced'!$I34</f>
        <v>723.3</v>
      </c>
      <c r="K9" s="410">
        <f>(Results!J10+Results!J20)/10^3</f>
        <v>42.795052564999743</v>
      </c>
      <c r="L9" s="411">
        <f>(Results!K10+Results!K20)/10^3</f>
        <v>46.825338122726031</v>
      </c>
      <c r="M9" s="412">
        <f>(Results!L10+Results!L20)/10^3</f>
        <v>59.491949875580083</v>
      </c>
    </row>
    <row r="10" spans="1:13">
      <c r="B10" s="126" t="str">
        <f>Results!C11</f>
        <v>CI</v>
      </c>
      <c r="C10" s="126" t="str">
        <f>Results!E21</f>
        <v>Cast iron - MP</v>
      </c>
      <c r="F10" s="262" t="s">
        <v>313</v>
      </c>
      <c r="G10" s="226">
        <f>'kms replaced'!D35</f>
        <v>124.77</v>
      </c>
      <c r="H10" s="225">
        <f>$G10-'kms replaced'!E35</f>
        <v>107.77</v>
      </c>
      <c r="I10" s="226">
        <f>$G10-'kms replaced'!G35</f>
        <v>117.77</v>
      </c>
      <c r="J10" s="227">
        <f>$G10-'kms replaced'!$I35</f>
        <v>124.77</v>
      </c>
      <c r="K10" s="410">
        <f>(Results!J11+Results!J21)/10^3</f>
        <v>0.28753150432548685</v>
      </c>
      <c r="L10" s="411">
        <f>(Results!K11+Results!K21)/10^3</f>
        <v>0.31421161050767921</v>
      </c>
      <c r="M10" s="412">
        <f>(Results!L11+Results!L21)/10^3</f>
        <v>0.33288768483521386</v>
      </c>
    </row>
    <row r="11" spans="1:13">
      <c r="B11" s="126" t="str">
        <f>Results!C12</f>
        <v>UPS</v>
      </c>
      <c r="C11" s="126" t="str">
        <f>Results!E22</f>
        <v>UPS - MP</v>
      </c>
      <c r="F11" s="262" t="s">
        <v>314</v>
      </c>
      <c r="G11" s="226">
        <f>'kms replaced'!D36</f>
        <v>20.32</v>
      </c>
      <c r="H11" s="225">
        <f>$G11-'kms replaced'!E36</f>
        <v>16.32</v>
      </c>
      <c r="I11" s="226">
        <f>$G11-'kms replaced'!G36</f>
        <v>19.32</v>
      </c>
      <c r="J11" s="227">
        <f>$G11-'kms replaced'!$I36</f>
        <v>20.32</v>
      </c>
      <c r="K11" s="410">
        <f>(Results!J12+Results!J22)/10^3</f>
        <v>0.38320619743285028</v>
      </c>
      <c r="L11" s="411">
        <f>(Results!K12+Results!K22)/10^3</f>
        <v>0.45364851313741833</v>
      </c>
      <c r="M11" s="412">
        <f>(Results!L12+Results!L22)/10^3</f>
        <v>0.47712928503894103</v>
      </c>
    </row>
    <row r="12" spans="1:13">
      <c r="F12" s="240" t="s">
        <v>203</v>
      </c>
      <c r="G12" s="233">
        <f>SUM(G6:G11)</f>
        <v>3400.26</v>
      </c>
      <c r="H12" s="232">
        <f>SUM(H6:H11)</f>
        <v>2752.26</v>
      </c>
      <c r="I12" s="233">
        <f t="shared" ref="I12:J12" si="0">SUM(I6:I11)</f>
        <v>2889.26</v>
      </c>
      <c r="J12" s="247">
        <f t="shared" si="0"/>
        <v>3394.26</v>
      </c>
      <c r="K12" s="413">
        <f>SUM(K6:K11)</f>
        <v>160.07157644111632</v>
      </c>
      <c r="L12" s="414">
        <f t="shared" ref="L12:M12" si="1">SUM(L6:L11)</f>
        <v>168.43550470581201</v>
      </c>
      <c r="M12" s="415">
        <f t="shared" si="1"/>
        <v>199.89812550643387</v>
      </c>
    </row>
    <row r="13" spans="1:13">
      <c r="F13" s="237" t="s">
        <v>315</v>
      </c>
      <c r="G13" s="230"/>
      <c r="H13" s="229"/>
      <c r="I13" s="230"/>
      <c r="J13" s="231"/>
      <c r="K13" s="229"/>
      <c r="L13" s="230"/>
      <c r="M13" s="242"/>
    </row>
    <row r="14" spans="1:13">
      <c r="F14" s="262" t="s">
        <v>238</v>
      </c>
      <c r="G14" s="243">
        <f>'kms replaced'!D42</f>
        <v>712.08</v>
      </c>
      <c r="H14" s="225">
        <f>$G14-'kms replaced'!E42</f>
        <v>24.754999999999995</v>
      </c>
      <c r="I14" s="226">
        <f>$G14-'kms replaced'!G42</f>
        <v>156.55500000000006</v>
      </c>
      <c r="J14" s="227">
        <f>$G14-'kms replaced'!$I42</f>
        <v>260.95500000000004</v>
      </c>
      <c r="K14" s="416">
        <f>(Results!J30+Results!J35)/10^3</f>
        <v>1.7463685263688367</v>
      </c>
      <c r="L14" s="344">
        <f>(Results!K30+Results!K35)/10^3</f>
        <v>11.044343552642836</v>
      </c>
      <c r="M14" s="274">
        <f>(Results!L30+Results!L35)/10^3</f>
        <v>18.409355637187637</v>
      </c>
    </row>
    <row r="15" spans="1:13">
      <c r="F15" s="262" t="s">
        <v>239</v>
      </c>
      <c r="G15" s="243">
        <f>'kms replaced'!D43</f>
        <v>939.2</v>
      </c>
      <c r="H15" s="225">
        <f>$G15-'kms replaced'!E43</f>
        <v>89.525000000000091</v>
      </c>
      <c r="I15" s="226">
        <f>$G15-'kms replaced'!G43</f>
        <v>251.32500000000005</v>
      </c>
      <c r="J15" s="227">
        <f>$G15-'kms replaced'!$I43</f>
        <v>448.82500000000005</v>
      </c>
      <c r="K15" s="416">
        <f>(Results!J31+Results!J36)/10^3</f>
        <v>6.6255914276436467</v>
      </c>
      <c r="L15" s="344">
        <f>(Results!K31+Results!K36)/10^3</f>
        <v>18.60013142197753</v>
      </c>
      <c r="M15" s="274">
        <f>(Results!L31+Results!L36)/10^3</f>
        <v>33.216767076371482</v>
      </c>
    </row>
    <row r="16" spans="1:13">
      <c r="F16" s="240" t="s">
        <v>203</v>
      </c>
      <c r="G16" s="248">
        <f>SUM(G14:G15)</f>
        <v>1651.2800000000002</v>
      </c>
      <c r="H16" s="232">
        <f>SUM(H14:H15)</f>
        <v>114.28000000000009</v>
      </c>
      <c r="I16" s="233">
        <f t="shared" ref="I16:J16" si="2">SUM(I14:I15)</f>
        <v>407.88000000000011</v>
      </c>
      <c r="J16" s="247">
        <f t="shared" si="2"/>
        <v>709.78000000000009</v>
      </c>
      <c r="K16" s="417">
        <f>K14+K15</f>
        <v>8.3719599540124836</v>
      </c>
      <c r="L16" s="418">
        <f t="shared" ref="L16:M16" si="3">L14+L15</f>
        <v>29.644474974620366</v>
      </c>
      <c r="M16" s="419">
        <f t="shared" si="3"/>
        <v>51.62612271355912</v>
      </c>
    </row>
    <row r="17" spans="6:13">
      <c r="F17" s="237" t="s">
        <v>316</v>
      </c>
      <c r="G17" s="230"/>
      <c r="H17" s="229"/>
      <c r="I17" s="230"/>
      <c r="J17" s="231"/>
      <c r="K17" s="420"/>
      <c r="L17" s="421"/>
      <c r="M17" s="422"/>
    </row>
    <row r="18" spans="6:13" ht="17.25" thickBot="1">
      <c r="F18" s="244" t="s">
        <v>297</v>
      </c>
      <c r="G18" s="246">
        <f t="shared" ref="G18:M18" si="4">G12+G16</f>
        <v>5051.5400000000009</v>
      </c>
      <c r="H18" s="245">
        <f t="shared" si="4"/>
        <v>2866.5400000000004</v>
      </c>
      <c r="I18" s="246">
        <f t="shared" si="4"/>
        <v>3297.1400000000003</v>
      </c>
      <c r="J18" s="249">
        <f t="shared" si="4"/>
        <v>4104.04</v>
      </c>
      <c r="K18" s="404">
        <f t="shared" si="4"/>
        <v>168.4435363951288</v>
      </c>
      <c r="L18" s="354">
        <f t="shared" si="4"/>
        <v>198.07997968043236</v>
      </c>
      <c r="M18" s="360">
        <f t="shared" si="4"/>
        <v>251.52424821999298</v>
      </c>
    </row>
  </sheetData>
  <mergeCells count="3">
    <mergeCell ref="H3:J3"/>
    <mergeCell ref="G3:G4"/>
    <mergeCell ref="K3:M3"/>
  </mergeCells>
  <pageMargins left="0.7" right="0.7" top="0.75" bottom="0.75" header="0.3" footer="0.3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577A7A"/>
  </sheetPr>
  <dimension ref="A1:BO56"/>
  <sheetViews>
    <sheetView zoomScaleNormal="100" workbookViewId="0">
      <selection activeCell="AD43" sqref="AD43"/>
    </sheetView>
  </sheetViews>
  <sheetFormatPr defaultRowHeight="16.5"/>
  <cols>
    <col min="1" max="2" width="0.85546875" style="126" customWidth="1"/>
    <col min="3" max="4" width="1.7109375" style="126" customWidth="1"/>
    <col min="5" max="5" width="9.140625" style="126"/>
    <col min="6" max="6" width="33.85546875" style="126" bestFit="1" customWidth="1"/>
    <col min="7" max="7" width="20.7109375" style="126" customWidth="1"/>
    <col min="8" max="20" width="9.140625" style="126"/>
    <col min="21" max="21" width="3.5703125" style="126" customWidth="1"/>
    <col min="22" max="22" width="34.5703125" style="126" bestFit="1" customWidth="1"/>
    <col min="23" max="27" width="25.7109375" style="126" customWidth="1"/>
    <col min="28" max="30" width="20.7109375" style="126" customWidth="1"/>
    <col min="31" max="31" width="39.5703125" style="126" bestFit="1" customWidth="1"/>
    <col min="32" max="44" width="15.7109375" style="126" customWidth="1"/>
    <col min="45" max="52" width="20.7109375" style="126" customWidth="1"/>
    <col min="53" max="53" width="39" style="126" bestFit="1" customWidth="1"/>
    <col min="54" max="62" width="20.7109375" style="126" customWidth="1"/>
    <col min="63" max="16384" width="9.140625" style="126"/>
  </cols>
  <sheetData>
    <row r="1" spans="1:25" ht="18" thickBot="1">
      <c r="A1" s="279" t="s">
        <v>317</v>
      </c>
    </row>
    <row r="2" spans="1:25" ht="17.25" thickBot="1">
      <c r="V2" s="446" t="s">
        <v>318</v>
      </c>
      <c r="W2" s="444" t="s">
        <v>319</v>
      </c>
      <c r="X2" s="444"/>
      <c r="Y2" s="445"/>
    </row>
    <row r="3" spans="1:25">
      <c r="F3" s="126" t="s">
        <v>320</v>
      </c>
      <c r="V3" s="447"/>
      <c r="W3" s="392" t="s">
        <v>321</v>
      </c>
      <c r="X3" s="392" t="s">
        <v>322</v>
      </c>
      <c r="Y3" s="392" t="s">
        <v>323</v>
      </c>
    </row>
    <row r="4" spans="1:25" ht="17.25" thickBot="1">
      <c r="K4" s="126">
        <v>20</v>
      </c>
      <c r="L4" s="126">
        <f>K4+1</f>
        <v>21</v>
      </c>
      <c r="M4" s="126">
        <f>L4+1</f>
        <v>22</v>
      </c>
      <c r="N4" s="126">
        <f>K4-8</f>
        <v>12</v>
      </c>
      <c r="O4" s="126">
        <f>N4+1</f>
        <v>13</v>
      </c>
      <c r="P4" s="126">
        <f>O4+1</f>
        <v>14</v>
      </c>
      <c r="Q4" s="126">
        <f>N4-8</f>
        <v>4</v>
      </c>
      <c r="R4" s="126">
        <f>Q4+1</f>
        <v>5</v>
      </c>
      <c r="S4" s="126">
        <f>R4+1</f>
        <v>6</v>
      </c>
      <c r="V4" s="262" t="str">
        <f>'Figures for report 1'!F6</f>
        <v>Cast iron (low pressure)</v>
      </c>
      <c r="W4" s="359">
        <f>($H7-K7)/$H7</f>
        <v>0.83002109925765244</v>
      </c>
      <c r="X4" s="408">
        <f>($H7-N7)/$H7</f>
        <v>0.86328774739221381</v>
      </c>
      <c r="Y4" s="364">
        <f>($H7-Q7)/$H7</f>
        <v>1</v>
      </c>
    </row>
    <row r="5" spans="1:25">
      <c r="F5" s="234" t="s">
        <v>324</v>
      </c>
      <c r="G5" s="287"/>
      <c r="H5" s="449" t="s">
        <v>325</v>
      </c>
      <c r="I5" s="449"/>
      <c r="J5" s="449"/>
      <c r="K5" s="451" t="s">
        <v>321</v>
      </c>
      <c r="L5" s="449"/>
      <c r="M5" s="452"/>
      <c r="N5" s="453" t="s">
        <v>322</v>
      </c>
      <c r="O5" s="449"/>
      <c r="P5" s="449"/>
      <c r="Q5" s="448" t="s">
        <v>323</v>
      </c>
      <c r="R5" s="449"/>
      <c r="S5" s="450"/>
      <c r="V5" s="262" t="str">
        <f>'Figures for report 1'!F7</f>
        <v>Unprotected steel (low pressure)</v>
      </c>
      <c r="W5" s="359">
        <f>($H8-K8)/$H8</f>
        <v>0.83365677848627673</v>
      </c>
      <c r="X5" s="408">
        <f>($H8-N8)/$H8</f>
        <v>0.8521393586544681</v>
      </c>
      <c r="Y5" s="364">
        <f>($H8-Q8)/$H8</f>
        <v>1</v>
      </c>
    </row>
    <row r="6" spans="1:25">
      <c r="F6" s="300" t="s">
        <v>318</v>
      </c>
      <c r="G6" s="301"/>
      <c r="H6" s="302" t="s">
        <v>179</v>
      </c>
      <c r="I6" s="302" t="s">
        <v>180</v>
      </c>
      <c r="J6" s="302" t="s">
        <v>181</v>
      </c>
      <c r="K6" s="303" t="s">
        <v>179</v>
      </c>
      <c r="L6" s="302" t="s">
        <v>180</v>
      </c>
      <c r="M6" s="304" t="s">
        <v>181</v>
      </c>
      <c r="N6" s="302" t="s">
        <v>179</v>
      </c>
      <c r="O6" s="302" t="s">
        <v>180</v>
      </c>
      <c r="P6" s="302" t="s">
        <v>181</v>
      </c>
      <c r="Q6" s="303" t="s">
        <v>179</v>
      </c>
      <c r="R6" s="302" t="s">
        <v>180</v>
      </c>
      <c r="S6" s="305" t="s">
        <v>181</v>
      </c>
      <c r="V6" s="262" t="str">
        <f>'Figures for report 1'!F8</f>
        <v>Protected steel (low pressure)</v>
      </c>
      <c r="W6" s="359">
        <f>($H9-K9)/$H9</f>
        <v>0.87609449859573763</v>
      </c>
      <c r="X6" s="408">
        <f>($H9-N9)/$H9</f>
        <v>0.85957376507516936</v>
      </c>
      <c r="Y6" s="364">
        <f>($H9-Q9)/$H9</f>
        <v>0.95043779943829509</v>
      </c>
    </row>
    <row r="7" spans="1:25">
      <c r="F7" s="262" t="str">
        <f>LEFT('Figures for report 1'!F6,LEN('Figures for report 1'!F6)-15)</f>
        <v>Cast iron</v>
      </c>
      <c r="G7" s="288"/>
      <c r="H7" s="289">
        <f>'kms replaced'!D31</f>
        <v>2194.39</v>
      </c>
      <c r="I7" s="289">
        <f>'kms replaced'!D35</f>
        <v>124.77</v>
      </c>
      <c r="J7" s="282"/>
      <c r="K7" s="281">
        <f>'kms replaced'!E31</f>
        <v>373</v>
      </c>
      <c r="L7" s="289">
        <f>'kms replaced'!E35</f>
        <v>17</v>
      </c>
      <c r="M7" s="391"/>
      <c r="N7" s="289">
        <f>'kms replaced'!G31</f>
        <v>300</v>
      </c>
      <c r="O7" s="289">
        <f>'kms replaced'!G35</f>
        <v>7</v>
      </c>
      <c r="P7" s="282"/>
      <c r="Q7" s="281">
        <f>'kms replaced'!I31</f>
        <v>0</v>
      </c>
      <c r="R7" s="289">
        <f>'kms replaced'!I35</f>
        <v>0</v>
      </c>
      <c r="S7" s="290"/>
      <c r="T7" s="252"/>
      <c r="V7" s="262" t="str">
        <f>'Figures for report 1'!F10</f>
        <v>Cast iron (medium pressure)</v>
      </c>
      <c r="W7" s="359">
        <f>($I7-L7)/$I7</f>
        <v>0.86374929870962569</v>
      </c>
      <c r="X7" s="408">
        <f>($I7-O7)/$I7</f>
        <v>0.94389677005690475</v>
      </c>
      <c r="Y7" s="364">
        <f>($I7-R7)/$I7</f>
        <v>1</v>
      </c>
    </row>
    <row r="8" spans="1:25">
      <c r="F8" s="262" t="str">
        <f>LEFT('Figures for report 1'!F7,LEN('Figures for report 1'!F7)-15)</f>
        <v>Unprotected steel</v>
      </c>
      <c r="G8" s="288"/>
      <c r="H8" s="289">
        <f>'kms replaced'!D32</f>
        <v>216.42</v>
      </c>
      <c r="I8" s="289">
        <f>'kms replaced'!D36</f>
        <v>20.32</v>
      </c>
      <c r="J8" s="282"/>
      <c r="K8" s="281">
        <f>'kms replaced'!E32</f>
        <v>36</v>
      </c>
      <c r="L8" s="289">
        <f>'kms replaced'!E36</f>
        <v>4</v>
      </c>
      <c r="M8" s="283"/>
      <c r="N8" s="289">
        <f>'kms replaced'!G32</f>
        <v>32</v>
      </c>
      <c r="O8" s="289">
        <f>'kms replaced'!G36</f>
        <v>1</v>
      </c>
      <c r="P8" s="282"/>
      <c r="Q8" s="281">
        <f>'kms replaced'!I32</f>
        <v>0</v>
      </c>
      <c r="R8" s="289">
        <f>'kms replaced'!I36</f>
        <v>0</v>
      </c>
      <c r="S8" s="290"/>
      <c r="T8" s="252"/>
      <c r="V8" s="262" t="str">
        <f>'Figures for report 1'!F11</f>
        <v>Unprotected steel (medium pressure)</v>
      </c>
      <c r="W8" s="359">
        <f>($I8-L8)/$I8</f>
        <v>0.80314960629921262</v>
      </c>
      <c r="X8" s="408">
        <f>($I8-O8)/$I8</f>
        <v>0.95078740157480313</v>
      </c>
      <c r="Y8" s="364">
        <f>($I8-R8)/$I8</f>
        <v>1</v>
      </c>
    </row>
    <row r="9" spans="1:25">
      <c r="F9" s="262" t="str">
        <f>LEFT('Figures for report 1'!F8,LEN('Figures for report 1'!F8)-15)</f>
        <v>Protected steel</v>
      </c>
      <c r="G9" s="288"/>
      <c r="H9" s="289">
        <f>'kms replaced'!D33</f>
        <v>121.06</v>
      </c>
      <c r="I9" s="282"/>
      <c r="J9" s="282"/>
      <c r="K9" s="281">
        <f>'kms replaced'!E33</f>
        <v>15</v>
      </c>
      <c r="L9" s="282"/>
      <c r="M9" s="283"/>
      <c r="N9" s="289">
        <f>'kms replaced'!G33</f>
        <v>17</v>
      </c>
      <c r="O9" s="282"/>
      <c r="P9" s="282"/>
      <c r="Q9" s="281">
        <f>'kms replaced'!I33</f>
        <v>6</v>
      </c>
      <c r="R9" s="282"/>
      <c r="S9" s="290"/>
      <c r="T9" s="252"/>
      <c r="V9" s="262" t="s">
        <v>326</v>
      </c>
      <c r="W9" s="359">
        <f>($H14-K14)/$H14</f>
        <v>0.71934190515691965</v>
      </c>
      <c r="X9" s="408">
        <f>($H14-N14)/$H14</f>
        <v>0.78708696253283561</v>
      </c>
      <c r="Y9" s="364">
        <f>($H14-Q14)/$H14</f>
        <v>1</v>
      </c>
    </row>
    <row r="10" spans="1:25">
      <c r="F10" s="442" t="s">
        <v>50</v>
      </c>
      <c r="G10" s="291" t="str">
        <f>'kms replaced'!C13</f>
        <v>HDPE 250</v>
      </c>
      <c r="H10" s="292"/>
      <c r="I10" s="292"/>
      <c r="J10" s="292"/>
      <c r="K10" s="284" cm="1">
        <f t="array" ref="K10">INDEX('kms replaced'!$J$63:$O$86,K$4,$E12)</f>
        <v>155</v>
      </c>
      <c r="L10" s="285" cm="1">
        <f t="array" ref="L10">INDEX('kms replaced'!$J$63:$O$86,L$4,$E12)</f>
        <v>125</v>
      </c>
      <c r="M10" s="286" cm="1">
        <f t="array" ref="M10">INDEX('kms replaced'!$J$63:$O$86,M$4,$E12)</f>
        <v>0</v>
      </c>
      <c r="N10" s="285" cm="1">
        <f t="array" ref="N10">INDEX('kms replaced'!$J$63:$O$86,N$4,$E12)</f>
        <v>118</v>
      </c>
      <c r="O10" s="285" cm="1">
        <f t="array" ref="O10">INDEX('kms replaced'!$J$63:$O$86,O$4,$E12)</f>
        <v>14</v>
      </c>
      <c r="P10" s="285" cm="1">
        <f t="array" ref="P10">INDEX('kms replaced'!$J$63:$O$86,P$4,$E12)</f>
        <v>0</v>
      </c>
      <c r="Q10" s="284" cm="1">
        <f t="array" ref="Q10">INDEX('kms replaced'!$J$63:$O$86,Q$4,$E12)</f>
        <v>0</v>
      </c>
      <c r="R10" s="285" cm="1">
        <f t="array" ref="R10">INDEX('kms replaced'!$J$63:$O$86,R$4,$E12)</f>
        <v>0</v>
      </c>
      <c r="S10" s="293" cm="1">
        <f t="array" ref="S10">INDEX('kms replaced'!$J$63:$O$86,S$4,$E12)</f>
        <v>0</v>
      </c>
      <c r="T10" s="252"/>
      <c r="V10" s="262" t="s">
        <v>327</v>
      </c>
      <c r="W10" s="359">
        <f>($I14-L14)/$I14</f>
        <v>3.476435231996404E-2</v>
      </c>
      <c r="X10" s="408">
        <f>($I14-O14)/$I14</f>
        <v>0.21985591506572302</v>
      </c>
      <c r="Y10" s="364">
        <f>($I14-R14)/$I14</f>
        <v>0.36646865520728011</v>
      </c>
    </row>
    <row r="11" spans="1:25" ht="17.25" thickBot="1">
      <c r="F11" s="442"/>
      <c r="G11" s="291" t="str">
        <f>'kms replaced'!C14</f>
        <v>HDPE 575</v>
      </c>
      <c r="H11" s="282"/>
      <c r="I11" s="282"/>
      <c r="J11" s="282"/>
      <c r="K11" s="284" cm="1">
        <f t="array" ref="K11">INDEX('kms replaced'!$J$63:$O$86,K$4,$E13)</f>
        <v>48</v>
      </c>
      <c r="L11" s="285" cm="1">
        <f t="array" ref="L11">INDEX('kms replaced'!$J$63:$O$86,L$4,$E13)</f>
        <v>491</v>
      </c>
      <c r="M11" s="286" cm="1">
        <f t="array" ref="M11">INDEX('kms replaced'!$J$63:$O$86,M$4,$E13)</f>
        <v>765</v>
      </c>
      <c r="N11" s="285" cm="1">
        <f t="array" ref="N11">INDEX('kms replaced'!$J$63:$O$86,N$4,$E13)</f>
        <v>36</v>
      </c>
      <c r="O11" s="285" cm="1">
        <f t="array" ref="O11">INDEX('kms replaced'!$J$63:$O$86,O$4,$E13)</f>
        <v>470.2</v>
      </c>
      <c r="P11" s="285" cm="1">
        <f t="array" ref="P11">INDEX('kms replaced'!$J$63:$O$86,P$4,$E13)</f>
        <v>603.20000000000005</v>
      </c>
      <c r="Q11" s="284" cm="1">
        <f t="array" ref="Q11">INDEX('kms replaced'!$J$63:$O$86,Q$4,$E13)</f>
        <v>0</v>
      </c>
      <c r="R11" s="285" cm="1">
        <f t="array" ref="R11">INDEX('kms replaced'!$J$63:$O$86,R$4,$E13)</f>
        <v>379.8</v>
      </c>
      <c r="S11" s="293" cm="1">
        <f t="array" ref="S11">INDEX('kms replaced'!$J$63:$O$86,S$4,$E13)</f>
        <v>405.7</v>
      </c>
      <c r="T11" s="252"/>
      <c r="V11" s="265" t="s">
        <v>328</v>
      </c>
      <c r="W11" s="407">
        <f>($J14-M14)/$J14</f>
        <v>9.5320485519591228E-2</v>
      </c>
      <c r="X11" s="409">
        <f>($J14-P14)/$J14</f>
        <v>0.26759476149914824</v>
      </c>
      <c r="Y11" s="365">
        <f>($J14-S14)/$J14</f>
        <v>0.47788011073253833</v>
      </c>
    </row>
    <row r="12" spans="1:25">
      <c r="E12" s="299">
        <v>1</v>
      </c>
      <c r="F12" s="442"/>
      <c r="G12" s="291" t="str">
        <f>'kms replaced'!C15</f>
        <v>PE 80</v>
      </c>
      <c r="H12" s="282"/>
      <c r="I12" s="282"/>
      <c r="J12" s="282"/>
      <c r="K12" s="284">
        <v>0</v>
      </c>
      <c r="L12" s="285">
        <f>'kms replaced'!$F$24</f>
        <v>71.324999999999989</v>
      </c>
      <c r="M12" s="286">
        <f>'kms replaced'!$F$25</f>
        <v>84.675000000000011</v>
      </c>
      <c r="N12" s="285">
        <v>0</v>
      </c>
      <c r="O12" s="285">
        <f>'kms replaced'!$F$24</f>
        <v>71.324999999999989</v>
      </c>
      <c r="P12" s="285">
        <f>'kms replaced'!$F$25</f>
        <v>84.675000000000011</v>
      </c>
      <c r="Q12" s="284">
        <v>0</v>
      </c>
      <c r="R12" s="285">
        <f>'kms replaced'!$F$24</f>
        <v>71.324999999999989</v>
      </c>
      <c r="S12" s="293">
        <f>'kms replaced'!$F$25</f>
        <v>84.675000000000011</v>
      </c>
      <c r="T12" s="252"/>
    </row>
    <row r="13" spans="1:25">
      <c r="E13" s="299">
        <f>E12+1</f>
        <v>2</v>
      </c>
      <c r="F13" s="442"/>
      <c r="G13" s="291" t="str">
        <f>'kms replaced'!C16</f>
        <v>PE 100</v>
      </c>
      <c r="H13" s="282"/>
      <c r="I13" s="282"/>
      <c r="J13" s="282"/>
      <c r="K13" s="284">
        <v>0</v>
      </c>
      <c r="L13" s="285">
        <v>0</v>
      </c>
      <c r="M13" s="286">
        <v>0</v>
      </c>
      <c r="N13" s="285">
        <v>0</v>
      </c>
      <c r="O13" s="285">
        <v>0</v>
      </c>
      <c r="P13" s="285">
        <v>0</v>
      </c>
      <c r="Q13" s="284">
        <v>0</v>
      </c>
      <c r="R13" s="285">
        <v>0</v>
      </c>
      <c r="S13" s="293">
        <v>0</v>
      </c>
      <c r="T13" s="252"/>
    </row>
    <row r="14" spans="1:25" ht="17.25" thickBot="1">
      <c r="E14" s="299">
        <f t="shared" ref="E14:E15" si="0">E13+1</f>
        <v>3</v>
      </c>
      <c r="F14" s="443"/>
      <c r="G14" s="294" t="s">
        <v>127</v>
      </c>
      <c r="H14" s="295">
        <f>'kms replaced'!D34</f>
        <v>723.3</v>
      </c>
      <c r="I14" s="295">
        <f>'kms replaced'!D42</f>
        <v>712.08</v>
      </c>
      <c r="J14" s="295">
        <f>'kms replaced'!D43</f>
        <v>939.2</v>
      </c>
      <c r="K14" s="296">
        <f>SUM(K10:K13)</f>
        <v>203</v>
      </c>
      <c r="L14" s="295">
        <f t="shared" ref="L14:M14" si="1">SUM(L10:L13)</f>
        <v>687.32500000000005</v>
      </c>
      <c r="M14" s="297">
        <f t="shared" si="1"/>
        <v>849.67499999999995</v>
      </c>
      <c r="N14" s="295">
        <f>SUM(N10:N13)</f>
        <v>154</v>
      </c>
      <c r="O14" s="295">
        <f t="shared" ref="O14" si="2">SUM(O10:O13)</f>
        <v>555.52499999999998</v>
      </c>
      <c r="P14" s="295">
        <f t="shared" ref="P14" si="3">SUM(P10:P13)</f>
        <v>687.875</v>
      </c>
      <c r="Q14" s="296">
        <f>SUM(Q10:Q13)</f>
        <v>0</v>
      </c>
      <c r="R14" s="295">
        <f t="shared" ref="R14" si="4">SUM(R10:R13)</f>
        <v>451.125</v>
      </c>
      <c r="S14" s="298">
        <f t="shared" ref="S14" si="5">SUM(S10:S13)</f>
        <v>490.375</v>
      </c>
      <c r="T14" s="252"/>
    </row>
    <row r="15" spans="1:25">
      <c r="E15" s="299">
        <f t="shared" si="0"/>
        <v>4</v>
      </c>
      <c r="T15" s="252"/>
    </row>
    <row r="16" spans="1:25">
      <c r="T16" s="252"/>
    </row>
    <row r="17" spans="6:67">
      <c r="H17" s="252"/>
      <c r="I17" s="252"/>
      <c r="J17" s="252"/>
      <c r="K17" s="252"/>
      <c r="L17" s="252"/>
      <c r="M17" s="252"/>
      <c r="N17" s="252"/>
      <c r="O17" s="252"/>
      <c r="P17" s="252"/>
      <c r="Q17" s="252"/>
      <c r="R17" s="252"/>
      <c r="S17" s="252"/>
      <c r="T17" s="252"/>
      <c r="BC17" s="126">
        <v>1</v>
      </c>
      <c r="BD17" s="126">
        <f>BC17+2</f>
        <v>3</v>
      </c>
      <c r="BE17" s="126">
        <f>BD17+2</f>
        <v>5</v>
      </c>
    </row>
    <row r="18" spans="6:67" ht="17.25" thickBot="1">
      <c r="H18" s="252"/>
      <c r="I18" s="252"/>
      <c r="J18" s="254"/>
      <c r="K18" s="334">
        <f>'kms replaced'!E34</f>
        <v>203</v>
      </c>
      <c r="L18" s="334">
        <f>'kms replaced'!E42</f>
        <v>687.32500000000005</v>
      </c>
      <c r="M18" s="334">
        <f>'kms replaced'!E43</f>
        <v>849.67499999999995</v>
      </c>
      <c r="N18" s="334">
        <f>'kms replaced'!G34</f>
        <v>154</v>
      </c>
      <c r="O18" s="334">
        <f>'kms replaced'!G42</f>
        <v>555.52499999999998</v>
      </c>
      <c r="P18" s="334">
        <f>'kms replaced'!G43</f>
        <v>687.875</v>
      </c>
      <c r="Q18" s="334">
        <f>'kms replaced'!I34</f>
        <v>0</v>
      </c>
      <c r="R18" s="334">
        <f>'kms replaced'!I42</f>
        <v>451.125</v>
      </c>
      <c r="S18" s="334">
        <f>'kms replaced'!I43</f>
        <v>490.375</v>
      </c>
      <c r="T18" s="252"/>
      <c r="AL18" s="127">
        <f>'ICB calcs - per asset calc'!F15-'ICB calcs - per asset calc'!F14</f>
        <v>13</v>
      </c>
      <c r="AP18" s="127">
        <f>'ICB calcs - per asset calc'!F16-'ICB calcs - per asset calc'!F15</f>
        <v>10</v>
      </c>
      <c r="AU18"/>
      <c r="AV18"/>
      <c r="AW18"/>
      <c r="AX18"/>
    </row>
    <row r="19" spans="6:67" ht="15.75" customHeight="1" thickBot="1">
      <c r="J19" s="366" t="s">
        <v>280</v>
      </c>
      <c r="K19" s="335">
        <f t="shared" ref="K19:S19" si="6">K14-K18</f>
        <v>0</v>
      </c>
      <c r="L19" s="335">
        <f t="shared" si="6"/>
        <v>0</v>
      </c>
      <c r="M19" s="335">
        <f t="shared" si="6"/>
        <v>0</v>
      </c>
      <c r="N19" s="335">
        <f t="shared" si="6"/>
        <v>0</v>
      </c>
      <c r="O19" s="335">
        <f t="shared" si="6"/>
        <v>0</v>
      </c>
      <c r="P19" s="335">
        <f t="shared" si="6"/>
        <v>0</v>
      </c>
      <c r="Q19" s="335">
        <f t="shared" si="6"/>
        <v>0</v>
      </c>
      <c r="R19" s="335">
        <f t="shared" si="6"/>
        <v>0</v>
      </c>
      <c r="S19" s="335">
        <f t="shared" si="6"/>
        <v>0</v>
      </c>
      <c r="AE19" s="393"/>
      <c r="AF19" s="439" t="s">
        <v>166</v>
      </c>
      <c r="AG19" s="439" t="s">
        <v>329</v>
      </c>
      <c r="AH19" s="439" t="s">
        <v>330</v>
      </c>
      <c r="AI19" s="439" t="s">
        <v>331</v>
      </c>
      <c r="AJ19" s="439" t="s">
        <v>332</v>
      </c>
      <c r="AK19" s="439" t="s">
        <v>333</v>
      </c>
      <c r="AL19" s="439" t="s">
        <v>334</v>
      </c>
      <c r="AM19" s="439" t="s">
        <v>335</v>
      </c>
      <c r="AN19" s="439" t="s">
        <v>336</v>
      </c>
      <c r="AO19" s="439" t="s">
        <v>337</v>
      </c>
      <c r="AP19" s="439" t="s">
        <v>338</v>
      </c>
      <c r="AQ19" s="439" t="s">
        <v>339</v>
      </c>
      <c r="AR19" s="439" t="s">
        <v>340</v>
      </c>
      <c r="AS19" s="441" t="s">
        <v>341</v>
      </c>
      <c r="AU19"/>
      <c r="AV19"/>
      <c r="AW19"/>
      <c r="AX19"/>
      <c r="BA19" s="340"/>
      <c r="BB19" s="439" t="s">
        <v>342</v>
      </c>
      <c r="BC19" s="444" t="s">
        <v>319</v>
      </c>
      <c r="BD19" s="444"/>
      <c r="BE19" s="444"/>
      <c r="BF19" s="444" t="s">
        <v>343</v>
      </c>
      <c r="BG19" s="444"/>
      <c r="BH19" s="445"/>
    </row>
    <row r="20" spans="6:67" ht="51" customHeight="1">
      <c r="V20" s="272" t="s">
        <v>344</v>
      </c>
      <c r="W20" s="429" t="s">
        <v>345</v>
      </c>
      <c r="X20" s="430" t="s">
        <v>346</v>
      </c>
      <c r="AE20" s="340"/>
      <c r="AF20" s="440"/>
      <c r="AG20" s="440"/>
      <c r="AH20" s="440"/>
      <c r="AI20" s="440"/>
      <c r="AJ20" s="440"/>
      <c r="AK20" s="440"/>
      <c r="AL20" s="440"/>
      <c r="AM20" s="440"/>
      <c r="AN20" s="440"/>
      <c r="AO20" s="440"/>
      <c r="AP20" s="440"/>
      <c r="AQ20" s="440"/>
      <c r="AR20" s="440"/>
      <c r="AS20" s="454"/>
      <c r="AU20"/>
      <c r="AV20"/>
      <c r="AW20"/>
      <c r="AX20"/>
      <c r="BA20" s="340"/>
      <c r="BB20" s="440"/>
      <c r="BC20" s="392" t="s">
        <v>321</v>
      </c>
      <c r="BD20" s="392" t="s">
        <v>322</v>
      </c>
      <c r="BE20" s="392" t="s">
        <v>323</v>
      </c>
      <c r="BF20" s="392" t="s">
        <v>321</v>
      </c>
      <c r="BG20" s="392" t="s">
        <v>322</v>
      </c>
      <c r="BH20" s="392" t="s">
        <v>323</v>
      </c>
    </row>
    <row r="21" spans="6:67">
      <c r="V21" s="262" t="s">
        <v>6</v>
      </c>
      <c r="W21" s="371">
        <f>'ICB calcs - per asset calc'!F23</f>
        <v>370.40335403875167</v>
      </c>
      <c r="X21" s="386">
        <f>'ICB calcs - per asset calc'!G23</f>
        <v>47</v>
      </c>
      <c r="AE21" s="341" t="s">
        <v>6</v>
      </c>
      <c r="AF21" s="342"/>
      <c r="AG21" s="342"/>
      <c r="AH21" s="342"/>
      <c r="AI21" s="342"/>
      <c r="AJ21" s="342"/>
      <c r="AK21" s="342"/>
      <c r="AL21" s="342"/>
      <c r="AM21" s="342"/>
      <c r="AN21" s="342"/>
      <c r="AO21" s="342"/>
      <c r="AP21" s="342"/>
      <c r="AQ21" s="342"/>
      <c r="AR21" s="342"/>
      <c r="AS21" s="343"/>
      <c r="AU21"/>
      <c r="AV21"/>
      <c r="AW21"/>
      <c r="AX21"/>
      <c r="BA21" s="341" t="str">
        <f t="shared" ref="BA21:BA52" si="7">AE21</f>
        <v>Mains</v>
      </c>
      <c r="BB21" s="342" t="s">
        <v>347</v>
      </c>
      <c r="BC21" s="400"/>
      <c r="BD21" s="342"/>
      <c r="BE21" s="395"/>
      <c r="BF21" s="342"/>
      <c r="BG21" s="342"/>
      <c r="BH21" s="343"/>
      <c r="BK21"/>
      <c r="BL21"/>
      <c r="BM21"/>
    </row>
    <row r="22" spans="6:67">
      <c r="V22" s="262" t="s">
        <v>348</v>
      </c>
      <c r="W22" s="371">
        <f>'ICB calcs - per asset calc'!F24</f>
        <v>173.14872578234971</v>
      </c>
      <c r="X22" s="386">
        <f>'ICB calcs - per asset calc'!G24</f>
        <v>27</v>
      </c>
      <c r="AB22" s="322" t="s">
        <v>349</v>
      </c>
      <c r="AC22" s="126" t="s">
        <v>223</v>
      </c>
      <c r="AD22" s="142" t="str">
        <f>CONCATENATE('ICB calcs - per asset calc'!C38,"_",'ICB calcs - per asset calc'!E38,"_",'ICB calcs - per asset calc'!A38)</f>
        <v>PS_Low_</v>
      </c>
      <c r="AE22" s="262" t="str">
        <f>CONCATENATE(AC22,AB22)</f>
        <v>Protected steel - Low pressure</v>
      </c>
      <c r="AF22" s="344">
        <f>'ICB calcs - per asset calc'!H38/10^3</f>
        <v>7.777635882607691</v>
      </c>
      <c r="AG22" s="356">
        <f>AF22*'ICB calcs - per asset calc'!$F$19/'Figures for report 2'!$AF$38</f>
        <v>5.7726861938615137</v>
      </c>
      <c r="AH22" s="226">
        <f>'ICB calcs - per asset calc'!F38</f>
        <v>121.06</v>
      </c>
      <c r="AI22" s="344">
        <f>'ICB calcs - per asset calc'!G38</f>
        <v>24.709223525524532</v>
      </c>
      <c r="AJ22" s="228">
        <f>'ICB calcs - per asset calc'!L38</f>
        <v>120</v>
      </c>
      <c r="AK22" s="344">
        <f>AJ22-AI22</f>
        <v>95.290776474475464</v>
      </c>
      <c r="AL22" s="344">
        <f t="shared" ref="AL22:AL37" si="8">MIN(AG22*AL$18/AK22,AG22)</f>
        <v>0.78753603755449697</v>
      </c>
      <c r="AM22" s="356">
        <f t="shared" ref="AM22:AM37" si="9">AG22-AL22</f>
        <v>4.9851501563070171</v>
      </c>
      <c r="AN22" s="344">
        <f>AK22-AL$18</f>
        <v>82.290776474475464</v>
      </c>
      <c r="AO22" s="344">
        <f>MAX(AK22*'ICB calcs - per asset calc'!$F$11-AL$18,0)</f>
        <v>74.960716745669657</v>
      </c>
      <c r="AP22" s="344">
        <f t="shared" ref="AP22:AP37" si="10">IF(AO22=0,AM22,MIN(AM22*AP$18/AO22,AM22))</f>
        <v>0.66503501737061499</v>
      </c>
      <c r="AQ22" s="356">
        <f>AM22-AP22</f>
        <v>4.3201151389364023</v>
      </c>
      <c r="AR22" s="356">
        <f>AQ22*'Inflation assumptions'!$R$18</f>
        <v>7.3580835343218922</v>
      </c>
      <c r="AS22" s="373">
        <f>AR22*$X$36/$AR$38</f>
        <v>8.4625621206004098</v>
      </c>
      <c r="AU22"/>
      <c r="AV22"/>
      <c r="AW22"/>
      <c r="AX22"/>
      <c r="BA22" s="262" t="str">
        <f t="shared" si="7"/>
        <v>Protected steel - Low pressure</v>
      </c>
      <c r="BB22" s="344">
        <f>AS22</f>
        <v>8.4625621206004098</v>
      </c>
      <c r="BC22" s="401" cm="1">
        <f t="array" ref="BC22">IFERROR(INDEX('kms replaced'!$F$31:$J$44,'Figures for report 2'!$BO22,BC$17),"n/a")</f>
        <v>0.87609449859573763</v>
      </c>
      <c r="BD22" s="359" cm="1">
        <f t="array" ref="BD22">IFERROR(INDEX('kms replaced'!$F$31:$J$44,'Figures for report 2'!$BO22,BD$17),"n/a")</f>
        <v>0.85957376507516936</v>
      </c>
      <c r="BE22" s="396" cm="1">
        <f t="array" ref="BE22">IFERROR(INDEX('kms replaced'!$F$31:$J$44,'Figures for report 2'!$BO22,BE$17),"n/a")</f>
        <v>0.95043779943829509</v>
      </c>
      <c r="BF22" s="344">
        <f t="shared" ref="BF22:BF37" si="11">IFERROR(BC22*$BB22,"n/a")</f>
        <v>7.4140041178826985</v>
      </c>
      <c r="BG22" s="344">
        <f t="shared" ref="BG22:BG37" si="12">IFERROR(BD22*$BB22,"n/a")</f>
        <v>7.2741963841870039</v>
      </c>
      <c r="BH22" s="274">
        <f>IFERROR(BE22*$BB22,"n/a")</f>
        <v>8.0431389195133249</v>
      </c>
      <c r="BK22"/>
      <c r="BL22"/>
      <c r="BM22"/>
      <c r="BO22" s="390">
        <v>3</v>
      </c>
    </row>
    <row r="23" spans="6:67" ht="17.25" thickBot="1">
      <c r="V23" s="244" t="s">
        <v>350</v>
      </c>
      <c r="W23" s="372">
        <f>W21+W22</f>
        <v>543.55207982110142</v>
      </c>
      <c r="X23" s="370"/>
      <c r="AB23" s="322" t="s">
        <v>351</v>
      </c>
      <c r="AC23" s="126" t="s">
        <v>223</v>
      </c>
      <c r="AD23" s="142" t="str">
        <f>CONCATENATE('ICB calcs - per asset calc'!C39,"_",'ICB calcs - per asset calc'!E39,"_",'ICB calcs - per asset calc'!A39)</f>
        <v>PS_Medium_</v>
      </c>
      <c r="AE23" s="262" t="str">
        <f t="shared" ref="AE23:AE37" si="13">CONCATENATE(AC23,AB23)</f>
        <v>Protected steel - Medium pressure</v>
      </c>
      <c r="AF23" s="344">
        <f>'ICB calcs - per asset calc'!H39/10^3</f>
        <v>48.87657927842308</v>
      </c>
      <c r="AG23" s="356">
        <f>AF23*'ICB calcs - per asset calc'!$F$19/'Figures for report 2'!$AF$38</f>
        <v>36.276981676999192</v>
      </c>
      <c r="AH23" s="226">
        <f>'ICB calcs - per asset calc'!F39</f>
        <v>461.77</v>
      </c>
      <c r="AI23" s="344">
        <f>'ICB calcs - per asset calc'!G39</f>
        <v>17.417591008510733</v>
      </c>
      <c r="AJ23" s="228">
        <f>'ICB calcs - per asset calc'!L39</f>
        <v>120</v>
      </c>
      <c r="AK23" s="344">
        <f t="shared" ref="AK23:AK51" si="14">AJ23-AI23</f>
        <v>102.58240899148927</v>
      </c>
      <c r="AL23" s="344">
        <f t="shared" si="8"/>
        <v>4.5972868685518566</v>
      </c>
      <c r="AM23" s="356">
        <f t="shared" si="9"/>
        <v>31.679694808447337</v>
      </c>
      <c r="AN23" s="344">
        <f t="shared" ref="AN23:AN37" si="15">AK23-AL$18</f>
        <v>89.582408991489274</v>
      </c>
      <c r="AO23" s="344">
        <f>MAX(AK23*'ICB calcs - per asset calc'!$F$11-AL$18,0)</f>
        <v>81.691454453682411</v>
      </c>
      <c r="AP23" s="344">
        <f t="shared" si="10"/>
        <v>3.8779692466375604</v>
      </c>
      <c r="AQ23" s="356">
        <f t="shared" ref="AQ23:AQ37" si="16">AM23-AP23</f>
        <v>27.801725561809775</v>
      </c>
      <c r="AR23" s="356">
        <f>AQ23*'Inflation assumptions'!$R$18</f>
        <v>47.352307173102886</v>
      </c>
      <c r="AS23" s="373">
        <f t="shared" ref="AS23:AS37" si="17">AR23*$X$36/$AR$38</f>
        <v>54.46008313672472</v>
      </c>
      <c r="AU23"/>
      <c r="AV23"/>
      <c r="AW23"/>
      <c r="AX23"/>
      <c r="BA23" s="262" t="str">
        <f t="shared" si="7"/>
        <v>Protected steel - Medium pressure</v>
      </c>
      <c r="BB23" s="344">
        <f t="shared" ref="BB23:BB53" si="18">AS23</f>
        <v>54.46008313672472</v>
      </c>
      <c r="BC23" s="401" t="str" cm="1">
        <f t="array" ref="BC23">IFERROR(INDEX('kms replaced'!$F$31:$J$44,'Figures for report 2'!$BO23,BC$17),"n/a")</f>
        <v>n/a</v>
      </c>
      <c r="BD23" s="359" t="str" cm="1">
        <f t="array" ref="BD23">IFERROR(INDEX('kms replaced'!$F$31:$J$44,'Figures for report 2'!$BO23,BD$17),"n/a")</f>
        <v>n/a</v>
      </c>
      <c r="BE23" s="396" t="str" cm="1">
        <f t="array" ref="BE23">IFERROR(INDEX('kms replaced'!$F$31:$J$44,'Figures for report 2'!$BO23,BE$17),"n/a")</f>
        <v>n/a</v>
      </c>
      <c r="BF23" s="344" t="str">
        <f t="shared" si="11"/>
        <v>n/a</v>
      </c>
      <c r="BG23" s="344" t="str">
        <f t="shared" si="12"/>
        <v>n/a</v>
      </c>
      <c r="BH23" s="274" t="str">
        <f t="shared" ref="BH23:BH37" si="19">IFERROR(BE23*$BB23,"n/a")</f>
        <v>n/a</v>
      </c>
      <c r="BK23"/>
      <c r="BL23"/>
      <c r="BM23"/>
      <c r="BO23" s="390" t="s">
        <v>352</v>
      </c>
    </row>
    <row r="24" spans="6:67">
      <c r="AB24" s="322" t="s">
        <v>353</v>
      </c>
      <c r="AC24" s="126" t="s">
        <v>223</v>
      </c>
      <c r="AD24" s="142" t="str">
        <f>CONCATENATE('ICB calcs - per asset calc'!C40,"_",'ICB calcs - per asset calc'!E40,"_",'ICB calcs - per asset calc'!A40)</f>
        <v>PS_High_</v>
      </c>
      <c r="AE24" s="262" t="str">
        <f t="shared" si="13"/>
        <v>Protected steel - High pressure</v>
      </c>
      <c r="AF24" s="344">
        <f>'ICB calcs - per asset calc'!H40/10^3</f>
        <v>94.120180740519245</v>
      </c>
      <c r="AG24" s="356">
        <f>AF24*'ICB calcs - per asset calc'!$F$19/'Figures for report 2'!$AF$38</f>
        <v>69.857508904412612</v>
      </c>
      <c r="AH24" s="226">
        <f>'ICB calcs - per asset calc'!F40</f>
        <v>1049.28</v>
      </c>
      <c r="AI24" s="344">
        <f>'ICB calcs - per asset calc'!G40</f>
        <v>21.954698936413543</v>
      </c>
      <c r="AJ24" s="228">
        <f>'ICB calcs - per asset calc'!L40</f>
        <v>120</v>
      </c>
      <c r="AK24" s="344">
        <f t="shared" si="14"/>
        <v>98.045301063586464</v>
      </c>
      <c r="AL24" s="344">
        <f t="shared" si="8"/>
        <v>9.262530747581593</v>
      </c>
      <c r="AM24" s="356">
        <f t="shared" si="9"/>
        <v>60.594978156831019</v>
      </c>
      <c r="AN24" s="344">
        <f t="shared" si="15"/>
        <v>85.045301063586464</v>
      </c>
      <c r="AO24" s="344">
        <f>MAX(AK24*'ICB calcs - per asset calc'!$F$11-AL$18,0)</f>
        <v>77.503354827925975</v>
      </c>
      <c r="AP24" s="344">
        <f t="shared" si="10"/>
        <v>7.8183684166143301</v>
      </c>
      <c r="AQ24" s="356">
        <f t="shared" si="16"/>
        <v>52.776609740216685</v>
      </c>
      <c r="AR24" s="356">
        <f>AQ24*'Inflation assumptions'!$R$18</f>
        <v>89.889896597160487</v>
      </c>
      <c r="AS24" s="373">
        <f t="shared" si="17"/>
        <v>103.38273959782144</v>
      </c>
      <c r="AU24"/>
      <c r="AV24"/>
      <c r="AW24"/>
      <c r="AX24"/>
      <c r="BA24" s="262" t="str">
        <f t="shared" si="7"/>
        <v>Protected steel - High pressure</v>
      </c>
      <c r="BB24" s="344">
        <f t="shared" si="18"/>
        <v>103.38273959782144</v>
      </c>
      <c r="BC24" s="401" t="str" cm="1">
        <f t="array" ref="BC24">IFERROR(INDEX('kms replaced'!$F$31:$J$44,'Figures for report 2'!$BO24,BC$17),"n/a")</f>
        <v>n/a</v>
      </c>
      <c r="BD24" s="359" t="str" cm="1">
        <f t="array" ref="BD24">IFERROR(INDEX('kms replaced'!$F$31:$J$44,'Figures for report 2'!$BO24,BD$17),"n/a")</f>
        <v>n/a</v>
      </c>
      <c r="BE24" s="396" t="str" cm="1">
        <f t="array" ref="BE24">IFERROR(INDEX('kms replaced'!$F$31:$J$44,'Figures for report 2'!$BO24,BE$17),"n/a")</f>
        <v>n/a</v>
      </c>
      <c r="BF24" s="344" t="str">
        <f t="shared" si="11"/>
        <v>n/a</v>
      </c>
      <c r="BG24" s="344" t="str">
        <f t="shared" si="12"/>
        <v>n/a</v>
      </c>
      <c r="BH24" s="274" t="str">
        <f t="shared" si="19"/>
        <v>n/a</v>
      </c>
      <c r="BK24"/>
      <c r="BL24"/>
      <c r="BM24"/>
      <c r="BO24" s="390" t="s">
        <v>352</v>
      </c>
    </row>
    <row r="25" spans="6:67">
      <c r="AB25" s="322" t="s">
        <v>354</v>
      </c>
      <c r="AC25" s="126" t="s">
        <v>223</v>
      </c>
      <c r="AD25" s="142" t="str">
        <f>CONCATENATE('ICB calcs - per asset calc'!C41,"_",'ICB calcs - per asset calc'!E41,"_",'ICB calcs - per asset calc'!A41)</f>
        <v>PS_Transmission_</v>
      </c>
      <c r="AE25" s="262" t="str">
        <f t="shared" si="13"/>
        <v>Protected steel - Transmission</v>
      </c>
      <c r="AF25" s="344">
        <f>'ICB calcs - per asset calc'!H41/10^3</f>
        <v>53.436551173628196</v>
      </c>
      <c r="AG25" s="356">
        <f>AF25*'ICB calcs - per asset calc'!$F$19/'Figures for report 2'!$AF$38</f>
        <v>39.661466011462714</v>
      </c>
      <c r="AH25" s="226">
        <f>'ICB calcs - per asset calc'!F41</f>
        <v>173.316</v>
      </c>
      <c r="AI25" s="344">
        <f>'ICB calcs - per asset calc'!G41</f>
        <v>23.223868540700224</v>
      </c>
      <c r="AJ25" s="228">
        <f>'ICB calcs - per asset calc'!L41</f>
        <v>120</v>
      </c>
      <c r="AK25" s="344">
        <f t="shared" si="14"/>
        <v>96.776131459299776</v>
      </c>
      <c r="AL25" s="344">
        <f t="shared" si="8"/>
        <v>5.3277502455846344</v>
      </c>
      <c r="AM25" s="356">
        <f t="shared" si="9"/>
        <v>34.333715765878082</v>
      </c>
      <c r="AN25" s="344">
        <f t="shared" si="15"/>
        <v>83.776131459299776</v>
      </c>
      <c r="AO25" s="344">
        <f>MAX(AK25*'ICB calcs - per asset calc'!$F$11-AL$18,0)</f>
        <v>76.331813654738255</v>
      </c>
      <c r="AP25" s="344">
        <f t="shared" si="10"/>
        <v>4.4979562415712149</v>
      </c>
      <c r="AQ25" s="356">
        <f t="shared" si="16"/>
        <v>29.835759524306866</v>
      </c>
      <c r="AR25" s="356">
        <f>AQ25*'Inflation assumptions'!$R$18</f>
        <v>50.81670368254084</v>
      </c>
      <c r="AS25" s="373">
        <f t="shared" si="17"/>
        <v>58.444499803749117</v>
      </c>
      <c r="AU25"/>
      <c r="AV25"/>
      <c r="AW25"/>
      <c r="AX25"/>
      <c r="BA25" s="262" t="str">
        <f t="shared" si="7"/>
        <v>Protected steel - Transmission</v>
      </c>
      <c r="BB25" s="344">
        <f t="shared" si="18"/>
        <v>58.444499803749117</v>
      </c>
      <c r="BC25" s="401" t="str" cm="1">
        <f t="array" ref="BC25">IFERROR(INDEX('kms replaced'!$F$31:$J$44,'Figures for report 2'!$BO25,BC$17),"n/a")</f>
        <v>n/a</v>
      </c>
      <c r="BD25" s="359" t="str" cm="1">
        <f t="array" ref="BD25">IFERROR(INDEX('kms replaced'!$F$31:$J$44,'Figures for report 2'!$BO25,BD$17),"n/a")</f>
        <v>n/a</v>
      </c>
      <c r="BE25" s="396" t="str" cm="1">
        <f t="array" ref="BE25">IFERROR(INDEX('kms replaced'!$F$31:$J$44,'Figures for report 2'!$BO25,BE$17),"n/a")</f>
        <v>n/a</v>
      </c>
      <c r="BF25" s="344" t="str">
        <f t="shared" si="11"/>
        <v>n/a</v>
      </c>
      <c r="BG25" s="344" t="str">
        <f t="shared" si="12"/>
        <v>n/a</v>
      </c>
      <c r="BH25" s="274" t="str">
        <f t="shared" si="19"/>
        <v>n/a</v>
      </c>
      <c r="BK25"/>
      <c r="BL25"/>
      <c r="BM25"/>
      <c r="BO25" s="390" t="s">
        <v>352</v>
      </c>
    </row>
    <row r="26" spans="6:67">
      <c r="AB26" s="322" t="s">
        <v>349</v>
      </c>
      <c r="AC26" s="126" t="s">
        <v>222</v>
      </c>
      <c r="AD26" s="142" t="str">
        <f>CONCATENATE('ICB calcs - per asset calc'!C42,"_",'ICB calcs - per asset calc'!E42,"_",'ICB calcs - per asset calc'!A42)</f>
        <v>UPS_Low_</v>
      </c>
      <c r="AE26" s="262" t="str">
        <f t="shared" si="13"/>
        <v>Unprotected steel - Low pressure</v>
      </c>
      <c r="AF26" s="344">
        <f>'ICB calcs - per asset calc'!H42/10^3</f>
        <v>11.11899082058077</v>
      </c>
      <c r="AG26" s="356">
        <f>AF26*'ICB calcs - per asset calc'!$F$19/'Figures for report 2'!$AF$38</f>
        <v>8.2526934621833998</v>
      </c>
      <c r="AH26" s="226">
        <f>'ICB calcs - per asset calc'!F42</f>
        <v>216.42</v>
      </c>
      <c r="AI26" s="344">
        <f>'ICB calcs - per asset calc'!G42</f>
        <v>47.23</v>
      </c>
      <c r="AJ26" s="228">
        <f>'ICB calcs - per asset calc'!L42</f>
        <v>60</v>
      </c>
      <c r="AK26" s="344">
        <f t="shared" si="14"/>
        <v>12.770000000000003</v>
      </c>
      <c r="AL26" s="344">
        <f t="shared" si="8"/>
        <v>8.2526934621833998</v>
      </c>
      <c r="AM26" s="356">
        <f t="shared" si="9"/>
        <v>0</v>
      </c>
      <c r="AN26" s="344">
        <f t="shared" si="15"/>
        <v>-0.22999999999999687</v>
      </c>
      <c r="AO26" s="344">
        <f>MAX(AK26*'ICB calcs - per asset calc'!$F$11-AL$18,0)</f>
        <v>0</v>
      </c>
      <c r="AP26" s="344">
        <f t="shared" si="10"/>
        <v>0</v>
      </c>
      <c r="AQ26" s="356">
        <f t="shared" si="16"/>
        <v>0</v>
      </c>
      <c r="AR26" s="356">
        <f>AQ26*'Inflation assumptions'!$R$18</f>
        <v>0</v>
      </c>
      <c r="AS26" s="373">
        <f t="shared" si="17"/>
        <v>0</v>
      </c>
      <c r="AU26"/>
      <c r="AV26"/>
      <c r="AW26"/>
      <c r="AX26"/>
      <c r="BA26" s="262" t="str">
        <f t="shared" si="7"/>
        <v>Unprotected steel - Low pressure</v>
      </c>
      <c r="BB26" s="344">
        <f t="shared" si="18"/>
        <v>0</v>
      </c>
      <c r="BC26" s="401" cm="1">
        <f t="array" ref="BC26">IFERROR(INDEX('kms replaced'!$F$31:$J$44,'Figures for report 2'!$BO26,BC$17),"n/a")</f>
        <v>0.83365677848627673</v>
      </c>
      <c r="BD26" s="359" cm="1">
        <f t="array" ref="BD26">IFERROR(INDEX('kms replaced'!$F$31:$J$44,'Figures for report 2'!$BO26,BD$17),"n/a")</f>
        <v>0.8521393586544681</v>
      </c>
      <c r="BE26" s="396" cm="1">
        <f t="array" ref="BE26">IFERROR(INDEX('kms replaced'!$F$31:$J$44,'Figures for report 2'!$BO26,BE$17),"n/a")</f>
        <v>1</v>
      </c>
      <c r="BF26" s="344">
        <f t="shared" si="11"/>
        <v>0</v>
      </c>
      <c r="BG26" s="344">
        <f t="shared" si="12"/>
        <v>0</v>
      </c>
      <c r="BH26" s="274">
        <f t="shared" si="19"/>
        <v>0</v>
      </c>
      <c r="BK26"/>
      <c r="BL26"/>
      <c r="BM26"/>
      <c r="BO26" s="390">
        <v>2</v>
      </c>
    </row>
    <row r="27" spans="6:67">
      <c r="AB27" s="322" t="s">
        <v>351</v>
      </c>
      <c r="AC27" s="126" t="s">
        <v>222</v>
      </c>
      <c r="AD27" s="142" t="str">
        <f>CONCATENATE('ICB calcs - per asset calc'!C43,"_",'ICB calcs - per asset calc'!E43,"_",'ICB calcs - per asset calc'!A43)</f>
        <v>UPS_Medium_</v>
      </c>
      <c r="AE27" s="262" t="str">
        <f t="shared" si="13"/>
        <v>Unprotected steel - Medium pressure</v>
      </c>
      <c r="AF27" s="344">
        <f>'ICB calcs - per asset calc'!H43/10^3</f>
        <v>1.6721046646153848</v>
      </c>
      <c r="AG27" s="356">
        <f>AF27*'ICB calcs - per asset calc'!$F$19/'Figures for report 2'!$AF$38</f>
        <v>1.2410629216651319</v>
      </c>
      <c r="AH27" s="226">
        <f>'ICB calcs - per asset calc'!F43</f>
        <v>20.32</v>
      </c>
      <c r="AI27" s="344">
        <f>'ICB calcs - per asset calc'!G43</f>
        <v>45</v>
      </c>
      <c r="AJ27" s="228">
        <f>'ICB calcs - per asset calc'!L43</f>
        <v>60</v>
      </c>
      <c r="AK27" s="344">
        <f t="shared" si="14"/>
        <v>15</v>
      </c>
      <c r="AL27" s="344">
        <f t="shared" si="8"/>
        <v>1.0755878654431144</v>
      </c>
      <c r="AM27" s="356">
        <f t="shared" si="9"/>
        <v>0.16547505622201752</v>
      </c>
      <c r="AN27" s="344">
        <f t="shared" si="15"/>
        <v>2</v>
      </c>
      <c r="AO27" s="344">
        <f>MAX(AK27*'ICB calcs - per asset calc'!$F$11-AL$18,0)</f>
        <v>0.8461538461538467</v>
      </c>
      <c r="AP27" s="344">
        <f t="shared" si="10"/>
        <v>0.16547505622201752</v>
      </c>
      <c r="AQ27" s="356">
        <f t="shared" si="16"/>
        <v>0</v>
      </c>
      <c r="AR27" s="356">
        <f>AQ27*'Inflation assumptions'!$R$18</f>
        <v>0</v>
      </c>
      <c r="AS27" s="373">
        <f t="shared" si="17"/>
        <v>0</v>
      </c>
      <c r="AU27"/>
      <c r="AV27"/>
      <c r="AW27"/>
      <c r="AX27"/>
      <c r="BA27" s="262" t="str">
        <f t="shared" si="7"/>
        <v>Unprotected steel - Medium pressure</v>
      </c>
      <c r="BB27" s="344">
        <f t="shared" si="18"/>
        <v>0</v>
      </c>
      <c r="BC27" s="401" cm="1">
        <f t="array" ref="BC27">IFERROR(INDEX('kms replaced'!$F$31:$J$44,'Figures for report 2'!$BO27,BC$17),"n/a")</f>
        <v>0.80314960629921262</v>
      </c>
      <c r="BD27" s="359" cm="1">
        <f t="array" ref="BD27">IFERROR(INDEX('kms replaced'!$F$31:$J$44,'Figures for report 2'!$BO27,BD$17),"n/a")</f>
        <v>0.95078740157480313</v>
      </c>
      <c r="BE27" s="396" cm="1">
        <f t="array" ref="BE27">IFERROR(INDEX('kms replaced'!$F$31:$J$44,'Figures for report 2'!$BO27,BE$17),"n/a")</f>
        <v>1</v>
      </c>
      <c r="BF27" s="344">
        <f t="shared" si="11"/>
        <v>0</v>
      </c>
      <c r="BG27" s="344">
        <f t="shared" si="12"/>
        <v>0</v>
      </c>
      <c r="BH27" s="274">
        <f t="shared" si="19"/>
        <v>0</v>
      </c>
      <c r="BO27" s="390">
        <v>6</v>
      </c>
    </row>
    <row r="28" spans="6:67">
      <c r="AB28" s="322" t="s">
        <v>353</v>
      </c>
      <c r="AC28" s="126" t="s">
        <v>222</v>
      </c>
      <c r="AD28" s="142" t="str">
        <f>CONCATENATE('ICB calcs - per asset calc'!C44,"_",'ICB calcs - per asset calc'!E44,"_",'ICB calcs - per asset calc'!A44)</f>
        <v>UPS_High_</v>
      </c>
      <c r="AE28" s="262" t="str">
        <f t="shared" si="13"/>
        <v>Unprotected steel - High pressure</v>
      </c>
      <c r="AF28" s="344">
        <f>'ICB calcs - per asset calc'!H44/10^3</f>
        <v>7.007280875719383</v>
      </c>
      <c r="AG28" s="356">
        <f>AF28*'ICB calcs - per asset calc'!$F$19/'Figures for report 2'!$AF$38</f>
        <v>5.2009163424879583</v>
      </c>
      <c r="AH28" s="226">
        <f>'ICB calcs - per asset calc'!F44</f>
        <v>104.02</v>
      </c>
      <c r="AI28" s="344">
        <f>'ICB calcs - per asset calc'!G44</f>
        <v>48.13</v>
      </c>
      <c r="AJ28" s="228">
        <f>'ICB calcs - per asset calc'!L44</f>
        <v>60</v>
      </c>
      <c r="AK28" s="344">
        <f t="shared" si="14"/>
        <v>11.869999999999997</v>
      </c>
      <c r="AL28" s="344">
        <f t="shared" si="8"/>
        <v>5.2009163424879583</v>
      </c>
      <c r="AM28" s="356">
        <f t="shared" si="9"/>
        <v>0</v>
      </c>
      <c r="AN28" s="344">
        <f t="shared" si="15"/>
        <v>-1.1300000000000026</v>
      </c>
      <c r="AO28" s="344">
        <f>MAX(AK28*'ICB calcs - per asset calc'!$F$11-AL$18,0)</f>
        <v>0</v>
      </c>
      <c r="AP28" s="344">
        <f t="shared" si="10"/>
        <v>0</v>
      </c>
      <c r="AQ28" s="356">
        <f t="shared" si="16"/>
        <v>0</v>
      </c>
      <c r="AR28" s="356">
        <f>AQ28*'Inflation assumptions'!$R$18</f>
        <v>0</v>
      </c>
      <c r="AS28" s="373">
        <f t="shared" si="17"/>
        <v>0</v>
      </c>
      <c r="AU28"/>
      <c r="AV28"/>
      <c r="AW28"/>
      <c r="AX28"/>
      <c r="BA28" s="262" t="str">
        <f t="shared" si="7"/>
        <v>Unprotected steel - High pressure</v>
      </c>
      <c r="BB28" s="344">
        <f t="shared" si="18"/>
        <v>0</v>
      </c>
      <c r="BC28" s="401" t="str" cm="1">
        <f t="array" ref="BC28">IFERROR(INDEX('kms replaced'!$F$31:$J$44,'Figures for report 2'!$BO28,BC$17),"n/a")</f>
        <v>n/a</v>
      </c>
      <c r="BD28" s="359" t="str" cm="1">
        <f t="array" ref="BD28">IFERROR(INDEX('kms replaced'!$F$31:$J$44,'Figures for report 2'!$BO28,BD$17),"n/a")</f>
        <v>n/a</v>
      </c>
      <c r="BE28" s="396" t="str" cm="1">
        <f t="array" ref="BE28">IFERROR(INDEX('kms replaced'!$F$31:$J$44,'Figures for report 2'!$BO28,BE$17),"n/a")</f>
        <v>n/a</v>
      </c>
      <c r="BF28" s="344" t="str">
        <f t="shared" si="11"/>
        <v>n/a</v>
      </c>
      <c r="BG28" s="344" t="str">
        <f t="shared" si="12"/>
        <v>n/a</v>
      </c>
      <c r="BH28" s="274" t="str">
        <f t="shared" si="19"/>
        <v>n/a</v>
      </c>
      <c r="BO28" s="390" t="s">
        <v>352</v>
      </c>
    </row>
    <row r="29" spans="6:67">
      <c r="AB29" s="322" t="s">
        <v>349</v>
      </c>
      <c r="AC29" s="126" t="s">
        <v>126</v>
      </c>
      <c r="AD29" s="142" t="str">
        <f>CONCATENATE('ICB calcs - per asset calc'!C45,"_",'ICB calcs - per asset calc'!E45,"_",'ICB calcs - per asset calc'!A45)</f>
        <v>PE_Low_</v>
      </c>
      <c r="AE29" s="262" t="str">
        <f t="shared" si="13"/>
        <v>PE - Low pressure</v>
      </c>
      <c r="AF29" s="344">
        <f>'ICB calcs - per asset calc'!H45/10^3</f>
        <v>59.08817115879571</v>
      </c>
      <c r="AG29" s="356">
        <f>AF29*'ICB calcs - per asset calc'!$F$19/'Figures for report 2'!$AF$38</f>
        <v>43.856189080754788</v>
      </c>
      <c r="AH29" s="226">
        <f>'ICB calcs - per asset calc'!F45</f>
        <v>723.3</v>
      </c>
      <c r="AI29" s="344">
        <f>'ICB calcs - per asset calc'!G45</f>
        <v>14.69500138255219</v>
      </c>
      <c r="AJ29" s="228">
        <f>'ICB calcs - per asset calc'!L45</f>
        <v>60</v>
      </c>
      <c r="AK29" s="344">
        <f t="shared" si="14"/>
        <v>45.304998617447808</v>
      </c>
      <c r="AL29" s="344">
        <f t="shared" si="8"/>
        <v>12.584272717100232</v>
      </c>
      <c r="AM29" s="356">
        <f t="shared" si="9"/>
        <v>31.271916363654555</v>
      </c>
      <c r="AN29" s="344">
        <f t="shared" si="15"/>
        <v>32.304998617447808</v>
      </c>
      <c r="AO29" s="344">
        <f>MAX(AK29*'ICB calcs - per asset calc'!$F$11-AL$18,0)</f>
        <v>28.81999872379798</v>
      </c>
      <c r="AP29" s="344">
        <f t="shared" si="10"/>
        <v>10.850769517151962</v>
      </c>
      <c r="AQ29" s="356">
        <f t="shared" si="16"/>
        <v>20.421146846502594</v>
      </c>
      <c r="AR29" s="356">
        <f>AQ29*'Inflation assumptions'!$R$18</f>
        <v>34.781597140536817</v>
      </c>
      <c r="AS29" s="373">
        <f t="shared" si="17"/>
        <v>40.002457852310364</v>
      </c>
      <c r="AU29"/>
      <c r="AV29"/>
      <c r="AW29"/>
      <c r="AX29"/>
      <c r="BA29" s="262" t="str">
        <f t="shared" si="7"/>
        <v>PE - Low pressure</v>
      </c>
      <c r="BB29" s="344">
        <f t="shared" si="18"/>
        <v>40.002457852310364</v>
      </c>
      <c r="BC29" s="401" cm="1">
        <f t="array" ref="BC29">IFERROR(INDEX('kms replaced'!$F$31:$J$44,'Figures for report 2'!$BO29,BC$17),"n/a")</f>
        <v>0.71934190515691965</v>
      </c>
      <c r="BD29" s="359" cm="1">
        <f t="array" ref="BD29">IFERROR(INDEX('kms replaced'!$F$31:$J$44,'Figures for report 2'!$BO29,BD$17),"n/a")</f>
        <v>0.78708696253283561</v>
      </c>
      <c r="BE29" s="396" cm="1">
        <f t="array" ref="BE29">IFERROR(INDEX('kms replaced'!$F$31:$J$44,'Figures for report 2'!$BO29,BE$17),"n/a")</f>
        <v>1</v>
      </c>
      <c r="BF29" s="344">
        <f t="shared" si="11"/>
        <v>28.775444242440319</v>
      </c>
      <c r="BG29" s="344">
        <f t="shared" si="12"/>
        <v>31.485413044822742</v>
      </c>
      <c r="BH29" s="274">
        <f t="shared" si="19"/>
        <v>40.002457852310364</v>
      </c>
      <c r="BO29" s="390">
        <v>4</v>
      </c>
    </row>
    <row r="30" spans="6:67" ht="17.25" thickBot="1">
      <c r="AB30" s="322" t="s">
        <v>351</v>
      </c>
      <c r="AC30" s="126" t="s">
        <v>126</v>
      </c>
      <c r="AD30" s="142" t="str">
        <f>CONCATENATE('ICB calcs - per asset calc'!C46,"_",'ICB calcs - per asset calc'!E46,"_",'ICB calcs - per asset calc'!A46)</f>
        <v>PE_Medium_</v>
      </c>
      <c r="AE30" s="262" t="str">
        <f t="shared" si="13"/>
        <v>PE - Medium pressure</v>
      </c>
      <c r="AF30" s="344">
        <f>'ICB calcs - per asset calc'!H46/10^3</f>
        <v>43.661915586485705</v>
      </c>
      <c r="AG30" s="356">
        <f>AF30*'ICB calcs - per asset calc'!$F$19/'Figures for report 2'!$AF$38</f>
        <v>32.406574582294091</v>
      </c>
      <c r="AH30" s="226">
        <f>'ICB calcs - per asset calc'!F46</f>
        <v>712.08</v>
      </c>
      <c r="AI30" s="344">
        <f>'ICB calcs - per asset calc'!G46</f>
        <v>12.147750252780586</v>
      </c>
      <c r="AJ30" s="228">
        <f>'ICB calcs - per asset calc'!L46</f>
        <v>60</v>
      </c>
      <c r="AK30" s="344">
        <f t="shared" si="14"/>
        <v>47.852249747219417</v>
      </c>
      <c r="AL30" s="344">
        <f t="shared" si="8"/>
        <v>8.8038801058523504</v>
      </c>
      <c r="AM30" s="356">
        <f t="shared" si="9"/>
        <v>23.602694476441741</v>
      </c>
      <c r="AN30" s="344">
        <f t="shared" si="15"/>
        <v>34.852249747219417</v>
      </c>
      <c r="AO30" s="344">
        <f>MAX(AK30*'ICB calcs - per asset calc'!$F$11-AL$18,0)</f>
        <v>31.171307458971775</v>
      </c>
      <c r="AP30" s="344">
        <f t="shared" si="10"/>
        <v>7.5719295725750433</v>
      </c>
      <c r="AQ30" s="356">
        <f t="shared" si="16"/>
        <v>16.030764903866697</v>
      </c>
      <c r="AR30" s="356">
        <f>AQ30*'Inflation assumptions'!$R$18</f>
        <v>27.303834154468184</v>
      </c>
      <c r="AS30" s="373">
        <f t="shared" si="17"/>
        <v>31.402251902275022</v>
      </c>
      <c r="AU30"/>
      <c r="AV30"/>
      <c r="AW30"/>
      <c r="AX30"/>
      <c r="BA30" s="262" t="str">
        <f t="shared" si="7"/>
        <v>PE - Medium pressure</v>
      </c>
      <c r="BB30" s="344">
        <f t="shared" si="18"/>
        <v>31.402251902275022</v>
      </c>
      <c r="BC30" s="401" cm="1">
        <f t="array" ref="BC30">IFERROR(INDEX('kms replaced'!$F$31:$J$44,'Figures for report 2'!$BO30,BC$17),"n/a")</f>
        <v>3.476435231996404E-2</v>
      </c>
      <c r="BD30" s="359" cm="1">
        <f t="array" ref="BD30">IFERROR(INDEX('kms replaced'!$F$31:$J$44,'Figures for report 2'!$BO30,BD$17),"n/a")</f>
        <v>0.21985591506572302</v>
      </c>
      <c r="BE30" s="396" cm="1">
        <f t="array" ref="BE30">IFERROR(INDEX('kms replaced'!$F$31:$J$44,'Figures for report 2'!$BO30,BE$17),"n/a")</f>
        <v>0.36646865520728011</v>
      </c>
      <c r="BF30" s="344">
        <f t="shared" si="11"/>
        <v>1.09167894877095</v>
      </c>
      <c r="BG30" s="344">
        <f t="shared" si="12"/>
        <v>6.903970827099017</v>
      </c>
      <c r="BH30" s="274">
        <f t="shared" si="19"/>
        <v>11.507941025106982</v>
      </c>
      <c r="BO30" s="390">
        <v>12</v>
      </c>
    </row>
    <row r="31" spans="6:67" ht="17.25" thickBot="1">
      <c r="F31" s="234" t="s">
        <v>344</v>
      </c>
      <c r="G31" s="369" t="s">
        <v>355</v>
      </c>
      <c r="AB31" s="322" t="s">
        <v>353</v>
      </c>
      <c r="AC31" s="126" t="s">
        <v>126</v>
      </c>
      <c r="AD31" s="142" t="str">
        <f>CONCATENATE('ICB calcs - per asset calc'!C47,"_",'ICB calcs - per asset calc'!E47,"_",'ICB calcs - per asset calc'!A47)</f>
        <v>PE_High_</v>
      </c>
      <c r="AE31" s="262" t="str">
        <f t="shared" si="13"/>
        <v>PE - High pressure</v>
      </c>
      <c r="AF31" s="344">
        <f>'ICB calcs - per asset calc'!H47/10^3</f>
        <v>56.217806544908576</v>
      </c>
      <c r="AG31" s="356">
        <f>AF31*'ICB calcs - per asset calc'!$F$19/'Figures for report 2'!$AF$38</f>
        <v>41.725758391014217</v>
      </c>
      <c r="AH31" s="226">
        <f>'ICB calcs - per asset calc'!F47</f>
        <v>939.2</v>
      </c>
      <c r="AI31" s="344">
        <f>'ICB calcs - per asset calc'!G47</f>
        <v>8.8912637350936965</v>
      </c>
      <c r="AJ31" s="228">
        <f>'ICB calcs - per asset calc'!L47</f>
        <v>60</v>
      </c>
      <c r="AK31" s="344">
        <f t="shared" si="14"/>
        <v>51.108736264906305</v>
      </c>
      <c r="AL31" s="344">
        <f t="shared" si="8"/>
        <v>10.613349081292908</v>
      </c>
      <c r="AM31" s="356">
        <f t="shared" si="9"/>
        <v>31.112409309721308</v>
      </c>
      <c r="AN31" s="344">
        <f t="shared" si="15"/>
        <v>38.108736264906305</v>
      </c>
      <c r="AO31" s="344">
        <f>MAX(AK31*'ICB calcs - per asset calc'!$F$11-AL$18,0)</f>
        <v>34.177295013759668</v>
      </c>
      <c r="AP31" s="344">
        <f t="shared" si="10"/>
        <v>9.1032392403189171</v>
      </c>
      <c r="AQ31" s="356">
        <f t="shared" si="16"/>
        <v>22.009170069402391</v>
      </c>
      <c r="AR31" s="356">
        <f>AQ31*'Inflation assumptions'!$R$18</f>
        <v>37.486341609781803</v>
      </c>
      <c r="AS31" s="373">
        <f t="shared" si="17"/>
        <v>43.113195585113978</v>
      </c>
      <c r="AU31"/>
      <c r="AV31"/>
      <c r="AW31"/>
      <c r="AX31"/>
      <c r="BA31" s="262" t="str">
        <f t="shared" si="7"/>
        <v>PE - High pressure</v>
      </c>
      <c r="BB31" s="344">
        <f t="shared" si="18"/>
        <v>43.113195585113978</v>
      </c>
      <c r="BC31" s="401" cm="1">
        <f t="array" ref="BC31">IFERROR(INDEX('kms replaced'!$F$31:$J$44,'Figures for report 2'!$BO31,BC$17),"n/a")</f>
        <v>9.5320485519591228E-2</v>
      </c>
      <c r="BD31" s="359" cm="1">
        <f t="array" ref="BD31">IFERROR(INDEX('kms replaced'!$F$31:$J$44,'Figures for report 2'!$BO31,BD$17),"n/a")</f>
        <v>0.26759476149914824</v>
      </c>
      <c r="BE31" s="396" cm="1">
        <f t="array" ref="BE31">IFERROR(INDEX('kms replaced'!$F$31:$J$44,'Figures for report 2'!$BO31,BE$17),"n/a")</f>
        <v>0.47788011073253833</v>
      </c>
      <c r="BF31" s="344">
        <f t="shared" si="11"/>
        <v>4.1095707354741613</v>
      </c>
      <c r="BG31" s="344">
        <f t="shared" si="12"/>
        <v>11.536865290064705</v>
      </c>
      <c r="BH31" s="274">
        <f t="shared" si="19"/>
        <v>20.602938680247849</v>
      </c>
      <c r="BO31" s="390">
        <v>13</v>
      </c>
    </row>
    <row r="32" spans="6:67">
      <c r="F32" s="262" t="s">
        <v>6</v>
      </c>
      <c r="G32" s="241">
        <f>'ICB calcs - per asset calc'!F19</f>
        <v>373.6</v>
      </c>
      <c r="U32" s="234"/>
      <c r="V32" s="287" t="s">
        <v>356</v>
      </c>
      <c r="W32" s="431" t="s">
        <v>357</v>
      </c>
      <c r="X32" s="431" t="s">
        <v>6</v>
      </c>
      <c r="Y32" s="431" t="s">
        <v>358</v>
      </c>
      <c r="Z32" s="431" t="s">
        <v>43</v>
      </c>
      <c r="AA32" s="432" t="s">
        <v>358</v>
      </c>
      <c r="AB32" s="322" t="s">
        <v>349</v>
      </c>
      <c r="AC32" s="126" t="s">
        <v>359</v>
      </c>
      <c r="AD32" s="142" t="str">
        <f>CONCATENATE('ICB calcs - per asset calc'!C48,"_",'ICB calcs - per asset calc'!E48,"_",'ICB calcs - per asset calc'!A48)</f>
        <v>CI_Low_DB</v>
      </c>
      <c r="AE32" s="262" t="str">
        <f t="shared" si="13"/>
        <v>Cast iron - direct buried - Low pressure</v>
      </c>
      <c r="AF32" s="344">
        <f>'ICB calcs - per asset calc'!H48/10^3</f>
        <v>8.0569602324883736</v>
      </c>
      <c r="AG32" s="356">
        <f>AF32*'ICB calcs - per asset calc'!$F$19/'Figures for report 2'!$AF$38</f>
        <v>5.9800052098842764</v>
      </c>
      <c r="AH32" s="226">
        <f>'ICB calcs - per asset calc'!F48</f>
        <v>126.77</v>
      </c>
      <c r="AI32" s="344">
        <f>'ICB calcs - per asset calc'!G48</f>
        <v>41.090301987091181</v>
      </c>
      <c r="AJ32" s="228">
        <f>'ICB calcs - per asset calc'!L48</f>
        <v>85</v>
      </c>
      <c r="AK32" s="344">
        <f t="shared" si="14"/>
        <v>43.909698012908819</v>
      </c>
      <c r="AL32" s="344">
        <f t="shared" si="8"/>
        <v>1.7704532539859674</v>
      </c>
      <c r="AM32" s="356">
        <f t="shared" si="9"/>
        <v>4.2095519558983092</v>
      </c>
      <c r="AN32" s="344">
        <f t="shared" si="15"/>
        <v>30.909698012908819</v>
      </c>
      <c r="AO32" s="344">
        <f>MAX(AK32*'ICB calcs - per asset calc'!$F$11-AL$18,0)</f>
        <v>27.532028934992759</v>
      </c>
      <c r="AP32" s="344">
        <f t="shared" si="10"/>
        <v>1.5289653972969779</v>
      </c>
      <c r="AQ32" s="356">
        <f t="shared" si="16"/>
        <v>2.6805865586013313</v>
      </c>
      <c r="AR32" s="356">
        <f>AQ32*'Inflation assumptions'!$R$18</f>
        <v>4.5656143840705639</v>
      </c>
      <c r="AS32" s="373">
        <f t="shared" si="17"/>
        <v>5.250931871550792</v>
      </c>
      <c r="AU32"/>
      <c r="AV32"/>
      <c r="AW32"/>
      <c r="AX32"/>
      <c r="BA32" s="262" t="str">
        <f t="shared" si="7"/>
        <v>Cast iron - direct buried - Low pressure</v>
      </c>
      <c r="BB32" s="344">
        <f t="shared" si="18"/>
        <v>5.250931871550792</v>
      </c>
      <c r="BC32" s="401" cm="1">
        <f t="array" ref="BC32">IFERROR(INDEX('kms replaced'!$F$31:$J$44,'Figures for report 2'!$BO32,BC$17),"n/a")</f>
        <v>0.83002109925765244</v>
      </c>
      <c r="BD32" s="359" cm="1">
        <f t="array" ref="BD32">IFERROR(INDEX('kms replaced'!$F$31:$J$44,'Figures for report 2'!$BO32,BD$17),"n/a")</f>
        <v>0.86328774739221381</v>
      </c>
      <c r="BE32" s="396" cm="1">
        <f t="array" ref="BE32">IFERROR(INDEX('kms replaced'!$F$31:$J$44,'Figures for report 2'!$BO32,BE$17),"n/a")</f>
        <v>1</v>
      </c>
      <c r="BF32" s="344">
        <f t="shared" si="11"/>
        <v>4.3583842441516305</v>
      </c>
      <c r="BG32" s="344">
        <f t="shared" si="12"/>
        <v>4.5330651471010643</v>
      </c>
      <c r="BH32" s="274">
        <f t="shared" si="19"/>
        <v>5.250931871550792</v>
      </c>
      <c r="BO32" s="390">
        <v>1</v>
      </c>
    </row>
    <row r="33" spans="6:67">
      <c r="F33" s="262" t="s">
        <v>348</v>
      </c>
      <c r="G33" s="241">
        <f>'ICB calcs - per asset calc'!F20</f>
        <v>209.9</v>
      </c>
      <c r="T33" s="299">
        <v>1</v>
      </c>
      <c r="U33" s="326" t="str">
        <f>"["&amp;T33&amp;"]"</f>
        <v>[1]</v>
      </c>
      <c r="V33" s="288" t="s">
        <v>360</v>
      </c>
      <c r="W33" s="427" t="s">
        <v>361</v>
      </c>
      <c r="X33" s="328">
        <f>'ICB calcs - per asset calc'!F23</f>
        <v>370.40335403875167</v>
      </c>
      <c r="Y33" s="327" t="s">
        <v>141</v>
      </c>
      <c r="Z33" s="328">
        <f>'ICB calcs - per asset calc'!F24*(1-'kms replaced'!E57)</f>
        <v>170.95028304709101</v>
      </c>
      <c r="AA33" s="329" t="s">
        <v>362</v>
      </c>
      <c r="AB33" s="322" t="s">
        <v>351</v>
      </c>
      <c r="AC33" s="126" t="s">
        <v>359</v>
      </c>
      <c r="AD33" s="142" t="str">
        <f>CONCATENATE('ICB calcs - per asset calc'!C49,"_",'ICB calcs - per asset calc'!E49,"_",'ICB calcs - per asset calc'!A49)</f>
        <v>CI_Medium_DB</v>
      </c>
      <c r="AE33" s="262" t="str">
        <f t="shared" si="13"/>
        <v>Cast iron - direct buried - Medium pressure</v>
      </c>
      <c r="AF33" s="344">
        <f>'ICB calcs - per asset calc'!H49/10^3</f>
        <v>1.7576525290732929</v>
      </c>
      <c r="AG33" s="356">
        <f>AF33*'ICB calcs - per asset calc'!$F$19/'Figures for report 2'!$AF$38</f>
        <v>1.3045579198270834</v>
      </c>
      <c r="AH33" s="226">
        <f>'ICB calcs - per asset calc'!F49</f>
        <v>24.77</v>
      </c>
      <c r="AI33" s="344">
        <f>'ICB calcs - per asset calc'!G49</f>
        <v>61.4571419392148</v>
      </c>
      <c r="AJ33" s="228">
        <f>'ICB calcs - per asset calc'!L49</f>
        <v>85</v>
      </c>
      <c r="AK33" s="344">
        <f t="shared" si="14"/>
        <v>23.5428580607852</v>
      </c>
      <c r="AL33" s="344">
        <f t="shared" si="8"/>
        <v>0.7203565902646597</v>
      </c>
      <c r="AM33" s="356">
        <f t="shared" si="9"/>
        <v>0.58420132956242365</v>
      </c>
      <c r="AN33" s="344">
        <f t="shared" si="15"/>
        <v>10.5428580607852</v>
      </c>
      <c r="AO33" s="344">
        <f>MAX(AK33*'ICB calcs - per asset calc'!$F$11-AL$18,0)</f>
        <v>8.7318689791863378</v>
      </c>
      <c r="AP33" s="344">
        <f t="shared" si="10"/>
        <v>0.58420132956242365</v>
      </c>
      <c r="AQ33" s="356">
        <f t="shared" si="16"/>
        <v>0</v>
      </c>
      <c r="AR33" s="356">
        <f>AQ33*'Inflation assumptions'!$R$18</f>
        <v>0</v>
      </c>
      <c r="AS33" s="373">
        <f t="shared" si="17"/>
        <v>0</v>
      </c>
      <c r="AU33"/>
      <c r="AV33"/>
      <c r="AW33"/>
      <c r="AX33"/>
      <c r="BA33" s="262" t="str">
        <f t="shared" si="7"/>
        <v>Cast iron - direct buried - Medium pressure</v>
      </c>
      <c r="BB33" s="344">
        <f t="shared" si="18"/>
        <v>0</v>
      </c>
      <c r="BC33" s="401" cm="1">
        <f t="array" ref="BC33">IFERROR(INDEX('kms replaced'!$F$31:$J$44,'Figures for report 2'!$BO33,BC$17),"n/a")</f>
        <v>0.86374929870962569</v>
      </c>
      <c r="BD33" s="359" cm="1">
        <f t="array" ref="BD33">IFERROR(INDEX('kms replaced'!$F$31:$J$44,'Figures for report 2'!$BO33,BD$17),"n/a")</f>
        <v>0.94389677005690475</v>
      </c>
      <c r="BE33" s="396" cm="1">
        <f t="array" ref="BE33">IFERROR(INDEX('kms replaced'!$F$31:$J$44,'Figures for report 2'!$BO33,BE$17),"n/a")</f>
        <v>1</v>
      </c>
      <c r="BF33" s="344">
        <f t="shared" si="11"/>
        <v>0</v>
      </c>
      <c r="BG33" s="344">
        <f t="shared" si="12"/>
        <v>0</v>
      </c>
      <c r="BH33" s="274">
        <f t="shared" si="19"/>
        <v>0</v>
      </c>
      <c r="BO33" s="390">
        <v>5</v>
      </c>
    </row>
    <row r="34" spans="6:67" ht="17.25" thickBot="1">
      <c r="F34" s="244" t="s">
        <v>350</v>
      </c>
      <c r="G34" s="370">
        <f>G32+G33</f>
        <v>583.5</v>
      </c>
      <c r="T34" s="299">
        <f>T33+1</f>
        <v>2</v>
      </c>
      <c r="U34" s="326" t="str">
        <f t="shared" ref="U34:U36" si="20">"["&amp;T34&amp;"]"</f>
        <v>[2]</v>
      </c>
      <c r="V34" s="288" t="s">
        <v>363</v>
      </c>
      <c r="W34" s="427" t="s">
        <v>361</v>
      </c>
      <c r="X34" s="328">
        <f>X33*'ICB calcs - per asset calc'!G29/'ICB calcs - per asset calc'!G23</f>
        <v>78.80922426356419</v>
      </c>
      <c r="Y34" s="330" t="s">
        <v>364</v>
      </c>
      <c r="Z34" s="328">
        <f>Z33*'ICB calcs - per asset calc'!G30/'ICB calcs - per asset calc'!G24</f>
        <v>63.314919647070745</v>
      </c>
      <c r="AA34" s="331" t="s">
        <v>365</v>
      </c>
      <c r="AB34" s="322" t="s">
        <v>353</v>
      </c>
      <c r="AC34" s="126" t="s">
        <v>359</v>
      </c>
      <c r="AD34" s="142" t="str">
        <f>CONCATENATE('ICB calcs - per asset calc'!C50,"_",'ICB calcs - per asset calc'!E50,"_",'ICB calcs - per asset calc'!A50)</f>
        <v>CI_High_DB</v>
      </c>
      <c r="AE34" s="262" t="str">
        <f t="shared" si="13"/>
        <v>Cast iron - direct buried - High pressure</v>
      </c>
      <c r="AF34" s="344">
        <f>'ICB calcs - per asset calc'!H50/10^3</f>
        <v>5.8611693512176086E-2</v>
      </c>
      <c r="AG34" s="356">
        <f>AF34*'ICB calcs - per asset calc'!$F$19/'Figures for report 2'!$AF$38</f>
        <v>4.350253972330987E-2</v>
      </c>
      <c r="AH34" s="226">
        <f>'ICB calcs - per asset calc'!F50</f>
        <v>0.35</v>
      </c>
      <c r="AI34" s="344">
        <f>'ICB calcs - per asset calc'!G50</f>
        <v>20.354523227383876</v>
      </c>
      <c r="AJ34" s="228">
        <f>'ICB calcs - per asset calc'!L50</f>
        <v>85</v>
      </c>
      <c r="AK34" s="344">
        <f t="shared" si="14"/>
        <v>64.645476772616121</v>
      </c>
      <c r="AL34" s="344">
        <f t="shared" si="8"/>
        <v>8.7482225305914769E-3</v>
      </c>
      <c r="AM34" s="356">
        <f t="shared" si="9"/>
        <v>3.475431719271839E-2</v>
      </c>
      <c r="AN34" s="344">
        <f t="shared" si="15"/>
        <v>51.645476772616121</v>
      </c>
      <c r="AO34" s="344">
        <f>MAX(AK34*'ICB calcs - per asset calc'!$F$11-AL$18,0)</f>
        <v>46.672747790107195</v>
      </c>
      <c r="AP34" s="344">
        <f t="shared" si="10"/>
        <v>7.4463833475184741E-3</v>
      </c>
      <c r="AQ34" s="356">
        <f t="shared" si="16"/>
        <v>2.7307933845199917E-2</v>
      </c>
      <c r="AR34" s="356">
        <f>AQ34*'Inflation assumptions'!$R$18</f>
        <v>4.6511273871322402E-2</v>
      </c>
      <c r="AS34" s="373">
        <f t="shared" si="17"/>
        <v>5.3492807279008202E-2</v>
      </c>
      <c r="AU34"/>
      <c r="AV34"/>
      <c r="AW34"/>
      <c r="AX34"/>
      <c r="BA34" s="262" t="str">
        <f t="shared" si="7"/>
        <v>Cast iron - direct buried - High pressure</v>
      </c>
      <c r="BB34" s="344">
        <f t="shared" si="18"/>
        <v>5.3492807279008202E-2</v>
      </c>
      <c r="BC34" s="401" t="str" cm="1">
        <f t="array" ref="BC34">IFERROR(INDEX('kms replaced'!$F$31:$J$44,'Figures for report 2'!$BO34,BC$17),"n/a")</f>
        <v>n/a</v>
      </c>
      <c r="BD34" s="359" t="str" cm="1">
        <f t="array" ref="BD34">IFERROR(INDEX('kms replaced'!$F$31:$J$44,'Figures for report 2'!$BO34,BD$17),"n/a")</f>
        <v>n/a</v>
      </c>
      <c r="BE34" s="396" t="str" cm="1">
        <f t="array" ref="BE34">IFERROR(INDEX('kms replaced'!$F$31:$J$44,'Figures for report 2'!$BO34,BE$17),"n/a")</f>
        <v>n/a</v>
      </c>
      <c r="BF34" s="344" t="str">
        <f t="shared" si="11"/>
        <v>n/a</v>
      </c>
      <c r="BG34" s="344" t="str">
        <f t="shared" si="12"/>
        <v>n/a</v>
      </c>
      <c r="BH34" s="274" t="str">
        <f t="shared" si="19"/>
        <v>n/a</v>
      </c>
      <c r="BO34" s="390" t="s">
        <v>352</v>
      </c>
    </row>
    <row r="35" spans="6:67">
      <c r="G35" s="173"/>
      <c r="T35" s="299">
        <f t="shared" ref="T35:T36" si="21">T34+1</f>
        <v>3</v>
      </c>
      <c r="U35" s="326" t="str">
        <f t="shared" si="20"/>
        <v>[3]</v>
      </c>
      <c r="V35" s="288" t="s">
        <v>366</v>
      </c>
      <c r="W35" s="427" t="s">
        <v>361</v>
      </c>
      <c r="X35" s="328">
        <f>X33-X34</f>
        <v>291.59412977518747</v>
      </c>
      <c r="Y35" s="330" t="s">
        <v>367</v>
      </c>
      <c r="Z35" s="328">
        <f>Z33-Z34</f>
        <v>107.63536340002025</v>
      </c>
      <c r="AA35" s="331" t="str">
        <f>Y35</f>
        <v>= [1] - [2]</v>
      </c>
      <c r="AB35" s="322" t="s">
        <v>349</v>
      </c>
      <c r="AC35" s="126" t="s">
        <v>368</v>
      </c>
      <c r="AD35" s="142" t="str">
        <f>CONCATENATE('ICB calcs - per asset calc'!C51,"_",'ICB calcs - per asset calc'!E51,"_",'ICB calcs - per asset calc'!A51)</f>
        <v>CI_Low_Insert</v>
      </c>
      <c r="AE35" s="262" t="str">
        <f t="shared" si="13"/>
        <v>Cast iron - insertion - Low pressure</v>
      </c>
      <c r="AF35" s="344">
        <f>'ICB calcs - per asset calc'!H51/10^3</f>
        <v>106.36772885972324</v>
      </c>
      <c r="AG35" s="356">
        <f>AF35*'ICB calcs - per asset calc'!$F$19/'Figures for report 2'!$AF$38</f>
        <v>78.94783570853636</v>
      </c>
      <c r="AH35" s="226">
        <f>'ICB calcs - per asset calc'!F51</f>
        <v>2067.62</v>
      </c>
      <c r="AI35" s="344">
        <f>'ICB calcs - per asset calc'!G51</f>
        <v>40.975754662795147</v>
      </c>
      <c r="AJ35" s="228">
        <f>'ICB calcs - per asset calc'!L51</f>
        <v>85</v>
      </c>
      <c r="AK35" s="344">
        <f t="shared" si="14"/>
        <v>44.024245337204853</v>
      </c>
      <c r="AL35" s="344">
        <f t="shared" si="8"/>
        <v>23.312650934725486</v>
      </c>
      <c r="AM35" s="356">
        <f t="shared" si="9"/>
        <v>55.635184773810877</v>
      </c>
      <c r="AN35" s="344">
        <f t="shared" si="15"/>
        <v>31.024245337204853</v>
      </c>
      <c r="AO35" s="344">
        <f>MAX(AK35*'ICB calcs - per asset calc'!$F$11-AL$18,0)</f>
        <v>27.637764926650632</v>
      </c>
      <c r="AP35" s="344">
        <f t="shared" si="10"/>
        <v>20.130131695332135</v>
      </c>
      <c r="AQ35" s="356">
        <f t="shared" si="16"/>
        <v>35.505053078478738</v>
      </c>
      <c r="AR35" s="356">
        <f>AQ35*'Inflation assumptions'!$R$18</f>
        <v>60.47272770287735</v>
      </c>
      <c r="AS35" s="373">
        <f t="shared" si="17"/>
        <v>69.549932723740852</v>
      </c>
      <c r="AU35"/>
      <c r="AV35"/>
      <c r="AW35"/>
      <c r="AX35"/>
      <c r="BA35" s="262" t="str">
        <f t="shared" si="7"/>
        <v>Cast iron - insertion - Low pressure</v>
      </c>
      <c r="BB35" s="344">
        <f t="shared" si="18"/>
        <v>69.549932723740852</v>
      </c>
      <c r="BC35" s="401" cm="1">
        <f t="array" ref="BC35">IFERROR(INDEX('kms replaced'!$F$31:$J$44,'Figures for report 2'!$BO35,BC$17),"n/a")</f>
        <v>0.83002109925765244</v>
      </c>
      <c r="BD35" s="359" cm="1">
        <f t="array" ref="BD35">IFERROR(INDEX('kms replaced'!$F$31:$J$44,'Figures for report 2'!$BO35,BD$17),"n/a")</f>
        <v>0.86328774739221381</v>
      </c>
      <c r="BE35" s="396" cm="1">
        <f t="array" ref="BE35">IFERROR(INDEX('kms replaced'!$F$31:$J$44,'Figures for report 2'!$BO35,BE$17),"n/a")</f>
        <v>1</v>
      </c>
      <c r="BF35" s="344">
        <f t="shared" si="11"/>
        <v>57.727911612655156</v>
      </c>
      <c r="BG35" s="344">
        <f t="shared" si="12"/>
        <v>60.041604752358261</v>
      </c>
      <c r="BH35" s="274">
        <f t="shared" si="19"/>
        <v>69.549932723740852</v>
      </c>
      <c r="BO35" s="390">
        <v>1</v>
      </c>
    </row>
    <row r="36" spans="6:67" ht="17.25" thickBot="1">
      <c r="T36" s="299">
        <f t="shared" si="21"/>
        <v>4</v>
      </c>
      <c r="U36" s="332" t="str">
        <f t="shared" si="20"/>
        <v>[4]</v>
      </c>
      <c r="V36" s="294" t="s">
        <v>366</v>
      </c>
      <c r="W36" s="333" t="s">
        <v>369</v>
      </c>
      <c r="X36" s="361">
        <f>X35*'Inflation assumptions'!$R$19</f>
        <v>414.14652912269383</v>
      </c>
      <c r="Y36" s="362" t="str">
        <f>"= [3] x "&amp;ROUND('Inflation assumptions'!$R$19,3)</f>
        <v>= [3] x 1.42</v>
      </c>
      <c r="Z36" s="361">
        <f>Z35*'Inflation assumptions'!$R$19</f>
        <v>152.87280370611694</v>
      </c>
      <c r="AA36" s="363" t="str">
        <f>Y36</f>
        <v>= [3] x 1.42</v>
      </c>
      <c r="AB36" s="322" t="s">
        <v>351</v>
      </c>
      <c r="AC36" s="126" t="s">
        <v>368</v>
      </c>
      <c r="AD36" s="142" t="str">
        <f>CONCATENATE('ICB calcs - per asset calc'!C52,"_",'ICB calcs - per asset calc'!E52,"_",'ICB calcs - per asset calc'!A52)</f>
        <v>CI_Medium_Insert</v>
      </c>
      <c r="AE36" s="262" t="str">
        <f t="shared" si="13"/>
        <v>Cast iron - insertion - Medium pressure</v>
      </c>
      <c r="AF36" s="344">
        <f>'ICB calcs - per asset calc'!H52/10^3</f>
        <v>4.1125934094364478</v>
      </c>
      <c r="AG36" s="356">
        <f>AF36*'ICB calcs - per asset calc'!$F$19/'Figures for report 2'!$AF$38</f>
        <v>3.0524328412838777</v>
      </c>
      <c r="AH36" s="226">
        <f>'ICB calcs - per asset calc'!F52</f>
        <v>100</v>
      </c>
      <c r="AI36" s="344">
        <f>'ICB calcs - per asset calc'!G52</f>
        <v>61.396507655978922</v>
      </c>
      <c r="AJ36" s="228">
        <f>'ICB calcs - per asset calc'!L52</f>
        <v>85</v>
      </c>
      <c r="AK36" s="344">
        <f t="shared" si="14"/>
        <v>23.603492344021078</v>
      </c>
      <c r="AL36" s="344">
        <f t="shared" si="8"/>
        <v>1.6811760886198701</v>
      </c>
      <c r="AM36" s="356">
        <f t="shared" si="9"/>
        <v>1.3712567526640076</v>
      </c>
      <c r="AN36" s="344">
        <f t="shared" si="15"/>
        <v>10.603492344021078</v>
      </c>
      <c r="AO36" s="344">
        <f>MAX(AK36*'ICB calcs - per asset calc'!$F$11-AL$18,0)</f>
        <v>8.7878390867886864</v>
      </c>
      <c r="AP36" s="344">
        <f t="shared" si="10"/>
        <v>1.3712567526640076</v>
      </c>
      <c r="AQ36" s="356">
        <f t="shared" si="16"/>
        <v>0</v>
      </c>
      <c r="AR36" s="356">
        <f>AQ36*'Inflation assumptions'!$R$18</f>
        <v>0</v>
      </c>
      <c r="AS36" s="373">
        <f t="shared" si="17"/>
        <v>0</v>
      </c>
      <c r="AU36"/>
      <c r="AV36"/>
      <c r="AW36"/>
      <c r="AX36"/>
      <c r="BA36" s="262" t="str">
        <f t="shared" si="7"/>
        <v>Cast iron - insertion - Medium pressure</v>
      </c>
      <c r="BB36" s="344">
        <f t="shared" si="18"/>
        <v>0</v>
      </c>
      <c r="BC36" s="401" cm="1">
        <f t="array" ref="BC36">IFERROR(INDEX('kms replaced'!$F$31:$J$44,'Figures for report 2'!$BO36,BC$17),"n/a")</f>
        <v>0.86374929870962569</v>
      </c>
      <c r="BD36" s="359" cm="1">
        <f t="array" ref="BD36">IFERROR(INDEX('kms replaced'!$F$31:$J$44,'Figures for report 2'!$BO36,BD$17),"n/a")</f>
        <v>0.94389677005690475</v>
      </c>
      <c r="BE36" s="396" cm="1">
        <f t="array" ref="BE36">IFERROR(INDEX('kms replaced'!$F$31:$J$44,'Figures for report 2'!$BO36,BE$17),"n/a")</f>
        <v>1</v>
      </c>
      <c r="BF36" s="344">
        <f t="shared" si="11"/>
        <v>0</v>
      </c>
      <c r="BG36" s="344">
        <f t="shared" si="12"/>
        <v>0</v>
      </c>
      <c r="BH36" s="274">
        <f t="shared" si="19"/>
        <v>0</v>
      </c>
      <c r="BO36" s="390">
        <v>5</v>
      </c>
    </row>
    <row r="37" spans="6:67">
      <c r="T37"/>
      <c r="U37"/>
      <c r="V37"/>
      <c r="W37"/>
      <c r="X37"/>
      <c r="Y37"/>
      <c r="Z37"/>
      <c r="AA37"/>
      <c r="AB37" s="322" t="s">
        <v>353</v>
      </c>
      <c r="AC37" s="126" t="s">
        <v>368</v>
      </c>
      <c r="AD37" s="142" t="str">
        <f>CONCATENATE('ICB calcs - per asset calc'!C53,"_",'ICB calcs - per asset calc'!E53,"_",'ICB calcs - per asset calc'!A53)</f>
        <v>CI_High_Insert</v>
      </c>
      <c r="AE37" s="262" t="str">
        <f t="shared" si="13"/>
        <v>Cast iron - insertion - High pressure</v>
      </c>
      <c r="AF37" s="344">
        <f>'ICB calcs - per asset calc'!H53/10^3</f>
        <v>2.6714881162493476E-2</v>
      </c>
      <c r="AG37" s="356">
        <f>AF37*'ICB calcs - per asset calc'!$F$19/'Figures for report 2'!$AF$38</f>
        <v>1.9828213609515397E-2</v>
      </c>
      <c r="AH37" s="226">
        <f>'ICB calcs - per asset calc'!F53</f>
        <v>0.47</v>
      </c>
      <c r="AI37" s="344">
        <f>'ICB calcs - per asset calc'!G53</f>
        <v>20.354523227383876</v>
      </c>
      <c r="AJ37" s="228">
        <f>'ICB calcs - per asset calc'!L53</f>
        <v>85</v>
      </c>
      <c r="AK37" s="344">
        <f t="shared" si="14"/>
        <v>64.645476772616121</v>
      </c>
      <c r="AL37" s="344">
        <f t="shared" si="8"/>
        <v>3.9873907625489176E-3</v>
      </c>
      <c r="AM37" s="356">
        <f t="shared" si="9"/>
        <v>1.5840822846966481E-2</v>
      </c>
      <c r="AN37" s="344">
        <f t="shared" si="15"/>
        <v>51.645476772616121</v>
      </c>
      <c r="AO37" s="344">
        <f>MAX(AK37*'ICB calcs - per asset calc'!$F$11-AL$18,0)</f>
        <v>46.672747790107195</v>
      </c>
      <c r="AP37" s="344">
        <f t="shared" si="10"/>
        <v>3.3940197646396375E-3</v>
      </c>
      <c r="AQ37" s="356">
        <f t="shared" si="16"/>
        <v>1.2446803082326843E-2</v>
      </c>
      <c r="AR37" s="356">
        <f>AQ37*'Inflation assumptions'!$R$18</f>
        <v>2.1199577758838146E-2</v>
      </c>
      <c r="AS37" s="373">
        <f t="shared" si="17"/>
        <v>2.4381721528145172E-2</v>
      </c>
      <c r="AT37"/>
      <c r="AU37"/>
      <c r="AV37"/>
      <c r="AW37"/>
      <c r="AX37"/>
      <c r="BA37" s="262" t="str">
        <f t="shared" si="7"/>
        <v>Cast iron - insertion - High pressure</v>
      </c>
      <c r="BB37" s="344">
        <f t="shared" si="18"/>
        <v>2.4381721528145172E-2</v>
      </c>
      <c r="BC37" s="401" t="str" cm="1">
        <f t="array" ref="BC37">IFERROR(INDEX('kms replaced'!$F$31:$J$44,'Figures for report 2'!$BO37,BC$17),"n/a")</f>
        <v>n/a</v>
      </c>
      <c r="BD37" s="359" t="str" cm="1">
        <f t="array" ref="BD37">IFERROR(INDEX('kms replaced'!$F$31:$J$44,'Figures for report 2'!$BO37,BD$17),"n/a")</f>
        <v>n/a</v>
      </c>
      <c r="BE37" s="396" t="str" cm="1">
        <f t="array" ref="BE37">IFERROR(INDEX('kms replaced'!$F$31:$J$44,'Figures for report 2'!$BO37,BE$17),"n/a")</f>
        <v>n/a</v>
      </c>
      <c r="BF37" s="344" t="str">
        <f t="shared" si="11"/>
        <v>n/a</v>
      </c>
      <c r="BG37" s="394" t="str">
        <f t="shared" si="12"/>
        <v>n/a</v>
      </c>
      <c r="BH37" s="274" t="str">
        <f t="shared" si="19"/>
        <v>n/a</v>
      </c>
      <c r="BO37" s="390" t="s">
        <v>352</v>
      </c>
    </row>
    <row r="38" spans="6:67">
      <c r="T38"/>
      <c r="U38"/>
      <c r="V38"/>
      <c r="W38" s="323" t="s">
        <v>370</v>
      </c>
      <c r="X38" s="323" t="b">
        <f>X36+Z36='ICB calcs - per asset calc'!J31</f>
        <v>1</v>
      </c>
      <c r="Y38"/>
      <c r="Z38"/>
      <c r="AA38"/>
      <c r="AD38" s="142" t="s">
        <v>203</v>
      </c>
      <c r="AE38" s="349" t="s">
        <v>371</v>
      </c>
      <c r="AF38" s="350">
        <f>SUM(AF22:AF37)</f>
        <v>503.35747833167972</v>
      </c>
      <c r="AG38" s="357">
        <f>SUM(AG22:AG37)</f>
        <v>373.6</v>
      </c>
      <c r="AH38" s="351">
        <f>'ICB calcs - per asset calc'!F54</f>
        <v>6840.746000000001</v>
      </c>
      <c r="AI38" s="352"/>
      <c r="AJ38" s="352"/>
      <c r="AK38" s="350"/>
      <c r="AL38" s="350">
        <f>SUM(AL22:AL37)</f>
        <v>94.003175954521652</v>
      </c>
      <c r="AM38" s="357">
        <f>SUM(AM22:AM37)</f>
        <v>279.5968240454784</v>
      </c>
      <c r="AN38" s="352"/>
      <c r="AO38" s="352"/>
      <c r="AP38" s="350">
        <f>SUM(AP22:AP37)</f>
        <v>68.176137886429373</v>
      </c>
      <c r="AQ38" s="357">
        <f>SUM(AQ22:AQ37)</f>
        <v>211.42068615904901</v>
      </c>
      <c r="AR38" s="357">
        <f>SUM(AR22:AR37)</f>
        <v>360.09481683049097</v>
      </c>
      <c r="AS38" s="374">
        <f>SUM(AS22:AS37)</f>
        <v>414.14652912269378</v>
      </c>
      <c r="AT38"/>
      <c r="AU38"/>
      <c r="AV38"/>
      <c r="AW38"/>
      <c r="AX38"/>
      <c r="BA38" s="349" t="str">
        <f t="shared" si="7"/>
        <v>Total mains</v>
      </c>
      <c r="BB38" s="350">
        <f t="shared" si="18"/>
        <v>414.14652912269378</v>
      </c>
      <c r="BC38" s="402"/>
      <c r="BD38" s="350"/>
      <c r="BE38" s="397"/>
      <c r="BF38" s="350">
        <f t="shared" ref="BF38:BG38" si="22">SUM(BF22:BF37)</f>
        <v>103.47699390137491</v>
      </c>
      <c r="BG38" s="350">
        <f t="shared" si="22"/>
        <v>121.77511544563279</v>
      </c>
      <c r="BH38" s="353">
        <f>SUM(BH22:BH37)</f>
        <v>154.95734107247017</v>
      </c>
    </row>
    <row r="39" spans="6:67">
      <c r="T39"/>
      <c r="U39"/>
      <c r="AD39" s="142"/>
      <c r="AE39" s="345" t="s">
        <v>43</v>
      </c>
      <c r="AF39" s="263"/>
      <c r="AG39" s="263"/>
      <c r="AH39" s="346"/>
      <c r="AI39" s="263"/>
      <c r="AJ39" s="263"/>
      <c r="AK39" s="347"/>
      <c r="AL39" s="347"/>
      <c r="AM39" s="347"/>
      <c r="AN39" s="263"/>
      <c r="AO39" s="263"/>
      <c r="AP39" s="263"/>
      <c r="AQ39" s="263"/>
      <c r="AR39" s="263"/>
      <c r="AS39" s="375"/>
      <c r="AT39" s="128"/>
      <c r="AU39"/>
      <c r="AV39"/>
      <c r="AW39"/>
      <c r="AX39"/>
      <c r="BA39" s="345" t="str">
        <f t="shared" si="7"/>
        <v>Inlets</v>
      </c>
      <c r="BB39" s="263">
        <f t="shared" si="18"/>
        <v>0</v>
      </c>
      <c r="BC39" s="403"/>
      <c r="BD39" s="263"/>
      <c r="BE39" s="398"/>
      <c r="BF39" s="263"/>
      <c r="BG39" s="263"/>
      <c r="BH39" s="348"/>
    </row>
    <row r="40" spans="6:67">
      <c r="T40"/>
      <c r="U40"/>
      <c r="V40" s="324" t="s">
        <v>372</v>
      </c>
      <c r="W40" s="323" t="s">
        <v>373</v>
      </c>
      <c r="X40" s="323">
        <f>X35*(1+2.5%)^15.5</f>
        <v>427.56159676446129</v>
      </c>
      <c r="Y40" s="323"/>
      <c r="Z40" s="323">
        <f>Z35*(1+2.5%)^15.5</f>
        <v>157.82467184478878</v>
      </c>
      <c r="AB40" s="322" t="s">
        <v>349</v>
      </c>
      <c r="AC40" s="126" t="s">
        <v>48</v>
      </c>
      <c r="AD40" s="142" t="str">
        <f>CONCATENATE('ICB calcs - per asset calc'!C59,"_",'ICB calcs - per asset calc'!E59,"_",'ICB calcs - per asset calc'!A59)</f>
        <v>UPS_Low_Total steel</v>
      </c>
      <c r="AE40" s="262" t="str">
        <f t="shared" ref="AE40:AE51" si="23">CONCATENATE(AC40,AB40)</f>
        <v>Steel - Low pressure</v>
      </c>
      <c r="AF40" s="344">
        <f>'ICB calcs - per asset calc'!H59/10^3</f>
        <v>12.2438356768</v>
      </c>
      <c r="AG40" s="356">
        <f>AF40*'ICB calcs - per asset calc'!$F$20*(1-'kms replaced'!$E$57)/'Figures for report 2'!$AF$52</f>
        <v>9.5139711664550841</v>
      </c>
      <c r="AH40" s="226">
        <f>'ICB calcs - per asset calc'!F59</f>
        <v>17447</v>
      </c>
      <c r="AI40" s="344">
        <f>'ICB calcs - per asset calc'!G59</f>
        <v>37.048019162134459</v>
      </c>
      <c r="AJ40" s="228">
        <f>'ICB calcs - per asset calc'!L59</f>
        <v>60</v>
      </c>
      <c r="AK40" s="344">
        <f t="shared" si="14"/>
        <v>22.951980837865541</v>
      </c>
      <c r="AL40" s="344">
        <f t="shared" ref="AL40:AL51" si="24">MIN(AG40*AL$18/AK40,AG40)</f>
        <v>5.3887124617963078</v>
      </c>
      <c r="AM40" s="356">
        <f t="shared" ref="AM40:AM51" si="25">AG40-AL40</f>
        <v>4.1252587046587763</v>
      </c>
      <c r="AN40" s="344">
        <f>AK40-AL$18</f>
        <v>9.9519808378655412</v>
      </c>
      <c r="AO40" s="344">
        <f>MAX(AK40*'ICB calcs - per asset calc'!$F$12-AL$18,0)</f>
        <v>9.3921764271858947</v>
      </c>
      <c r="AP40" s="344">
        <f t="shared" ref="AP40:AP51" si="26">IF(AO40=0,AM40,MIN(AM40*AP$18/AO40,AM40))</f>
        <v>4.1252587046587763</v>
      </c>
      <c r="AQ40" s="356">
        <f t="shared" ref="AQ40:AQ51" si="27">AM40-AP40</f>
        <v>0</v>
      </c>
      <c r="AR40" s="356">
        <f>AQ40*'Inflation assumptions'!$R$18</f>
        <v>0</v>
      </c>
      <c r="AS40" s="373">
        <f>AR40*$Z$36/$AR$52</f>
        <v>0</v>
      </c>
      <c r="AT40" s="128"/>
      <c r="AU40"/>
      <c r="AV40"/>
      <c r="AW40"/>
      <c r="AX40"/>
      <c r="BA40" s="262" t="str">
        <f t="shared" si="7"/>
        <v>Steel - Low pressure</v>
      </c>
      <c r="BB40" s="344">
        <f t="shared" si="18"/>
        <v>0</v>
      </c>
      <c r="BC40" s="401">
        <f>'kms replaced'!$E$48*'Figures for report 2'!BC22+'kms replaced'!$E$49*'Figures for report 2'!BC26</f>
        <v>0.84887993362569636</v>
      </c>
      <c r="BD40" s="359">
        <f>'kms replaced'!$E$48*'Figures for report 2'!BD22+'kms replaced'!$E$49*'Figures for report 2'!BD26</f>
        <v>0.85480621073841401</v>
      </c>
      <c r="BE40" s="396">
        <f>'kms replaced'!$E$48*'Figures for report 2'!BE22+'kms replaced'!$E$49*'Figures for report 2'!BE26</f>
        <v>0.98222116866184672</v>
      </c>
      <c r="BF40" s="344">
        <f t="shared" ref="BF40:BG51" si="28">IFERROR(BC40*$BB40,"n/a")</f>
        <v>0</v>
      </c>
      <c r="BG40" s="344">
        <f t="shared" si="28"/>
        <v>0</v>
      </c>
      <c r="BH40" s="274">
        <f>IFERROR(BE40*$BB40,"n/a")</f>
        <v>0</v>
      </c>
    </row>
    <row r="41" spans="6:67">
      <c r="T41"/>
      <c r="U41"/>
      <c r="V41" s="324"/>
      <c r="W41" s="323"/>
      <c r="X41" s="325">
        <f>X36/X40-1</f>
        <v>-3.1375754378515142E-2</v>
      </c>
      <c r="Y41" s="323"/>
      <c r="Z41" s="325">
        <f>Z36/Z40-1</f>
        <v>-3.1375754378515142E-2</v>
      </c>
      <c r="AB41" s="322" t="s">
        <v>351</v>
      </c>
      <c r="AC41" s="126" t="s">
        <v>48</v>
      </c>
      <c r="AD41" s="142" t="str">
        <f>CONCATENATE('ICB calcs - per asset calc'!C60,"_",'ICB calcs - per asset calc'!E60,"_",'ICB calcs - per asset calc'!A60)</f>
        <v>UPS_Medium_Total steel</v>
      </c>
      <c r="AE41" s="262" t="str">
        <f t="shared" si="23"/>
        <v>Steel - Medium pressure</v>
      </c>
      <c r="AF41" s="344">
        <f>'ICB calcs - per asset calc'!H60/10^3</f>
        <v>19.752920880639998</v>
      </c>
      <c r="AG41" s="356">
        <f>AF41*'ICB calcs - per asset calc'!$F$20*(1-'kms replaced'!$E$57)/'Figures for report 2'!$AF$52</f>
        <v>15.348843668963207</v>
      </c>
      <c r="AH41" s="226">
        <f>'ICB calcs - per asset calc'!F60</f>
        <v>22462</v>
      </c>
      <c r="AI41" s="344">
        <f>'ICB calcs - per asset calc'!G60</f>
        <v>17.579005175236759</v>
      </c>
      <c r="AJ41" s="228">
        <f>'ICB calcs - per asset calc'!L60</f>
        <v>60</v>
      </c>
      <c r="AK41" s="344">
        <f t="shared" si="14"/>
        <v>42.420994824763241</v>
      </c>
      <c r="AL41" s="344">
        <f t="shared" si="24"/>
        <v>4.703684308224739</v>
      </c>
      <c r="AM41" s="356">
        <f t="shared" si="25"/>
        <v>10.645159360738468</v>
      </c>
      <c r="AN41" s="344">
        <f t="shared" ref="AN41:AN51" si="29">AK41-AL$18</f>
        <v>29.420994824763241</v>
      </c>
      <c r="AO41" s="344">
        <f>MAX(AK41*'ICB calcs - per asset calc'!$F$12-AL$18,0)</f>
        <v>28.386336414403161</v>
      </c>
      <c r="AP41" s="344">
        <f t="shared" si="26"/>
        <v>3.7500997681888739</v>
      </c>
      <c r="AQ41" s="356">
        <f t="shared" si="27"/>
        <v>6.8950595925495941</v>
      </c>
      <c r="AR41" s="356">
        <f>AQ41*'Inflation assumptions'!$R$18</f>
        <v>11.743766734096358</v>
      </c>
      <c r="AS41" s="373">
        <f t="shared" ref="AS41:AS51" si="30">AR41*$Z$36/$AR$52</f>
        <v>11.319845326005074</v>
      </c>
      <c r="AT41" s="128"/>
      <c r="AU41"/>
      <c r="AV41"/>
      <c r="AW41"/>
      <c r="AX41"/>
      <c r="BA41" s="262" t="str">
        <f t="shared" si="7"/>
        <v>Steel - Medium pressure</v>
      </c>
      <c r="BB41" s="344">
        <f t="shared" si="18"/>
        <v>11.319845326005074</v>
      </c>
      <c r="BC41" s="401">
        <f>'kms replaced'!$E$52*'Figures for report 2'!BC27</f>
        <v>3.3852600136903895E-2</v>
      </c>
      <c r="BD41" s="359">
        <f>'kms replaced'!$E$52*'Figures for report 2'!BD27</f>
        <v>4.0075504573834755E-2</v>
      </c>
      <c r="BE41" s="396">
        <f>'kms replaced'!$E$52*'Figures for report 2'!BE27</f>
        <v>4.2149806052811711E-2</v>
      </c>
      <c r="BF41" s="344">
        <f t="shared" si="28"/>
        <v>0.38320619743285028</v>
      </c>
      <c r="BG41" s="344">
        <f t="shared" si="28"/>
        <v>0.45364851313741833</v>
      </c>
      <c r="BH41" s="274">
        <f t="shared" ref="BH41:BH51" si="31">IFERROR(BE41*$BB41,"n/a")</f>
        <v>0.47712928503894103</v>
      </c>
    </row>
    <row r="42" spans="6:67">
      <c r="U42" s="142"/>
      <c r="W42" s="280"/>
      <c r="X42" s="280"/>
      <c r="Y42" s="280"/>
      <c r="Z42" s="280"/>
      <c r="AA42" s="280"/>
      <c r="AB42" s="322" t="s">
        <v>353</v>
      </c>
      <c r="AC42" s="126" t="s">
        <v>48</v>
      </c>
      <c r="AD42" s="142" t="str">
        <f>CONCATENATE('ICB calcs - per asset calc'!C61,"_",'ICB calcs - per asset calc'!E61,"_",'ICB calcs - per asset calc'!A61)</f>
        <v>UPS_High_Total steel</v>
      </c>
      <c r="AE42" s="262" t="str">
        <f t="shared" si="23"/>
        <v>Steel - High pressure</v>
      </c>
      <c r="AF42" s="344">
        <f>'ICB calcs - per asset calc'!H61/10^3</f>
        <v>41.775840109600004</v>
      </c>
      <c r="AG42" s="356">
        <f>AF42*'ICB calcs - per asset calc'!$F$20*(1-'kms replaced'!$E$57)/'Figures for report 2'!$AF$52</f>
        <v>32.461570764975278</v>
      </c>
      <c r="AH42" s="226">
        <f>'ICB calcs - per asset calc'!F61</f>
        <v>49781</v>
      </c>
      <c r="AI42" s="344">
        <f>'ICB calcs - per asset calc'!G61</f>
        <v>22.976889630145813</v>
      </c>
      <c r="AJ42" s="228">
        <f>'ICB calcs - per asset calc'!L61</f>
        <v>60</v>
      </c>
      <c r="AK42" s="344">
        <f t="shared" si="14"/>
        <v>37.023110369854187</v>
      </c>
      <c r="AL42" s="344">
        <f t="shared" si="24"/>
        <v>11.398297326425862</v>
      </c>
      <c r="AM42" s="356">
        <f t="shared" si="25"/>
        <v>21.063273438549416</v>
      </c>
      <c r="AN42" s="344">
        <f t="shared" si="29"/>
        <v>24.023110369854187</v>
      </c>
      <c r="AO42" s="344">
        <f>MAX(AK42*'ICB calcs - per asset calc'!$F$12-AL$18,0)</f>
        <v>23.120107677906525</v>
      </c>
      <c r="AP42" s="344">
        <f t="shared" si="26"/>
        <v>9.110369956744357</v>
      </c>
      <c r="AQ42" s="356">
        <f t="shared" si="27"/>
        <v>11.952903481805059</v>
      </c>
      <c r="AR42" s="356">
        <f>AQ42*'Inflation assumptions'!$R$18</f>
        <v>20.358360707594873</v>
      </c>
      <c r="AS42" s="373">
        <f t="shared" si="30"/>
        <v>19.623473415212192</v>
      </c>
      <c r="AT42" s="128"/>
      <c r="AU42"/>
      <c r="AV42"/>
      <c r="AW42"/>
      <c r="AX42"/>
      <c r="BA42" s="262" t="str">
        <f t="shared" si="7"/>
        <v>Steel - High pressure</v>
      </c>
      <c r="BB42" s="344">
        <f t="shared" si="18"/>
        <v>19.623473415212192</v>
      </c>
      <c r="BC42" s="401" t="s">
        <v>374</v>
      </c>
      <c r="BD42" s="359" t="s">
        <v>374</v>
      </c>
      <c r="BE42" s="396" t="s">
        <v>374</v>
      </c>
      <c r="BF42" s="344" t="str">
        <f t="shared" si="28"/>
        <v>n/a</v>
      </c>
      <c r="BG42" s="344" t="str">
        <f t="shared" si="28"/>
        <v>n/a</v>
      </c>
      <c r="BH42" s="274" t="str">
        <f t="shared" si="31"/>
        <v>n/a</v>
      </c>
    </row>
    <row r="43" spans="6:67">
      <c r="U43" s="142"/>
      <c r="Y43" s="280"/>
      <c r="Z43" s="280"/>
      <c r="AA43" s="280"/>
      <c r="AB43" s="322" t="s">
        <v>354</v>
      </c>
      <c r="AC43" s="126" t="s">
        <v>48</v>
      </c>
      <c r="AD43" s="142" t="str">
        <f>CONCATENATE('ICB calcs - per asset calc'!C62,"_",'ICB calcs - per asset calc'!E62,"_",'ICB calcs - per asset calc'!A62)</f>
        <v>UPS_Transmision_Total steel</v>
      </c>
      <c r="AE43" s="262" t="str">
        <f t="shared" si="23"/>
        <v>Steel - Transmission</v>
      </c>
      <c r="AF43" s="344">
        <f>'ICB calcs - per asset calc'!H62/10^3</f>
        <v>0.22020000000000001</v>
      </c>
      <c r="AG43" s="356">
        <f>AF43*'ICB calcs - per asset calc'!$F$20*(1-'kms replaced'!$E$57)/'Figures for report 2'!$AF$52</f>
        <v>0.17110458733312109</v>
      </c>
      <c r="AH43" s="226">
        <f>'ICB calcs - per asset calc'!F62</f>
        <v>9</v>
      </c>
      <c r="AI43" s="344">
        <f>'ICB calcs - per asset calc'!G62</f>
        <v>23.031335149863757</v>
      </c>
      <c r="AJ43" s="228">
        <f>'ICB calcs - per asset calc'!L62</f>
        <v>60</v>
      </c>
      <c r="AK43" s="344">
        <f t="shared" si="14"/>
        <v>36.968664850136243</v>
      </c>
      <c r="AL43" s="344">
        <f t="shared" si="24"/>
        <v>6.0168784681505112E-2</v>
      </c>
      <c r="AM43" s="356">
        <f t="shared" si="25"/>
        <v>0.11093580265161598</v>
      </c>
      <c r="AN43" s="344">
        <f t="shared" si="29"/>
        <v>23.968664850136243</v>
      </c>
      <c r="AO43" s="344">
        <f>MAX(AK43*'ICB calcs - per asset calc'!$F$12-AL$18,0)</f>
        <v>23.066990097693896</v>
      </c>
      <c r="AP43" s="344">
        <f t="shared" si="26"/>
        <v>4.8092881724827501E-2</v>
      </c>
      <c r="AQ43" s="356">
        <f t="shared" si="27"/>
        <v>6.2842920926788476E-2</v>
      </c>
      <c r="AR43" s="356">
        <f>AQ43*'Inflation assumptions'!$R$18</f>
        <v>0.10703498560779959</v>
      </c>
      <c r="AS43" s="373">
        <f t="shared" si="30"/>
        <v>0.10317128302912434</v>
      </c>
      <c r="AT43" s="128"/>
      <c r="AU43"/>
      <c r="AV43"/>
      <c r="AW43"/>
      <c r="AX43"/>
      <c r="BA43" s="262" t="str">
        <f t="shared" si="7"/>
        <v>Steel - Transmission</v>
      </c>
      <c r="BB43" s="344">
        <f t="shared" si="18"/>
        <v>0.10317128302912434</v>
      </c>
      <c r="BC43" s="401" t="s">
        <v>374</v>
      </c>
      <c r="BD43" s="359" t="s">
        <v>374</v>
      </c>
      <c r="BE43" s="396" t="s">
        <v>374</v>
      </c>
      <c r="BF43" s="344" t="str">
        <f t="shared" si="28"/>
        <v>n/a</v>
      </c>
      <c r="BG43" s="344" t="str">
        <f t="shared" si="28"/>
        <v>n/a</v>
      </c>
      <c r="BH43" s="274" t="str">
        <f t="shared" si="31"/>
        <v>n/a</v>
      </c>
    </row>
    <row r="44" spans="6:67">
      <c r="U44" s="142"/>
      <c r="W44" s="280"/>
      <c r="X44" s="280"/>
      <c r="Y44" s="280"/>
      <c r="Z44" s="280"/>
      <c r="AA44" s="280"/>
      <c r="AB44" s="322" t="s">
        <v>349</v>
      </c>
      <c r="AC44" s="126" t="s">
        <v>375</v>
      </c>
      <c r="AD44" s="142" t="str">
        <f>CONCATENATE('ICB calcs - per asset calc'!C63,"_",'ICB calcs - per asset calc'!E63,"_",'ICB calcs - per asset calc'!A63)</f>
        <v>CI_Low_Total CI</v>
      </c>
      <c r="AE44" s="262" t="str">
        <f t="shared" si="23"/>
        <v>Cast iron - Low pressure</v>
      </c>
      <c r="AF44" s="344">
        <f>'ICB calcs - per asset calc'!H63/10^3</f>
        <v>92.05324895494509</v>
      </c>
      <c r="AG44" s="356">
        <f>AF44*'ICB calcs - per asset calc'!$F$20*(1-'kms replaced'!$E$57)/'Figures for report 2'!$AF$52</f>
        <v>71.529215145817162</v>
      </c>
      <c r="AH44" s="226">
        <f>'ICB calcs - per asset calc'!F63</f>
        <v>117650</v>
      </c>
      <c r="AI44" s="344">
        <f>'ICB calcs - per asset calc'!G63</f>
        <v>39.802604892245519</v>
      </c>
      <c r="AJ44" s="228">
        <f>'ICB calcs - per asset calc'!L63</f>
        <v>85</v>
      </c>
      <c r="AK44" s="344">
        <f t="shared" si="14"/>
        <v>45.197395107754481</v>
      </c>
      <c r="AL44" s="344">
        <f t="shared" si="24"/>
        <v>20.573747550687592</v>
      </c>
      <c r="AM44" s="356">
        <f t="shared" si="25"/>
        <v>50.955467595129569</v>
      </c>
      <c r="AN44" s="344">
        <f t="shared" si="29"/>
        <v>32.197395107754481</v>
      </c>
      <c r="AO44" s="344">
        <f>MAX(AK44*'ICB calcs - per asset calc'!$F$12-AL$18,0)</f>
        <v>31.095019617321441</v>
      </c>
      <c r="AP44" s="344">
        <f t="shared" si="26"/>
        <v>16.387018957449023</v>
      </c>
      <c r="AQ44" s="356">
        <f t="shared" si="27"/>
        <v>34.568448637680547</v>
      </c>
      <c r="AR44" s="356">
        <f>AQ44*'Inflation assumptions'!$R$18</f>
        <v>58.877489267702998</v>
      </c>
      <c r="AS44" s="373">
        <f t="shared" si="30"/>
        <v>56.752155146174694</v>
      </c>
      <c r="AT44" s="128"/>
      <c r="AU44"/>
      <c r="AV44"/>
      <c r="AW44"/>
      <c r="AX44"/>
      <c r="BA44" s="262" t="str">
        <f t="shared" si="7"/>
        <v>Cast iron - Low pressure</v>
      </c>
      <c r="BB44" s="344">
        <f t="shared" si="18"/>
        <v>56.752155146174694</v>
      </c>
      <c r="BC44" s="401">
        <f t="shared" ref="BC44:BD44" si="32">BC32</f>
        <v>0.83002109925765244</v>
      </c>
      <c r="BD44" s="359">
        <f t="shared" si="32"/>
        <v>0.86328774739221381</v>
      </c>
      <c r="BE44" s="396">
        <f>BE32</f>
        <v>1</v>
      </c>
      <c r="BF44" s="344">
        <f t="shared" si="28"/>
        <v>47.105486199668753</v>
      </c>
      <c r="BG44" s="344">
        <f t="shared" si="28"/>
        <v>48.993440175794589</v>
      </c>
      <c r="BH44" s="274">
        <f t="shared" si="31"/>
        <v>56.752155146174694</v>
      </c>
    </row>
    <row r="45" spans="6:67">
      <c r="U45" s="142"/>
      <c r="AA45" s="280"/>
      <c r="AB45" s="322" t="s">
        <v>351</v>
      </c>
      <c r="AC45" s="126" t="s">
        <v>375</v>
      </c>
      <c r="AD45" s="142" t="str">
        <f>CONCATENATE('ICB calcs - per asset calc'!C64,"_",'ICB calcs - per asset calc'!E64,"_",'ICB calcs - per asset calc'!A64)</f>
        <v>CI_Medium_Total CI</v>
      </c>
      <c r="AE45" s="262" t="str">
        <f t="shared" si="23"/>
        <v>Cast iron - Medium pressure</v>
      </c>
      <c r="AF45" s="344">
        <f>'ICB calcs - per asset calc'!H64/10^3</f>
        <v>3.9781948596923078</v>
      </c>
      <c r="AG45" s="356">
        <f>AF45*'ICB calcs - per asset calc'!$F$20*(1-'kms replaced'!$E$57)/'Figures for report 2'!$AF$52</f>
        <v>3.0912233869136965</v>
      </c>
      <c r="AH45" s="226">
        <f>'ICB calcs - per asset calc'!F64</f>
        <v>5777</v>
      </c>
      <c r="AI45" s="344">
        <f>'ICB calcs - per asset calc'!G64</f>
        <v>59.817224343050377</v>
      </c>
      <c r="AJ45" s="228">
        <f>'ICB calcs - per asset calc'!L64</f>
        <v>85</v>
      </c>
      <c r="AK45" s="344">
        <f t="shared" si="14"/>
        <v>25.182775656949623</v>
      </c>
      <c r="AL45" s="344">
        <f t="shared" si="24"/>
        <v>1.5957694488211849</v>
      </c>
      <c r="AM45" s="356">
        <f t="shared" si="25"/>
        <v>1.4954539380925116</v>
      </c>
      <c r="AN45" s="344">
        <f t="shared" si="29"/>
        <v>12.182775656949623</v>
      </c>
      <c r="AO45" s="344">
        <f>MAX(AK45*'ICB calcs - per asset calc'!$F$12-AL$18,0)</f>
        <v>11.568561616536218</v>
      </c>
      <c r="AP45" s="344">
        <f t="shared" si="26"/>
        <v>1.2926878791524909</v>
      </c>
      <c r="AQ45" s="356">
        <f t="shared" si="27"/>
        <v>0.20276605894002064</v>
      </c>
      <c r="AR45" s="356">
        <f>AQ45*'Inflation assumptions'!$R$18</f>
        <v>0.34535412868028931</v>
      </c>
      <c r="AS45" s="373">
        <f t="shared" si="30"/>
        <v>0.33288768483521308</v>
      </c>
      <c r="AT45" s="128"/>
      <c r="AU45"/>
      <c r="AV45"/>
      <c r="AW45"/>
      <c r="AX45"/>
      <c r="BA45" s="262" t="str">
        <f t="shared" si="7"/>
        <v>Cast iron - Medium pressure</v>
      </c>
      <c r="BB45" s="344">
        <f t="shared" si="18"/>
        <v>0.33288768483521308</v>
      </c>
      <c r="BC45" s="401">
        <f t="shared" ref="BC45:BE45" si="33">BC33</f>
        <v>0.86374929870962569</v>
      </c>
      <c r="BD45" s="359">
        <f t="shared" si="33"/>
        <v>0.94389677005690475</v>
      </c>
      <c r="BE45" s="396">
        <f t="shared" si="33"/>
        <v>1</v>
      </c>
      <c r="BF45" s="344">
        <f t="shared" si="28"/>
        <v>0.28753150432548619</v>
      </c>
      <c r="BG45" s="344">
        <f t="shared" si="28"/>
        <v>0.31421161050767848</v>
      </c>
      <c r="BH45" s="274">
        <f t="shared" si="31"/>
        <v>0.33288768483521308</v>
      </c>
    </row>
    <row r="46" spans="6:67">
      <c r="U46" s="142"/>
      <c r="AA46" s="280"/>
      <c r="AB46" s="322" t="s">
        <v>353</v>
      </c>
      <c r="AC46" s="126" t="s">
        <v>375</v>
      </c>
      <c r="AD46" s="142" t="str">
        <f>CONCATENATE('ICB calcs - per asset calc'!C65,"_",'ICB calcs - per asset calc'!E65,"_",'ICB calcs - per asset calc'!A65)</f>
        <v>CI_High_Total CI</v>
      </c>
      <c r="AE46" s="262" t="str">
        <f t="shared" si="23"/>
        <v>Cast iron - High pressure</v>
      </c>
      <c r="AF46" s="344">
        <f>'ICB calcs - per asset calc'!H65/10^3</f>
        <v>3.1002192000000005E-2</v>
      </c>
      <c r="AG46" s="356">
        <f>AF46*'ICB calcs - per asset calc'!$F$20*(1-'kms replaced'!$E$57)/'Figures for report 2'!$AF$52</f>
        <v>2.4089996678393229E-2</v>
      </c>
      <c r="AH46" s="226">
        <f>'ICB calcs - per asset calc'!F65</f>
        <v>36</v>
      </c>
      <c r="AI46" s="344">
        <f>'ICB calcs - per asset calc'!G65</f>
        <v>24.963455116086877</v>
      </c>
      <c r="AJ46" s="228">
        <f>'ICB calcs - per asset calc'!L65</f>
        <v>85</v>
      </c>
      <c r="AK46" s="344">
        <f t="shared" si="14"/>
        <v>60.036544883913123</v>
      </c>
      <c r="AL46" s="344">
        <f t="shared" si="24"/>
        <v>5.2163221155490961E-3</v>
      </c>
      <c r="AM46" s="356">
        <f t="shared" si="25"/>
        <v>1.8873674562844132E-2</v>
      </c>
      <c r="AN46" s="344">
        <f t="shared" si="29"/>
        <v>47.036544883913123</v>
      </c>
      <c r="AO46" s="344">
        <f>MAX(AK46*'ICB calcs - per asset calc'!$F$12-AL$18,0)</f>
        <v>45.572238911134754</v>
      </c>
      <c r="AP46" s="344">
        <f t="shared" si="26"/>
        <v>4.1414850386542433E-3</v>
      </c>
      <c r="AQ46" s="356">
        <f t="shared" si="27"/>
        <v>1.4732189524189889E-2</v>
      </c>
      <c r="AR46" s="356">
        <f>AQ46*'Inflation assumptions'!$R$18</f>
        <v>2.5092081501591409E-2</v>
      </c>
      <c r="AS46" s="373">
        <f t="shared" si="30"/>
        <v>2.4186318405053343E-2</v>
      </c>
      <c r="AT46" s="128"/>
      <c r="AU46"/>
      <c r="AV46"/>
      <c r="AW46"/>
      <c r="AX46"/>
      <c r="BA46" s="262" t="str">
        <f t="shared" si="7"/>
        <v>Cast iron - High pressure</v>
      </c>
      <c r="BB46" s="344">
        <f t="shared" si="18"/>
        <v>2.4186318405053343E-2</v>
      </c>
      <c r="BC46" s="401" t="s">
        <v>374</v>
      </c>
      <c r="BD46" s="359" t="s">
        <v>374</v>
      </c>
      <c r="BE46" s="396" t="s">
        <v>374</v>
      </c>
      <c r="BF46" s="344" t="str">
        <f t="shared" si="28"/>
        <v>n/a</v>
      </c>
      <c r="BG46" s="344" t="str">
        <f t="shared" si="28"/>
        <v>n/a</v>
      </c>
      <c r="BH46" s="274" t="str">
        <f t="shared" si="31"/>
        <v>n/a</v>
      </c>
    </row>
    <row r="47" spans="6:67">
      <c r="U47" s="142"/>
      <c r="V47"/>
      <c r="W47"/>
      <c r="X47"/>
      <c r="Y47"/>
      <c r="Z47"/>
      <c r="AA47" s="280"/>
      <c r="AB47" s="322" t="s">
        <v>354</v>
      </c>
      <c r="AC47" s="126" t="s">
        <v>375</v>
      </c>
      <c r="AD47" s="142" t="str">
        <f>CONCATENATE('ICB calcs - per asset calc'!C66,"_",'ICB calcs - per asset calc'!E66,"_",'ICB calcs - per asset calc'!A66)</f>
        <v>CI_Transmision_Total CI</v>
      </c>
      <c r="AE47" s="262" t="str">
        <f t="shared" si="23"/>
        <v>Cast iron - Transmission</v>
      </c>
      <c r="AF47" s="344">
        <f>'ICB calcs - per asset calc'!H66/10^3</f>
        <v>0</v>
      </c>
      <c r="AG47" s="356">
        <f>AF47*'ICB calcs - per asset calc'!$F$20*(1-'kms replaced'!$E$57)/'Figures for report 2'!$AF$52</f>
        <v>0</v>
      </c>
      <c r="AH47" s="226">
        <f>'ICB calcs - per asset calc'!F66</f>
        <v>0</v>
      </c>
      <c r="AI47" s="344">
        <f>'ICB calcs - per asset calc'!G66</f>
        <v>0</v>
      </c>
      <c r="AJ47" s="228">
        <f>'ICB calcs - per asset calc'!L66</f>
        <v>85</v>
      </c>
      <c r="AK47" s="344">
        <f t="shared" si="14"/>
        <v>85</v>
      </c>
      <c r="AL47" s="344">
        <f t="shared" si="24"/>
        <v>0</v>
      </c>
      <c r="AM47" s="356">
        <f t="shared" si="25"/>
        <v>0</v>
      </c>
      <c r="AN47" s="344">
        <f t="shared" si="29"/>
        <v>72</v>
      </c>
      <c r="AO47" s="344">
        <f>MAX(AK47*'ICB calcs - per asset calc'!$F$12-AL$18,0)</f>
        <v>69.926829268292678</v>
      </c>
      <c r="AP47" s="344">
        <f t="shared" si="26"/>
        <v>0</v>
      </c>
      <c r="AQ47" s="356">
        <f t="shared" si="27"/>
        <v>0</v>
      </c>
      <c r="AR47" s="356">
        <f>AQ47*'Inflation assumptions'!$R$18</f>
        <v>0</v>
      </c>
      <c r="AS47" s="373">
        <f t="shared" si="30"/>
        <v>0</v>
      </c>
      <c r="AT47" s="128"/>
      <c r="AU47"/>
      <c r="AV47"/>
      <c r="AW47"/>
      <c r="AX47"/>
      <c r="BA47" s="262" t="str">
        <f t="shared" si="7"/>
        <v>Cast iron - Transmission</v>
      </c>
      <c r="BB47" s="344">
        <f t="shared" si="18"/>
        <v>0</v>
      </c>
      <c r="BC47" s="401" t="s">
        <v>374</v>
      </c>
      <c r="BD47" s="359" t="s">
        <v>374</v>
      </c>
      <c r="BE47" s="396" t="s">
        <v>374</v>
      </c>
      <c r="BF47" s="344" t="str">
        <f t="shared" si="28"/>
        <v>n/a</v>
      </c>
      <c r="BG47" s="344" t="str">
        <f t="shared" si="28"/>
        <v>n/a</v>
      </c>
      <c r="BH47" s="274" t="str">
        <f t="shared" si="31"/>
        <v>n/a</v>
      </c>
    </row>
    <row r="48" spans="6:67">
      <c r="U48" s="142"/>
      <c r="V48"/>
      <c r="W48"/>
      <c r="X48"/>
      <c r="Y48"/>
      <c r="Z48"/>
      <c r="AA48" s="280"/>
      <c r="AB48" s="322" t="s">
        <v>349</v>
      </c>
      <c r="AC48" s="126" t="s">
        <v>126</v>
      </c>
      <c r="AD48" s="142" t="str">
        <f>CONCATENATE('ICB calcs - per asset calc'!C67,"_",'ICB calcs - per asset calc'!E67,"_",'ICB calcs - per asset calc'!A67)</f>
        <v>PE_Low_Total PE</v>
      </c>
      <c r="AE48" s="262" t="str">
        <f t="shared" si="23"/>
        <v>PE - Low pressure</v>
      </c>
      <c r="AF48" s="344">
        <f>'ICB calcs - per asset calc'!H67/10^3</f>
        <v>30.829161756723082</v>
      </c>
      <c r="AG48" s="356">
        <f>AF48*'ICB calcs - per asset calc'!$F$20*(1-'kms replaced'!$E$57)/'Figures for report 2'!$AF$52</f>
        <v>23.955544960082385</v>
      </c>
      <c r="AH48" s="226">
        <f>'ICB calcs - per asset calc'!F67</f>
        <v>38595</v>
      </c>
      <c r="AI48" s="344">
        <f>'ICB calcs - per asset calc'!G67</f>
        <v>13.709404621371309</v>
      </c>
      <c r="AJ48" s="228">
        <f>'ICB calcs - per asset calc'!L67</f>
        <v>60</v>
      </c>
      <c r="AK48" s="344">
        <f t="shared" si="14"/>
        <v>46.290595378628694</v>
      </c>
      <c r="AL48" s="344">
        <f t="shared" si="24"/>
        <v>6.727545453538224</v>
      </c>
      <c r="AM48" s="356">
        <f t="shared" si="25"/>
        <v>17.227999506544162</v>
      </c>
      <c r="AN48" s="344">
        <f t="shared" si="29"/>
        <v>33.290595378628694</v>
      </c>
      <c r="AO48" s="344">
        <f>MAX(AK48*'ICB calcs - per asset calc'!$F$12-AL$18,0)</f>
        <v>32.161556466954821</v>
      </c>
      <c r="AP48" s="344">
        <f t="shared" si="26"/>
        <v>5.3567057689653463</v>
      </c>
      <c r="AQ48" s="356">
        <f t="shared" si="27"/>
        <v>11.871293737578815</v>
      </c>
      <c r="AR48" s="356">
        <f>AQ48*'Inflation assumptions'!$R$18</f>
        <v>20.219361793001319</v>
      </c>
      <c r="AS48" s="373">
        <f t="shared" si="30"/>
        <v>19.489492023269747</v>
      </c>
      <c r="AT48" s="128"/>
      <c r="AU48"/>
      <c r="AV48"/>
      <c r="AW48"/>
      <c r="AX48"/>
      <c r="BA48" s="262" t="str">
        <f t="shared" si="7"/>
        <v>PE - Low pressure</v>
      </c>
      <c r="BB48" s="344">
        <f t="shared" si="18"/>
        <v>19.489492023269747</v>
      </c>
      <c r="BC48" s="401">
        <f t="shared" ref="BC48:BD48" si="34">BC29</f>
        <v>0.71934190515691965</v>
      </c>
      <c r="BD48" s="359">
        <f t="shared" si="34"/>
        <v>0.78708696253283561</v>
      </c>
      <c r="BE48" s="396">
        <f>BE29</f>
        <v>1</v>
      </c>
      <c r="BF48" s="344">
        <f t="shared" si="28"/>
        <v>14.019608322559449</v>
      </c>
      <c r="BG48" s="344">
        <f t="shared" si="28"/>
        <v>15.339925077903315</v>
      </c>
      <c r="BH48" s="274">
        <f t="shared" si="31"/>
        <v>19.489492023269747</v>
      </c>
    </row>
    <row r="49" spans="21:60">
      <c r="U49" s="142"/>
      <c r="W49" s="280"/>
      <c r="X49" s="280"/>
      <c r="Y49" s="280"/>
      <c r="Z49" s="280"/>
      <c r="AA49" s="280"/>
      <c r="AB49" s="322" t="s">
        <v>351</v>
      </c>
      <c r="AC49" s="126" t="s">
        <v>126</v>
      </c>
      <c r="AD49" s="142" t="str">
        <f>CONCATENATE('ICB calcs - per asset calc'!C68,"_",'ICB calcs - per asset calc'!E68,"_",'ICB calcs - per asset calc'!A68)</f>
        <v>PE_Medium_Total PE</v>
      </c>
      <c r="AE49" s="262" t="str">
        <f t="shared" si="23"/>
        <v>PE - Medium pressure</v>
      </c>
      <c r="AF49" s="344">
        <f>'ICB calcs - per asset calc'!H68/10^3</f>
        <v>28.309340428527474</v>
      </c>
      <c r="AG49" s="356">
        <f>AF49*'ICB calcs - per asset calc'!$F$20*(1-'kms replaced'!$E$57)/'Figures for report 2'!$AF$52</f>
        <v>21.997538654387082</v>
      </c>
      <c r="AH49" s="226">
        <f>'ICB calcs - per asset calc'!F68</f>
        <v>32978</v>
      </c>
      <c r="AI49" s="344">
        <f>'ICB calcs - per asset calc'!G68</f>
        <v>11.217933923322601</v>
      </c>
      <c r="AJ49" s="228">
        <f>'ICB calcs - per asset calc'!L68</f>
        <v>60</v>
      </c>
      <c r="AK49" s="344">
        <f t="shared" si="14"/>
        <v>48.782066076677395</v>
      </c>
      <c r="AL49" s="344">
        <f t="shared" si="24"/>
        <v>5.8621543838987327</v>
      </c>
      <c r="AM49" s="356">
        <f t="shared" si="25"/>
        <v>16.135384270488348</v>
      </c>
      <c r="AN49" s="344">
        <f t="shared" si="29"/>
        <v>35.782066076677395</v>
      </c>
      <c r="AO49" s="344">
        <f>MAX(AK49*'ICB calcs - per asset calc'!$F$12-AL$18,0)</f>
        <v>34.592259587002339</v>
      </c>
      <c r="AP49" s="344">
        <f t="shared" si="26"/>
        <v>4.6644493488222549</v>
      </c>
      <c r="AQ49" s="356">
        <f t="shared" si="27"/>
        <v>11.470934921666093</v>
      </c>
      <c r="AR49" s="356">
        <f>AQ49*'Inflation assumptions'!$R$18</f>
        <v>19.537464779507999</v>
      </c>
      <c r="AS49" s="373">
        <f t="shared" si="30"/>
        <v>18.832209832999546</v>
      </c>
      <c r="AT49" s="128"/>
      <c r="AU49"/>
      <c r="AV49"/>
      <c r="AW49"/>
      <c r="AX49"/>
      <c r="BA49" s="262" t="str">
        <f t="shared" si="7"/>
        <v>PE - Medium pressure</v>
      </c>
      <c r="BB49" s="344">
        <f t="shared" si="18"/>
        <v>18.832209832999546</v>
      </c>
      <c r="BC49" s="401">
        <f t="shared" ref="BC49:BE50" si="35">BC30</f>
        <v>3.476435231996404E-2</v>
      </c>
      <c r="BD49" s="359">
        <f t="shared" si="35"/>
        <v>0.21985591506572302</v>
      </c>
      <c r="BE49" s="396">
        <f t="shared" si="35"/>
        <v>0.36646865520728011</v>
      </c>
      <c r="BF49" s="344">
        <f t="shared" si="28"/>
        <v>0.65468957759788737</v>
      </c>
      <c r="BG49" s="344">
        <f t="shared" si="28"/>
        <v>4.1403727255438216</v>
      </c>
      <c r="BH49" s="274">
        <f t="shared" si="31"/>
        <v>6.9014146120806608</v>
      </c>
    </row>
    <row r="50" spans="21:60">
      <c r="U50" s="142"/>
      <c r="W50"/>
      <c r="X50"/>
      <c r="Y50" s="280"/>
      <c r="Z50" s="280"/>
      <c r="AA50" s="280"/>
      <c r="AB50" s="322" t="s">
        <v>353</v>
      </c>
      <c r="AC50" s="126" t="s">
        <v>126</v>
      </c>
      <c r="AD50" s="142" t="str">
        <f>CONCATENATE('ICB calcs - per asset calc'!C69,"_",'ICB calcs - per asset calc'!E69,"_",'ICB calcs - per asset calc'!A69)</f>
        <v>PE_High_Total PE</v>
      </c>
      <c r="AE50" s="262" t="str">
        <f t="shared" si="23"/>
        <v>PE - High pressure</v>
      </c>
      <c r="AF50" s="344">
        <f>'ICB calcs - per asset calc'!H69/10^3</f>
        <v>37.503558441648352</v>
      </c>
      <c r="AG50" s="356">
        <f>AF50*'ICB calcs - per asset calc'!$F$20*(1-'kms replaced'!$E$57)/'Figures for report 2'!$AF$52</f>
        <v>29.141829657955636</v>
      </c>
      <c r="AH50" s="226">
        <f>'ICB calcs - per asset calc'!F69</f>
        <v>41071</v>
      </c>
      <c r="AI50" s="344">
        <f>'ICB calcs - per asset calc'!G69</f>
        <v>7.944706512708767</v>
      </c>
      <c r="AJ50" s="228">
        <f>'ICB calcs - per asset calc'!L69</f>
        <v>60</v>
      </c>
      <c r="AK50" s="344">
        <f t="shared" si="14"/>
        <v>52.05529348729123</v>
      </c>
      <c r="AL50" s="344">
        <f t="shared" si="24"/>
        <v>7.2777187520019293</v>
      </c>
      <c r="AM50" s="356">
        <f t="shared" si="25"/>
        <v>21.864110905953709</v>
      </c>
      <c r="AN50" s="344">
        <f t="shared" si="29"/>
        <v>39.05529348729123</v>
      </c>
      <c r="AO50" s="344">
        <f>MAX(AK50*'ICB calcs - per asset calc'!$F$12-AL$18,0)</f>
        <v>37.785652182723148</v>
      </c>
      <c r="AP50" s="344">
        <f t="shared" si="26"/>
        <v>5.7863526611168838</v>
      </c>
      <c r="AQ50" s="356">
        <f t="shared" si="27"/>
        <v>16.077758244836826</v>
      </c>
      <c r="AR50" s="356">
        <f>AQ50*'Inflation assumptions'!$R$18</f>
        <v>27.383873902783833</v>
      </c>
      <c r="AS50" s="373">
        <f t="shared" si="30"/>
        <v>26.395382676186294</v>
      </c>
      <c r="AT50" s="128"/>
      <c r="AU50"/>
      <c r="AV50"/>
      <c r="AW50"/>
      <c r="AX50"/>
      <c r="BA50" s="262" t="str">
        <f t="shared" si="7"/>
        <v>PE - High pressure</v>
      </c>
      <c r="BB50" s="344">
        <f t="shared" si="18"/>
        <v>26.395382676186294</v>
      </c>
      <c r="BC50" s="401">
        <f t="shared" si="35"/>
        <v>9.5320485519591228E-2</v>
      </c>
      <c r="BD50" s="359">
        <f t="shared" si="35"/>
        <v>0.26759476149914824</v>
      </c>
      <c r="BE50" s="396">
        <f t="shared" si="35"/>
        <v>0.47788011073253833</v>
      </c>
      <c r="BF50" s="344">
        <f t="shared" si="28"/>
        <v>2.516020692169485</v>
      </c>
      <c r="BG50" s="344">
        <f t="shared" si="28"/>
        <v>7.0632661319128207</v>
      </c>
      <c r="BH50" s="274">
        <f t="shared" si="31"/>
        <v>12.61382839612363</v>
      </c>
    </row>
    <row r="51" spans="21:60">
      <c r="U51" s="142"/>
      <c r="W51"/>
      <c r="X51"/>
      <c r="Y51" s="280"/>
      <c r="Z51" s="280"/>
      <c r="AA51" s="280"/>
      <c r="AB51" s="322" t="s">
        <v>354</v>
      </c>
      <c r="AC51" s="126" t="s">
        <v>126</v>
      </c>
      <c r="AD51" s="142" t="str">
        <f>CONCATENATE('ICB calcs - per asset calc'!C70,"_",'ICB calcs - per asset calc'!E70,"_",'ICB calcs - per asset calc'!A70)</f>
        <v>PE_Transmision_Total PE</v>
      </c>
      <c r="AE51" s="262" t="str">
        <f t="shared" si="23"/>
        <v>PE - Transmission</v>
      </c>
      <c r="AF51" s="344">
        <f>'ICB calcs - per asset calc'!H70/10^3</f>
        <v>0</v>
      </c>
      <c r="AG51" s="356">
        <f>AF51*'ICB calcs - per asset calc'!$F$20*(1-'kms replaced'!$E$57)/'Figures for report 2'!$AF$52</f>
        <v>0</v>
      </c>
      <c r="AH51" s="226">
        <f>'ICB calcs - per asset calc'!F70</f>
        <v>0</v>
      </c>
      <c r="AI51" s="344">
        <f>'ICB calcs - per asset calc'!G70</f>
        <v>0</v>
      </c>
      <c r="AJ51" s="228">
        <f>'ICB calcs - per asset calc'!L70</f>
        <v>60</v>
      </c>
      <c r="AK51" s="344">
        <f t="shared" si="14"/>
        <v>60</v>
      </c>
      <c r="AL51" s="344">
        <f t="shared" si="24"/>
        <v>0</v>
      </c>
      <c r="AM51" s="356">
        <f t="shared" si="25"/>
        <v>0</v>
      </c>
      <c r="AN51" s="344">
        <f t="shared" si="29"/>
        <v>47</v>
      </c>
      <c r="AO51" s="344">
        <f>MAX(AK51*'ICB calcs - per asset calc'!$F$12-AL$18,0)</f>
        <v>45.536585365853654</v>
      </c>
      <c r="AP51" s="344">
        <f t="shared" si="26"/>
        <v>0</v>
      </c>
      <c r="AQ51" s="356">
        <f t="shared" si="27"/>
        <v>0</v>
      </c>
      <c r="AR51" s="356">
        <f>AQ51*'Inflation assumptions'!$R$18</f>
        <v>0</v>
      </c>
      <c r="AS51" s="373">
        <f t="shared" si="30"/>
        <v>0</v>
      </c>
      <c r="AT51"/>
      <c r="AU51"/>
      <c r="AV51"/>
      <c r="AW51"/>
      <c r="AX51"/>
      <c r="BA51" s="262" t="str">
        <f t="shared" si="7"/>
        <v>PE - Transmission</v>
      </c>
      <c r="BB51" s="344">
        <f t="shared" si="18"/>
        <v>0</v>
      </c>
      <c r="BC51" s="401" t="s">
        <v>374</v>
      </c>
      <c r="BD51" s="359" t="s">
        <v>374</v>
      </c>
      <c r="BE51" s="396" t="s">
        <v>374</v>
      </c>
      <c r="BF51" s="344" t="str">
        <f t="shared" si="28"/>
        <v>n/a</v>
      </c>
      <c r="BG51" s="344" t="str">
        <f t="shared" si="28"/>
        <v>n/a</v>
      </c>
      <c r="BH51" s="274" t="str">
        <f t="shared" si="31"/>
        <v>n/a</v>
      </c>
    </row>
    <row r="52" spans="21:60" ht="17.25" thickBot="1">
      <c r="U52" s="142"/>
      <c r="W52" s="280"/>
      <c r="X52" s="280"/>
      <c r="Y52" s="280"/>
      <c r="Z52" s="280"/>
      <c r="AA52" s="280"/>
      <c r="AE52" s="349" t="s">
        <v>376</v>
      </c>
      <c r="AF52" s="350">
        <f>SUM(AF40:AF51)</f>
        <v>266.69730330057632</v>
      </c>
      <c r="AG52" s="357">
        <f>SUM(AG40:AG51)</f>
        <v>207.23493198956106</v>
      </c>
      <c r="AH52" s="351">
        <f>SUM(AH40:AH51)</f>
        <v>325806</v>
      </c>
      <c r="AI52" s="352"/>
      <c r="AJ52" s="352"/>
      <c r="AK52" s="352"/>
      <c r="AL52" s="350">
        <f>SUM(AL40:AL51)</f>
        <v>63.593014792191639</v>
      </c>
      <c r="AM52" s="357">
        <f>SUM(AM40:AM51)</f>
        <v>143.64191719736942</v>
      </c>
      <c r="AN52" s="352"/>
      <c r="AO52" s="352"/>
      <c r="AP52" s="350">
        <f>SUM(AP40:AP51)</f>
        <v>50.525177411861485</v>
      </c>
      <c r="AQ52" s="357">
        <f>SUM(AQ40:AQ51)</f>
        <v>93.116739785507932</v>
      </c>
      <c r="AR52" s="357">
        <f>SUM(AR40:AR51)</f>
        <v>158.59779838047706</v>
      </c>
      <c r="AS52" s="374">
        <f>SUM(AS40:AS51)</f>
        <v>152.87280370611694</v>
      </c>
      <c r="AT52"/>
      <c r="AU52"/>
      <c r="AV52"/>
      <c r="AW52"/>
      <c r="AX52"/>
      <c r="BA52" s="244" t="str">
        <f t="shared" si="7"/>
        <v>Total inlets</v>
      </c>
      <c r="BB52" s="354">
        <f t="shared" si="18"/>
        <v>152.87280370611694</v>
      </c>
      <c r="BC52" s="404"/>
      <c r="BD52" s="354"/>
      <c r="BE52" s="399"/>
      <c r="BF52" s="354">
        <f t="shared" ref="BF52:BG52" si="36">SUM(BF40:BF51)</f>
        <v>64.966542493753906</v>
      </c>
      <c r="BG52" s="354">
        <f t="shared" si="36"/>
        <v>76.304864234799652</v>
      </c>
      <c r="BH52" s="360">
        <f>SUM(BH40:BH51)</f>
        <v>96.566907147522898</v>
      </c>
    </row>
    <row r="53" spans="21:60" ht="17.25" thickBot="1">
      <c r="U53" s="142"/>
      <c r="W53" s="280"/>
      <c r="X53" s="280"/>
      <c r="Y53" s="280"/>
      <c r="Z53" s="280"/>
      <c r="AA53" s="280"/>
      <c r="AE53" s="244" t="s">
        <v>377</v>
      </c>
      <c r="AF53" s="354">
        <f>AF38+AF52</f>
        <v>770.05478163225598</v>
      </c>
      <c r="AG53" s="358">
        <f t="shared" ref="AG53:AS53" si="37">AG38+AG52</f>
        <v>580.83493198956103</v>
      </c>
      <c r="AH53" s="246"/>
      <c r="AI53" s="355"/>
      <c r="AJ53" s="355"/>
      <c r="AK53" s="355"/>
      <c r="AL53" s="354">
        <f t="shared" si="37"/>
        <v>157.59619074671329</v>
      </c>
      <c r="AM53" s="358">
        <f t="shared" si="37"/>
        <v>423.23874124284782</v>
      </c>
      <c r="AN53" s="355"/>
      <c r="AO53" s="355"/>
      <c r="AP53" s="354">
        <f t="shared" si="37"/>
        <v>118.70131529829087</v>
      </c>
      <c r="AQ53" s="358">
        <f t="shared" si="37"/>
        <v>304.53742594455696</v>
      </c>
      <c r="AR53" s="358">
        <f t="shared" si="37"/>
        <v>518.69261521096803</v>
      </c>
      <c r="AS53" s="376">
        <f t="shared" si="37"/>
        <v>567.01933282881078</v>
      </c>
      <c r="AY53" s="126">
        <f>SUM(AY22:AY52)</f>
        <v>0</v>
      </c>
      <c r="BA53" s="244" t="s">
        <v>377</v>
      </c>
      <c r="BB53" s="354">
        <f t="shared" si="18"/>
        <v>567.01933282881078</v>
      </c>
      <c r="BC53" s="404"/>
      <c r="BD53" s="354"/>
      <c r="BE53" s="399"/>
      <c r="BF53" s="354">
        <f t="shared" ref="BF53:BH53" si="38">BF38+BF52</f>
        <v>168.44353639512883</v>
      </c>
      <c r="BG53" s="354">
        <f t="shared" si="38"/>
        <v>198.07997968043244</v>
      </c>
      <c r="BH53" s="360">
        <f t="shared" si="38"/>
        <v>251.52424821999307</v>
      </c>
    </row>
    <row r="54" spans="21:60">
      <c r="U54" s="142"/>
      <c r="W54" s="280"/>
      <c r="X54" s="280"/>
      <c r="Y54" s="280"/>
      <c r="Z54" s="280"/>
      <c r="AA54" s="280"/>
    </row>
    <row r="55" spans="21:60">
      <c r="U55" s="142"/>
      <c r="W55" s="280"/>
      <c r="X55" s="280"/>
      <c r="Y55" s="280"/>
      <c r="Z55" s="280"/>
      <c r="AA55" s="280"/>
      <c r="AQ55" s="405" t="s">
        <v>280</v>
      </c>
      <c r="AR55" s="405" t="b">
        <f>AR53*10^3='ICB calcs - per asset calc'!AP54+'ICB calcs - per asset calc'!AP71</f>
        <v>1</v>
      </c>
      <c r="AS55" s="405" t="b">
        <f>AS53*10^3='ICB calcs - per asset calc'!AR54+'ICB calcs - per asset calc'!AR71</f>
        <v>1</v>
      </c>
      <c r="BE55" s="405" t="s">
        <v>280</v>
      </c>
      <c r="BF55" s="406" t="b">
        <f>BF53=Results!J40/10^3</f>
        <v>1</v>
      </c>
      <c r="BG55" s="406" t="b">
        <f>BG53=Results!K40/10^3</f>
        <v>1</v>
      </c>
      <c r="BH55" s="406" t="b">
        <f>BH53=Results!L40/10^3</f>
        <v>1</v>
      </c>
    </row>
    <row r="56" spans="21:60">
      <c r="U56" s="142"/>
    </row>
  </sheetData>
  <mergeCells count="24">
    <mergeCell ref="BF19:BH19"/>
    <mergeCell ref="AG19:AG20"/>
    <mergeCell ref="AH19:AH20"/>
    <mergeCell ref="AI19:AI20"/>
    <mergeCell ref="AJ19:AJ20"/>
    <mergeCell ref="AK19:AK20"/>
    <mergeCell ref="AL19:AL20"/>
    <mergeCell ref="AM19:AM20"/>
    <mergeCell ref="AN19:AN20"/>
    <mergeCell ref="AO19:AO20"/>
    <mergeCell ref="AP19:AP20"/>
    <mergeCell ref="AQ19:AQ20"/>
    <mergeCell ref="AR19:AR20"/>
    <mergeCell ref="AS19:AS20"/>
    <mergeCell ref="F10:F14"/>
    <mergeCell ref="W2:Y2"/>
    <mergeCell ref="V2:V3"/>
    <mergeCell ref="BB19:BB20"/>
    <mergeCell ref="BC19:BE19"/>
    <mergeCell ref="AF19:AF20"/>
    <mergeCell ref="Q5:S5"/>
    <mergeCell ref="H5:J5"/>
    <mergeCell ref="K5:M5"/>
    <mergeCell ref="N5:P5"/>
  </mergeCells>
  <phoneticPr fontId="28" type="noConversion"/>
  <conditionalFormatting sqref="BC22:BH37">
    <cfRule type="containsText" dxfId="4" priority="2" operator="containsText" text="n/a">
      <formula>NOT(ISERROR(SEARCH("n/a",BC22)))</formula>
    </cfRule>
    <cfRule type="containsText" dxfId="3" priority="5" operator="containsText" text=" ">
      <formula>NOT(ISERROR(SEARCH(" ",BC22)))</formula>
    </cfRule>
  </conditionalFormatting>
  <conditionalFormatting sqref="BC22:BH37 BE22:BH51 BC40:BE51">
    <cfRule type="containsText" dxfId="2" priority="4" operator="containsText" text="&quot;&quot;">
      <formula>NOT(ISERROR(SEARCH("""""",BC22)))</formula>
    </cfRule>
  </conditionalFormatting>
  <conditionalFormatting sqref="BF40:BH51">
    <cfRule type="containsText" dxfId="1" priority="3" operator="containsText" text=" ">
      <formula>NOT(ISERROR(SEARCH(" ",BF40)))</formula>
    </cfRule>
  </conditionalFormatting>
  <conditionalFormatting sqref="BC40:BH51">
    <cfRule type="containsText" dxfId="0" priority="1" operator="containsText" text="n/a">
      <formula>NOT(ISERROR(SEARCH("n/a",BC40)))</formula>
    </cfRule>
  </conditionalFormatting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5A071BD574CB44E99C1733F9DDF43CC" ma:contentTypeVersion="10" ma:contentTypeDescription="Create a new document." ma:contentTypeScope="" ma:versionID="bde71e3abcfa7a02e91ffddff6478902">
  <xsd:schema xmlns:xsd="http://www.w3.org/2001/XMLSchema" xmlns:xs="http://www.w3.org/2001/XMLSchema" xmlns:p="http://schemas.microsoft.com/office/2006/metadata/properties" xmlns:ns2="e1ebc792-a1a4-45d1-8472-a75c008b7da7" xmlns:ns3="652b740c-21f8-4aa7-b35a-a197aacd8479" targetNamespace="http://schemas.microsoft.com/office/2006/metadata/properties" ma:root="true" ma:fieldsID="794ee6e9390dd04203afe92d59bf00fb" ns2:_="" ns3:_="">
    <xsd:import namespace="e1ebc792-a1a4-45d1-8472-a75c008b7da7"/>
    <xsd:import namespace="652b740c-21f8-4aa7-b35a-a197aacd847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ebc792-a1a4-45d1-8472-a75c008b7da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2b740c-21f8-4aa7-b35a-a197aacd847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0A05027-A0A2-409B-98CB-513CE0DED7BC}"/>
</file>

<file path=customXml/itemProps2.xml><?xml version="1.0" encoding="utf-8"?>
<ds:datastoreItem xmlns:ds="http://schemas.openxmlformats.org/officeDocument/2006/customXml" ds:itemID="{493B3D08-27E9-4895-8E5C-34816587CB8A}"/>
</file>

<file path=customXml/itemProps3.xml><?xml version="1.0" encoding="utf-8"?>
<ds:datastoreItem xmlns:ds="http://schemas.openxmlformats.org/officeDocument/2006/customXml" ds:itemID="{217E7A8F-A56A-43EF-9A6C-28F7D8A0A56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BORAL LTD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Roberts</dc:creator>
  <cp:keywords/>
  <dc:description/>
  <cp:lastModifiedBy>Drew Pearman</cp:lastModifiedBy>
  <cp:revision/>
  <dcterms:created xsi:type="dcterms:W3CDTF">1999-05-25T11:52:11Z</dcterms:created>
  <dcterms:modified xsi:type="dcterms:W3CDTF">2020-07-01T03:57:42Z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0x010100D5A071BD574CB44E99C1733F9DDF43CC</vt:lpwstr>
  </property>
</Properties>
</file>