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0" windowWidth="28800" windowHeight="12450" tabRatio="890"/>
  </bookViews>
  <sheets>
    <sheet name="Cover" sheetId="61" r:id="rId1"/>
    <sheet name="AGN Changes" sheetId="60" r:id="rId2"/>
    <sheet name="Index" sheetId="1" r:id="rId3"/>
    <sheet name="Input|General" sheetId="54" r:id="rId4"/>
    <sheet name="Input|Inflation" sheetId="55" r:id="rId5"/>
    <sheet name="Input|Reported opex" sheetId="56" r:id="rId6"/>
    <sheet name="Input|Rate of change" sheetId="2" r:id="rId7"/>
    <sheet name="Input|Step changes" sheetId="53" r:id="rId8"/>
    <sheet name="Calc|Opex forecast" sheetId="42" r:id="rId9"/>
    <sheet name="PTRM Input" sheetId="57" r:id="rId10"/>
    <sheet name="Output|Models" sheetId="44" r:id="rId11"/>
    <sheet name="Lookup|Tables" sheetId="4" r:id="rId12"/>
    <sheet name="Check|List" sheetId="16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</externalReferences>
  <definedNames>
    <definedName name="a">'[1]Lookup|Tables'!$G$12</definedName>
    <definedName name="abc">#REF!</definedName>
    <definedName name="Actuals">'[2]Lookup|Tables'!$G$26</definedName>
    <definedName name="anscount" hidden="1">1</definedName>
    <definedName name="Asset_class">'[3]Capex input'!$W$109:$W$115</definedName>
    <definedName name="Asset1">'[4]4. RAB'!#REF!</definedName>
    <definedName name="Asset10">'[4]4. RAB'!#REF!</definedName>
    <definedName name="Asset11">'[4]4. RAB'!#REF!</definedName>
    <definedName name="asset11a">#REF!</definedName>
    <definedName name="Asset12">'[4]4. RAB'!#REF!</definedName>
    <definedName name="Asset13">'[4]4. RAB'!#REF!</definedName>
    <definedName name="Asset14">'[4]4. RAB'!#REF!</definedName>
    <definedName name="Asset15">'[4]4. RAB'!#REF!</definedName>
    <definedName name="Asset16">'[4]4. RAB'!#REF!</definedName>
    <definedName name="Asset17">'[4]4. RAB'!#REF!</definedName>
    <definedName name="Asset18">'[4]4. RAB'!#REF!</definedName>
    <definedName name="Asset19">'[4]4. RAB'!#REF!</definedName>
    <definedName name="Asset2">'[4]4. RAB'!#REF!</definedName>
    <definedName name="Asset20">'[4]4. RAB'!#REF!</definedName>
    <definedName name="Asset3">'[4]4. RAB'!#REF!</definedName>
    <definedName name="Asset4">'[4]4. RAB'!#REF!</definedName>
    <definedName name="Asset5">'[4]4. RAB'!#REF!</definedName>
    <definedName name="Asset6">'[4]4. RAB'!#REF!</definedName>
    <definedName name="Asset7">'[4]4. RAB'!#REF!</definedName>
    <definedName name="Asset8">'[4]4. RAB'!#REF!</definedName>
    <definedName name="Asset9">'[4]4. RAB'!#REF!</definedName>
    <definedName name="assset1">#REF!</definedName>
    <definedName name="assset10">#REF!</definedName>
    <definedName name="by">#REF!</definedName>
    <definedName name="CRCP_span">CONCATENATE([0]!CRCP_y1, " to ",[0]!CRCP_y5)</definedName>
    <definedName name="CRCP_y1">'[5]AGN business details'!$C$38</definedName>
    <definedName name="CRCP_y2">'[5]AGN business details'!$D$38</definedName>
    <definedName name="CRCP_y3">'[5]AGN business details'!$E$38</definedName>
    <definedName name="CRCP_y4">'[5]AGN business details'!$F$38</definedName>
    <definedName name="CRCP_y5">'[5]AGN business details'!$G$38</definedName>
    <definedName name="CRCP_y6">'[5]AGN business details'!$H$38</definedName>
    <definedName name="dms_ABN_List">'[5]AGN business details'!$K$27:$K$48</definedName>
    <definedName name="dms_AGN_Assets">'[5]18 - Tax depreciation'!$B$19:$B$25</definedName>
    <definedName name="dms_DollarReal">'[5]AGN business details'!$C$55</definedName>
    <definedName name="dms_DollarRealPrev_y5">'[5]AGN business details'!$C$56</definedName>
    <definedName name="dms_ESCALATOR_rows">#REF!</definedName>
    <definedName name="dms_Model">'[5]AGN business details'!$C$49</definedName>
    <definedName name="dms_RPT">'[5]AGN business details'!$C$48</definedName>
    <definedName name="dms_TradingName">'[5]AGN business details'!$C$14</definedName>
    <definedName name="dms_TradingName_List">'[5]AGN business details'!$J$27:$J$48</definedName>
    <definedName name="dms_UnitofMeasure">#REF!</definedName>
    <definedName name="DNSP">[6]Outcomes!$B$2</definedName>
    <definedName name="dollars">'Lookup|Tables'!$G$10</definedName>
    <definedName name="factor">'Lookup|Tables'!$G$17</definedName>
    <definedName name="FRCP">'[5]AGN business details'!$C$35:$G$35</definedName>
    <definedName name="FRCP_span">CONCATENATE(FRCP_y1, " to ", FRCP_y5)</definedName>
    <definedName name="FRCP_y1">'[5]AGN business details'!$C$35</definedName>
    <definedName name="FRCP_y2">'[5]AGN business details'!$D$35</definedName>
    <definedName name="FRCP_y3">'[5]AGN business details'!$E$35</definedName>
    <definedName name="FRCP_y4">'[5]AGN business details'!$F$35</definedName>
    <definedName name="FRCP_y5">'[5]AGN business details'!$G$35</definedName>
    <definedName name="InputRange">'[7]Scale escalation (2.8)'!$AA$26:$AA$32</definedName>
    <definedName name="kms">'[2]Lookup|Tables'!$G$23</definedName>
    <definedName name="millions">'Lookup|Tables'!$G$12</definedName>
    <definedName name="Nominal">'[2]Input|Escalators'!$C$25</definedName>
    <definedName name="Nominal_to_Real">'Input|Rate of change'!$C$25:$C$30</definedName>
    <definedName name="number">'Lookup|Tables'!$G$16</definedName>
    <definedName name="OHFY15">'[8]4.Connections market expansn'!$K$16</definedName>
    <definedName name="OHFY16">'[8]4.Connections market expansn'!$L$16</definedName>
    <definedName name="percent">'Lookup|Tables'!$G$14</definedName>
    <definedName name="PRCP">'[5]AGN business details'!$C$41:$G$41</definedName>
    <definedName name="PRCP_y1">'[5]AGN business details'!$C$41</definedName>
    <definedName name="PRCP_y2">'[5]AGN business details'!$D$41</definedName>
    <definedName name="PRCP_y3">'[5]AGN business details'!$E$41</definedName>
    <definedName name="PRCP_y4">'[5]AGN business details'!$F$41</definedName>
    <definedName name="PRCP_y5">'[5]AGN business details'!$G$41</definedName>
    <definedName name="RCP_1to5">"2015-16 to 2019-20"</definedName>
    <definedName name="Real_to_Nominal">'Input|Rate of change'!$C$16:$C$21</definedName>
    <definedName name="Select">#REF!</definedName>
    <definedName name="SheetHeader">'[5]AGN business details'!$B$1</definedName>
    <definedName name="thousands">'Lookup|Tables'!$G$11</definedName>
    <definedName name="TJ">'[2]Lookup|Tables'!$G$20</definedName>
    <definedName name="unit">'Lookup|Tables'!$G$15</definedName>
  </definedNames>
  <calcPr calcId="152511"/>
</workbook>
</file>

<file path=xl/calcChain.xml><?xml version="1.0" encoding="utf-8"?>
<calcChain xmlns="http://schemas.openxmlformats.org/spreadsheetml/2006/main">
  <c r="M12" i="42" l="1"/>
  <c r="F33" i="42" l="1"/>
  <c r="E33" i="42"/>
  <c r="C33" i="42"/>
  <c r="F30" i="42"/>
  <c r="C30" i="42"/>
  <c r="F27" i="42"/>
  <c r="E27" i="42"/>
  <c r="C27" i="42"/>
  <c r="F24" i="42"/>
  <c r="E24" i="42"/>
  <c r="C24" i="42"/>
  <c r="F21" i="42"/>
  <c r="E21" i="42"/>
  <c r="C21" i="42"/>
  <c r="F16" i="42"/>
  <c r="E16" i="42"/>
  <c r="F14" i="42"/>
  <c r="E14" i="42"/>
  <c r="F12" i="42"/>
  <c r="E12" i="42"/>
  <c r="U69" i="2"/>
  <c r="E55" i="56"/>
  <c r="E54" i="56"/>
  <c r="E30" i="42" s="1"/>
  <c r="E53" i="56"/>
  <c r="E52" i="56"/>
  <c r="E51" i="56"/>
  <c r="S46" i="56"/>
  <c r="R46" i="56"/>
  <c r="Q46" i="56"/>
  <c r="P46" i="56"/>
  <c r="O46" i="56"/>
  <c r="N46" i="56"/>
  <c r="M46" i="56"/>
  <c r="L46" i="56"/>
  <c r="K46" i="56"/>
  <c r="J46" i="56"/>
  <c r="F44" i="56"/>
  <c r="E44" i="56"/>
  <c r="F43" i="56"/>
  <c r="E43" i="56"/>
  <c r="F42" i="56"/>
  <c r="E42" i="56"/>
  <c r="F41" i="56"/>
  <c r="E41" i="56"/>
  <c r="F37" i="56"/>
  <c r="E37" i="56"/>
  <c r="F36" i="56"/>
  <c r="E36" i="56"/>
  <c r="F35" i="56"/>
  <c r="E35" i="56"/>
  <c r="F34" i="56"/>
  <c r="E34" i="56"/>
  <c r="F33" i="56"/>
  <c r="E33" i="56"/>
  <c r="F32" i="56"/>
  <c r="E32" i="56"/>
  <c r="S24" i="56"/>
  <c r="R24" i="56"/>
  <c r="Q24" i="56"/>
  <c r="P24" i="56"/>
  <c r="O24" i="56"/>
  <c r="N24" i="56"/>
  <c r="M24" i="56"/>
  <c r="L24" i="56"/>
  <c r="K24" i="56"/>
  <c r="J24" i="56"/>
  <c r="E22" i="56"/>
  <c r="E21" i="56"/>
  <c r="E20" i="56"/>
  <c r="E19" i="56"/>
  <c r="E18" i="56"/>
  <c r="E17" i="56"/>
  <c r="E16" i="56"/>
  <c r="E15" i="56"/>
  <c r="E14" i="56"/>
  <c r="E13" i="56"/>
  <c r="S4" i="56"/>
  <c r="S29" i="56" s="1"/>
  <c r="R4" i="56"/>
  <c r="R29" i="56" s="1"/>
  <c r="Q4" i="56"/>
  <c r="Q29" i="56" s="1"/>
  <c r="P4" i="56"/>
  <c r="P29" i="56" s="1"/>
  <c r="O4" i="56"/>
  <c r="O29" i="56" s="1"/>
  <c r="N4" i="56"/>
  <c r="N50" i="56" s="1"/>
  <c r="M4" i="56"/>
  <c r="M50" i="56" s="1"/>
  <c r="L4" i="56"/>
  <c r="L50" i="56" s="1"/>
  <c r="K4" i="56"/>
  <c r="K50" i="56" s="1"/>
  <c r="J4" i="56"/>
  <c r="J29" i="56" s="1"/>
  <c r="C2" i="56"/>
  <c r="S1" i="56"/>
  <c r="G11" i="16" s="1"/>
  <c r="C1" i="56"/>
  <c r="J50" i="56" l="1"/>
  <c r="J10" i="56"/>
  <c r="L10" i="56"/>
  <c r="P10" i="56"/>
  <c r="N10" i="56"/>
  <c r="R10" i="56"/>
  <c r="N29" i="56"/>
  <c r="K10" i="56"/>
  <c r="M10" i="56"/>
  <c r="O10" i="56"/>
  <c r="Q10" i="56"/>
  <c r="S10" i="56"/>
  <c r="K29" i="56"/>
  <c r="M29" i="56"/>
  <c r="L29" i="56"/>
  <c r="S52" i="55" l="1"/>
  <c r="S54" i="55" l="1"/>
  <c r="O12" i="2"/>
  <c r="S50" i="55"/>
  <c r="S51" i="55"/>
  <c r="S53" i="55" l="1"/>
  <c r="P38" i="2"/>
  <c r="S38" i="2"/>
  <c r="Q38" i="2"/>
  <c r="R38" i="2"/>
  <c r="T38" i="2"/>
  <c r="C34" i="42" l="1"/>
  <c r="E34" i="42"/>
  <c r="C31" i="42"/>
  <c r="C28" i="42"/>
  <c r="C25" i="42"/>
  <c r="E31" i="42"/>
  <c r="E28" i="42"/>
  <c r="E25" i="42"/>
  <c r="E22" i="42"/>
  <c r="C22" i="42"/>
  <c r="E67" i="42" l="1"/>
  <c r="J12" i="2" l="1"/>
  <c r="N12" i="2"/>
  <c r="M12" i="2"/>
  <c r="L12" i="2"/>
  <c r="K12" i="2"/>
  <c r="S47" i="55" l="1"/>
  <c r="S43" i="55"/>
  <c r="S44" i="55"/>
  <c r="S45" i="55"/>
  <c r="S46" i="55"/>
  <c r="S48" i="55"/>
  <c r="S49" i="55"/>
  <c r="K4" i="44" l="1"/>
  <c r="K4" i="42" l="1"/>
  <c r="K71" i="42" s="1"/>
  <c r="K42" i="42" l="1"/>
  <c r="K55" i="42"/>
  <c r="K4" i="53"/>
  <c r="K24" i="53" s="1"/>
  <c r="L4" i="2"/>
  <c r="L91" i="2" s="1"/>
  <c r="K10" i="53" l="1"/>
  <c r="K32" i="53"/>
  <c r="L60" i="2"/>
  <c r="L69" i="2"/>
  <c r="L45" i="2"/>
  <c r="L34" i="2"/>
  <c r="S41" i="55" l="1"/>
  <c r="S39" i="55"/>
  <c r="S40" i="55"/>
  <c r="S42" i="55"/>
  <c r="E84" i="42" l="1"/>
  <c r="T56" i="2" l="1"/>
  <c r="J4" i="2" l="1"/>
  <c r="J14" i="2" s="1"/>
  <c r="L14" i="2"/>
  <c r="M4" i="2"/>
  <c r="M91" i="2" s="1"/>
  <c r="N4" i="2"/>
  <c r="N91" i="2" s="1"/>
  <c r="O4" i="2"/>
  <c r="O91" i="2" s="1"/>
  <c r="C58" i="42"/>
  <c r="C59" i="42"/>
  <c r="C60" i="42"/>
  <c r="C61" i="42"/>
  <c r="C62" i="42"/>
  <c r="C63" i="42"/>
  <c r="C64" i="42"/>
  <c r="C65" i="42"/>
  <c r="C73" i="42"/>
  <c r="C74" i="42"/>
  <c r="C75" i="42"/>
  <c r="K11" i="44"/>
  <c r="L4" i="44"/>
  <c r="L11" i="44" s="1"/>
  <c r="M4" i="44"/>
  <c r="M11" i="44" s="1"/>
  <c r="N4" i="44"/>
  <c r="N11" i="44" s="1"/>
  <c r="O4" i="44"/>
  <c r="O11" i="44" s="1"/>
  <c r="P4" i="44"/>
  <c r="P11" i="44" s="1"/>
  <c r="Q4" i="44"/>
  <c r="Q11" i="44" s="1"/>
  <c r="R4" i="44"/>
  <c r="R11" i="44" s="1"/>
  <c r="S4" i="44"/>
  <c r="S11" i="44" s="1"/>
  <c r="O4" i="42"/>
  <c r="O71" i="42" s="1"/>
  <c r="K10" i="42"/>
  <c r="L4" i="42"/>
  <c r="L71" i="42" s="1"/>
  <c r="M4" i="42"/>
  <c r="M71" i="42" s="1"/>
  <c r="N4" i="42"/>
  <c r="N71" i="42" s="1"/>
  <c r="P4" i="42"/>
  <c r="P71" i="42" s="1"/>
  <c r="Q4" i="42"/>
  <c r="Q71" i="42" s="1"/>
  <c r="R4" i="42"/>
  <c r="R71" i="42" s="1"/>
  <c r="S4" i="42"/>
  <c r="S71" i="42" s="1"/>
  <c r="F12" i="44"/>
  <c r="K16" i="2"/>
  <c r="L16" i="2" s="1"/>
  <c r="L17" i="2"/>
  <c r="M18" i="2"/>
  <c r="O30" i="2"/>
  <c r="S4" i="2"/>
  <c r="S91" i="2" s="1"/>
  <c r="R4" i="2"/>
  <c r="R91" i="2" s="1"/>
  <c r="Q4" i="2"/>
  <c r="Q91" i="2" s="1"/>
  <c r="P4" i="2"/>
  <c r="P91" i="2" s="1"/>
  <c r="K18" i="2"/>
  <c r="M20" i="2"/>
  <c r="S33" i="55"/>
  <c r="S34" i="55"/>
  <c r="S35" i="55"/>
  <c r="S36" i="55"/>
  <c r="S37" i="55"/>
  <c r="S38" i="55"/>
  <c r="K4" i="2"/>
  <c r="E38" i="42"/>
  <c r="E36" i="42"/>
  <c r="E13" i="42"/>
  <c r="J4" i="42"/>
  <c r="J71" i="42" s="1"/>
  <c r="E15" i="42"/>
  <c r="E12" i="44"/>
  <c r="E83" i="42"/>
  <c r="J81" i="42"/>
  <c r="J4" i="44"/>
  <c r="J11" i="44" s="1"/>
  <c r="J12" i="44" s="1"/>
  <c r="E17" i="42"/>
  <c r="E57" i="42"/>
  <c r="E58" i="42"/>
  <c r="E59" i="42"/>
  <c r="E60" i="42"/>
  <c r="E61" i="42"/>
  <c r="E62" i="42"/>
  <c r="E63" i="42"/>
  <c r="E64" i="42"/>
  <c r="E65" i="42"/>
  <c r="E73" i="42"/>
  <c r="E74" i="42"/>
  <c r="E75" i="42"/>
  <c r="E77" i="42"/>
  <c r="E19" i="42"/>
  <c r="L27" i="2"/>
  <c r="N19" i="2"/>
  <c r="N28" i="2" s="1"/>
  <c r="N29" i="2"/>
  <c r="K10" i="2"/>
  <c r="K23" i="2" s="1"/>
  <c r="T4" i="2"/>
  <c r="T91" i="2" s="1"/>
  <c r="S29" i="55"/>
  <c r="S30" i="55"/>
  <c r="S19" i="55"/>
  <c r="S20" i="55"/>
  <c r="S22" i="55"/>
  <c r="S23" i="55"/>
  <c r="S24" i="55"/>
  <c r="S25" i="55"/>
  <c r="S26" i="55"/>
  <c r="S27" i="55"/>
  <c r="S28" i="55"/>
  <c r="S21" i="55"/>
  <c r="S31" i="55"/>
  <c r="S32" i="55"/>
  <c r="S10" i="55"/>
  <c r="S11" i="55"/>
  <c r="S12" i="55"/>
  <c r="S13" i="55"/>
  <c r="S14" i="55"/>
  <c r="S15" i="55"/>
  <c r="S16" i="55"/>
  <c r="S17" i="55"/>
  <c r="S18" i="55"/>
  <c r="S9" i="55"/>
  <c r="B2" i="55"/>
  <c r="P56" i="2"/>
  <c r="Q56" i="2"/>
  <c r="R56" i="2"/>
  <c r="S56" i="2"/>
  <c r="P87" i="2"/>
  <c r="W87" i="2" s="1"/>
  <c r="S9" i="54"/>
  <c r="S12" i="54"/>
  <c r="G14" i="16"/>
  <c r="S1" i="44"/>
  <c r="G15" i="16" s="1"/>
  <c r="S1" i="55"/>
  <c r="B1" i="55"/>
  <c r="E12" i="2"/>
  <c r="O47" i="42"/>
  <c r="P73" i="2"/>
  <c r="P74" i="2"/>
  <c r="P75" i="2"/>
  <c r="P76" i="2"/>
  <c r="O49" i="42"/>
  <c r="J45" i="42"/>
  <c r="J47" i="42"/>
  <c r="J49" i="42"/>
  <c r="K45" i="42"/>
  <c r="K47" i="42"/>
  <c r="K49" i="42"/>
  <c r="L45" i="42"/>
  <c r="L47" i="42"/>
  <c r="L49" i="42"/>
  <c r="M45" i="42"/>
  <c r="M47" i="42"/>
  <c r="M49" i="42"/>
  <c r="N45" i="42"/>
  <c r="N47" i="42"/>
  <c r="N49" i="42"/>
  <c r="P47" i="42"/>
  <c r="Q47" i="42"/>
  <c r="R47" i="42"/>
  <c r="S47" i="42"/>
  <c r="C57" i="42"/>
  <c r="P49" i="42"/>
  <c r="Q49" i="42"/>
  <c r="R49" i="42"/>
  <c r="S49" i="42"/>
  <c r="Q73" i="2"/>
  <c r="R73" i="2"/>
  <c r="S73" i="2"/>
  <c r="T73" i="2"/>
  <c r="Q74" i="2"/>
  <c r="R74" i="2"/>
  <c r="S74" i="2"/>
  <c r="T74" i="2"/>
  <c r="Q75" i="2"/>
  <c r="R75" i="2"/>
  <c r="S75" i="2"/>
  <c r="T75" i="2"/>
  <c r="Q76" i="2"/>
  <c r="R76" i="2"/>
  <c r="S76" i="2"/>
  <c r="T76" i="2"/>
  <c r="C72" i="2"/>
  <c r="C73" i="2"/>
  <c r="C74" i="2"/>
  <c r="C75" i="2"/>
  <c r="C76" i="2"/>
  <c r="C81" i="2"/>
  <c r="C82" i="2"/>
  <c r="C83" i="2"/>
  <c r="C84" i="2"/>
  <c r="C85" i="2"/>
  <c r="C80" i="2"/>
  <c r="S7" i="54"/>
  <c r="S8" i="54"/>
  <c r="S10" i="54"/>
  <c r="S11" i="54"/>
  <c r="S1" i="53"/>
  <c r="G13" i="16" s="1"/>
  <c r="C11" i="16"/>
  <c r="D11" i="16" s="1"/>
  <c r="C12" i="16"/>
  <c r="D12" i="16" s="1"/>
  <c r="C13" i="16"/>
  <c r="D13" i="16" s="1"/>
  <c r="C14" i="16"/>
  <c r="D14" i="16" s="1"/>
  <c r="C15" i="16"/>
  <c r="D15" i="16" s="1"/>
  <c r="C10" i="16"/>
  <c r="D10" i="16" s="1"/>
  <c r="C48" i="2"/>
  <c r="C49" i="2"/>
  <c r="C50" i="2"/>
  <c r="C51" i="2"/>
  <c r="C52" i="2"/>
  <c r="C53" i="2"/>
  <c r="C54" i="2"/>
  <c r="C47" i="2"/>
  <c r="E54" i="2"/>
  <c r="E53" i="2"/>
  <c r="E52" i="2"/>
  <c r="E51" i="2"/>
  <c r="E50" i="2"/>
  <c r="E49" i="2"/>
  <c r="E48" i="2"/>
  <c r="E47" i="2"/>
  <c r="B2" i="53"/>
  <c r="B1" i="53"/>
  <c r="S4" i="53"/>
  <c r="R4" i="53"/>
  <c r="Q4" i="53"/>
  <c r="P4" i="53"/>
  <c r="O4" i="53"/>
  <c r="N4" i="53"/>
  <c r="N24" i="53" s="1"/>
  <c r="M4" i="53"/>
  <c r="M24" i="53" s="1"/>
  <c r="L4" i="53"/>
  <c r="L24" i="53" s="1"/>
  <c r="J4" i="53"/>
  <c r="J24" i="53" s="1"/>
  <c r="E93" i="2"/>
  <c r="B2" i="2"/>
  <c r="B1" i="2"/>
  <c r="C24" i="4"/>
  <c r="B2" i="54"/>
  <c r="B1" i="54"/>
  <c r="E42" i="2"/>
  <c r="E43" i="2"/>
  <c r="B2" i="44"/>
  <c r="B2" i="42"/>
  <c r="B1" i="44"/>
  <c r="B1" i="42"/>
  <c r="E41" i="2"/>
  <c r="E40" i="2"/>
  <c r="E39" i="2"/>
  <c r="E38" i="2"/>
  <c r="E37" i="2"/>
  <c r="E36" i="2"/>
  <c r="B2" i="16"/>
  <c r="B1" i="16"/>
  <c r="C9" i="4"/>
  <c r="B2" i="4"/>
  <c r="B1" i="4"/>
  <c r="K30" i="42" l="1"/>
  <c r="K24" i="42"/>
  <c r="K16" i="42"/>
  <c r="K14" i="42"/>
  <c r="K12" i="42"/>
  <c r="K33" i="42"/>
  <c r="K27" i="42"/>
  <c r="K21" i="42"/>
  <c r="K14" i="2"/>
  <c r="K69" i="2"/>
  <c r="K45" i="2"/>
  <c r="K91" i="2"/>
  <c r="K60" i="2"/>
  <c r="K34" i="2"/>
  <c r="J10" i="42"/>
  <c r="J55" i="42"/>
  <c r="J42" i="42"/>
  <c r="R24" i="53"/>
  <c r="O24" i="53"/>
  <c r="Q24" i="53"/>
  <c r="S24" i="53"/>
  <c r="P24" i="53"/>
  <c r="L32" i="53"/>
  <c r="N32" i="53"/>
  <c r="J10" i="53"/>
  <c r="J32" i="53"/>
  <c r="M32" i="53"/>
  <c r="S42" i="42"/>
  <c r="S55" i="42"/>
  <c r="Q42" i="42"/>
  <c r="Q55" i="42"/>
  <c r="N42" i="42"/>
  <c r="N55" i="42"/>
  <c r="L42" i="42"/>
  <c r="L55" i="42"/>
  <c r="O42" i="42"/>
  <c r="O55" i="42"/>
  <c r="R42" i="42"/>
  <c r="R55" i="42"/>
  <c r="P42" i="42"/>
  <c r="P55" i="42"/>
  <c r="M42" i="42"/>
  <c r="M55" i="42"/>
  <c r="Q10" i="53"/>
  <c r="Q32" i="53"/>
  <c r="P10" i="53"/>
  <c r="P32" i="53"/>
  <c r="R10" i="53"/>
  <c r="R32" i="53"/>
  <c r="O10" i="53"/>
  <c r="O32" i="53"/>
  <c r="S10" i="53"/>
  <c r="S32" i="53"/>
  <c r="M10" i="53"/>
  <c r="L10" i="53"/>
  <c r="N10" i="53"/>
  <c r="T60" i="2"/>
  <c r="T69" i="2"/>
  <c r="P60" i="2"/>
  <c r="P69" i="2"/>
  <c r="Q60" i="2"/>
  <c r="Q69" i="2"/>
  <c r="S60" i="2"/>
  <c r="S69" i="2"/>
  <c r="N60" i="2"/>
  <c r="N69" i="2"/>
  <c r="R60" i="2"/>
  <c r="R69" i="2"/>
  <c r="O60" i="2"/>
  <c r="O69" i="2"/>
  <c r="M60" i="2"/>
  <c r="M69" i="2"/>
  <c r="Q45" i="2"/>
  <c r="S45" i="2"/>
  <c r="N45" i="2"/>
  <c r="T45" i="2"/>
  <c r="P45" i="2"/>
  <c r="R45" i="2"/>
  <c r="O45" i="2"/>
  <c r="M45" i="2"/>
  <c r="Q34" i="2"/>
  <c r="S34" i="2"/>
  <c r="N34" i="2"/>
  <c r="T34" i="2"/>
  <c r="P34" i="2"/>
  <c r="R34" i="2"/>
  <c r="O34" i="2"/>
  <c r="M34" i="2"/>
  <c r="Q10" i="2"/>
  <c r="N14" i="2"/>
  <c r="R10" i="2"/>
  <c r="O14" i="2"/>
  <c r="M14" i="2"/>
  <c r="W56" i="2"/>
  <c r="T1" i="2" s="1"/>
  <c r="G12" i="16" s="1"/>
  <c r="M51" i="42"/>
  <c r="K51" i="42"/>
  <c r="L51" i="42"/>
  <c r="L10" i="42"/>
  <c r="M10" i="42"/>
  <c r="R81" i="42"/>
  <c r="P81" i="42"/>
  <c r="O81" i="42"/>
  <c r="R45" i="42"/>
  <c r="R51" i="42" s="1"/>
  <c r="M28" i="2"/>
  <c r="L19" i="2"/>
  <c r="L28" i="2" s="1"/>
  <c r="J17" i="2"/>
  <c r="J26" i="2" s="1"/>
  <c r="M27" i="2"/>
  <c r="N18" i="2"/>
  <c r="N27" i="2" s="1"/>
  <c r="O20" i="2"/>
  <c r="O29" i="2" s="1"/>
  <c r="K26" i="2"/>
  <c r="L20" i="2"/>
  <c r="L29" i="2" s="1"/>
  <c r="J18" i="2"/>
  <c r="J27" i="2" s="1"/>
  <c r="S1" i="54"/>
  <c r="G10" i="16" s="1"/>
  <c r="N51" i="42"/>
  <c r="J51" i="42"/>
  <c r="P45" i="42"/>
  <c r="N21" i="2"/>
  <c r="M21" i="2" s="1"/>
  <c r="L26" i="2"/>
  <c r="M17" i="2"/>
  <c r="M29" i="2"/>
  <c r="K27" i="2"/>
  <c r="K25" i="2"/>
  <c r="J25" i="2"/>
  <c r="M16" i="2"/>
  <c r="M25" i="2" s="1"/>
  <c r="L25" i="2"/>
  <c r="O19" i="2"/>
  <c r="O28" i="2" s="1"/>
  <c r="Q45" i="42"/>
  <c r="S45" i="42"/>
  <c r="L10" i="2"/>
  <c r="L23" i="2" s="1"/>
  <c r="M10" i="2"/>
  <c r="M23" i="2" s="1"/>
  <c r="J10" i="2"/>
  <c r="O10" i="2"/>
  <c r="O23" i="2" s="1"/>
  <c r="N10" i="2"/>
  <c r="N23" i="2" s="1"/>
  <c r="M81" i="42"/>
  <c r="K81" i="42"/>
  <c r="O45" i="42"/>
  <c r="L81" i="42"/>
  <c r="O10" i="42"/>
  <c r="S10" i="42"/>
  <c r="S81" i="42"/>
  <c r="Q10" i="42"/>
  <c r="Q81" i="42"/>
  <c r="T10" i="2"/>
  <c r="P10" i="2"/>
  <c r="S10" i="2"/>
  <c r="R10" i="42"/>
  <c r="P10" i="42"/>
  <c r="N10" i="42"/>
  <c r="N81" i="42"/>
  <c r="K12" i="44"/>
  <c r="N30" i="2" l="1"/>
  <c r="J14" i="42"/>
  <c r="J33" i="42"/>
  <c r="J30" i="42"/>
  <c r="J27" i="42"/>
  <c r="J24" i="42"/>
  <c r="J21" i="42"/>
  <c r="J16" i="42"/>
  <c r="J12" i="42"/>
  <c r="J19" i="42"/>
  <c r="R33" i="42"/>
  <c r="R16" i="42"/>
  <c r="R14" i="42"/>
  <c r="R12" i="42"/>
  <c r="P33" i="42"/>
  <c r="P27" i="42"/>
  <c r="P21" i="42"/>
  <c r="P30" i="42"/>
  <c r="P24" i="42"/>
  <c r="P16" i="42"/>
  <c r="P14" i="42"/>
  <c r="P12" i="42"/>
  <c r="Q30" i="42"/>
  <c r="Q24" i="42"/>
  <c r="Q16" i="42"/>
  <c r="Q14" i="42"/>
  <c r="Q12" i="42"/>
  <c r="Q33" i="42"/>
  <c r="Q27" i="42"/>
  <c r="Q21" i="42"/>
  <c r="S16" i="42"/>
  <c r="S14" i="42"/>
  <c r="S12" i="42"/>
  <c r="S33" i="42"/>
  <c r="L33" i="42"/>
  <c r="L27" i="42"/>
  <c r="L21" i="42"/>
  <c r="L30" i="42"/>
  <c r="L24" i="42"/>
  <c r="L16" i="42"/>
  <c r="L14" i="42"/>
  <c r="L12" i="42"/>
  <c r="N33" i="42"/>
  <c r="N27" i="42"/>
  <c r="N21" i="42"/>
  <c r="N30" i="42"/>
  <c r="N24" i="42"/>
  <c r="N16" i="42"/>
  <c r="N14" i="42"/>
  <c r="N12" i="42"/>
  <c r="O30" i="42"/>
  <c r="O24" i="42"/>
  <c r="O16" i="42"/>
  <c r="O14" i="42"/>
  <c r="O12" i="42"/>
  <c r="O33" i="42"/>
  <c r="O27" i="42"/>
  <c r="O21" i="42"/>
  <c r="M30" i="42"/>
  <c r="M24" i="42"/>
  <c r="M16" i="42"/>
  <c r="M14" i="42"/>
  <c r="M33" i="42"/>
  <c r="M27" i="42"/>
  <c r="M21" i="42"/>
  <c r="N16" i="2"/>
  <c r="N25" i="2" s="1"/>
  <c r="O18" i="2"/>
  <c r="O27" i="2" s="1"/>
  <c r="S1" i="16"/>
  <c r="K20" i="2"/>
  <c r="J20" i="2" s="1"/>
  <c r="J29" i="2" s="1"/>
  <c r="C25" i="2" a="1"/>
  <c r="J23" i="2"/>
  <c r="C16" i="2" a="1"/>
  <c r="L19" i="42"/>
  <c r="K19" i="2"/>
  <c r="P51" i="42"/>
  <c r="O51" i="42"/>
  <c r="S51" i="42"/>
  <c r="Q51" i="42"/>
  <c r="L21" i="2"/>
  <c r="M30" i="2"/>
  <c r="M26" i="2"/>
  <c r="N17" i="2"/>
  <c r="K29" i="2"/>
  <c r="R19" i="42"/>
  <c r="Q19" i="42"/>
  <c r="O16" i="2" l="1"/>
  <c r="V1" i="55"/>
  <c r="V1" i="56"/>
  <c r="V1" i="44"/>
  <c r="V1" i="42"/>
  <c r="V1" i="4"/>
  <c r="V1" i="54"/>
  <c r="W1" i="2"/>
  <c r="V1" i="53"/>
  <c r="C25" i="2"/>
  <c r="C27" i="2"/>
  <c r="C29" i="2"/>
  <c r="C26" i="2"/>
  <c r="C28" i="2"/>
  <c r="C30" i="2"/>
  <c r="C16" i="2"/>
  <c r="C18" i="2"/>
  <c r="C20" i="2"/>
  <c r="C17" i="2"/>
  <c r="C19" i="2"/>
  <c r="C21" i="2"/>
  <c r="J19" i="2"/>
  <c r="J28" i="2" s="1"/>
  <c r="K28" i="2"/>
  <c r="K21" i="2"/>
  <c r="L30" i="2"/>
  <c r="N26" i="2"/>
  <c r="O17" i="2"/>
  <c r="O26" i="2" s="1"/>
  <c r="O25" i="2"/>
  <c r="P25" i="42" l="1"/>
  <c r="J34" i="42"/>
  <c r="K34" i="42"/>
  <c r="Q34" i="42"/>
  <c r="N34" i="42"/>
  <c r="P34" i="42"/>
  <c r="M34" i="42"/>
  <c r="O34" i="42"/>
  <c r="R34" i="42"/>
  <c r="S34" i="42"/>
  <c r="L34" i="42"/>
  <c r="P31" i="42"/>
  <c r="S31" i="42"/>
  <c r="R31" i="42"/>
  <c r="J31" i="42"/>
  <c r="K31" i="42"/>
  <c r="N31" i="42"/>
  <c r="Q31" i="42"/>
  <c r="M31" i="42"/>
  <c r="O31" i="42"/>
  <c r="L31" i="42"/>
  <c r="S28" i="42"/>
  <c r="R28" i="42"/>
  <c r="J28" i="42"/>
  <c r="K28" i="42"/>
  <c r="P28" i="42"/>
  <c r="O28" i="42"/>
  <c r="L28" i="42"/>
  <c r="Q28" i="42"/>
  <c r="M28" i="42"/>
  <c r="N28" i="42"/>
  <c r="S25" i="42"/>
  <c r="R25" i="42"/>
  <c r="J25" i="42"/>
  <c r="K25" i="42"/>
  <c r="Q25" i="42"/>
  <c r="O25" i="42"/>
  <c r="L25" i="42"/>
  <c r="M25" i="42"/>
  <c r="N25" i="42"/>
  <c r="S22" i="42"/>
  <c r="R22" i="42"/>
  <c r="P22" i="42"/>
  <c r="Q22" i="42"/>
  <c r="M22" i="42"/>
  <c r="O22" i="42"/>
  <c r="N22" i="42"/>
  <c r="M15" i="42"/>
  <c r="J22" i="42"/>
  <c r="K22" i="42"/>
  <c r="L22" i="42"/>
  <c r="N13" i="42"/>
  <c r="P13" i="42"/>
  <c r="L17" i="42"/>
  <c r="S13" i="42"/>
  <c r="M17" i="42"/>
  <c r="O17" i="42"/>
  <c r="M13" i="42"/>
  <c r="Q13" i="42"/>
  <c r="J57" i="42"/>
  <c r="O57" i="42"/>
  <c r="N57" i="42"/>
  <c r="R57" i="42"/>
  <c r="P57" i="42"/>
  <c r="L57" i="42"/>
  <c r="K57" i="42"/>
  <c r="L58" i="42"/>
  <c r="P58" i="42"/>
  <c r="J59" i="42"/>
  <c r="N59" i="42"/>
  <c r="R59" i="42"/>
  <c r="L60" i="42"/>
  <c r="P60" i="42"/>
  <c r="J61" i="42"/>
  <c r="N61" i="42"/>
  <c r="R61" i="42"/>
  <c r="L62" i="42"/>
  <c r="P62" i="42"/>
  <c r="J63" i="42"/>
  <c r="N63" i="42"/>
  <c r="R63" i="42"/>
  <c r="L64" i="42"/>
  <c r="P64" i="42"/>
  <c r="J65" i="42"/>
  <c r="N65" i="42"/>
  <c r="R65" i="42"/>
  <c r="L73" i="42"/>
  <c r="P73" i="42"/>
  <c r="J74" i="42"/>
  <c r="N74" i="42"/>
  <c r="R74" i="42"/>
  <c r="L75" i="42"/>
  <c r="P75" i="42"/>
  <c r="K58" i="42"/>
  <c r="O58" i="42"/>
  <c r="S58" i="42"/>
  <c r="M59" i="42"/>
  <c r="Q59" i="42"/>
  <c r="K60" i="42"/>
  <c r="O60" i="42"/>
  <c r="S60" i="42"/>
  <c r="M61" i="42"/>
  <c r="Q61" i="42"/>
  <c r="K62" i="42"/>
  <c r="O62" i="42"/>
  <c r="S62" i="42"/>
  <c r="M63" i="42"/>
  <c r="Q63" i="42"/>
  <c r="K64" i="42"/>
  <c r="O64" i="42"/>
  <c r="S64" i="42"/>
  <c r="M65" i="42"/>
  <c r="Q65" i="42"/>
  <c r="K73" i="42"/>
  <c r="O73" i="42"/>
  <c r="S73" i="42"/>
  <c r="M74" i="42"/>
  <c r="Q74" i="42"/>
  <c r="K75" i="42"/>
  <c r="O75" i="42"/>
  <c r="S75" i="42"/>
  <c r="M57" i="42"/>
  <c r="Q57" i="42"/>
  <c r="S57" i="42"/>
  <c r="J58" i="42"/>
  <c r="N58" i="42"/>
  <c r="R58" i="42"/>
  <c r="L59" i="42"/>
  <c r="P59" i="42"/>
  <c r="J60" i="42"/>
  <c r="N60" i="42"/>
  <c r="R60" i="42"/>
  <c r="L61" i="42"/>
  <c r="P61" i="42"/>
  <c r="J62" i="42"/>
  <c r="R62" i="42"/>
  <c r="P63" i="42"/>
  <c r="N64" i="42"/>
  <c r="L65" i="42"/>
  <c r="J73" i="42"/>
  <c r="R73" i="42"/>
  <c r="P74" i="42"/>
  <c r="N75" i="42"/>
  <c r="M58" i="42"/>
  <c r="K59" i="42"/>
  <c r="S59" i="42"/>
  <c r="Q60" i="42"/>
  <c r="O61" i="42"/>
  <c r="M62" i="42"/>
  <c r="K63" i="42"/>
  <c r="S63" i="42"/>
  <c r="Q64" i="42"/>
  <c r="O65" i="42"/>
  <c r="M73" i="42"/>
  <c r="K74" i="42"/>
  <c r="S74" i="42"/>
  <c r="Q75" i="42"/>
  <c r="N62" i="42"/>
  <c r="L63" i="42"/>
  <c r="J64" i="42"/>
  <c r="R64" i="42"/>
  <c r="P65" i="42"/>
  <c r="N73" i="42"/>
  <c r="L74" i="42"/>
  <c r="J75" i="42"/>
  <c r="R75" i="42"/>
  <c r="Q58" i="42"/>
  <c r="O59" i="42"/>
  <c r="M60" i="42"/>
  <c r="K61" i="42"/>
  <c r="S61" i="42"/>
  <c r="Q62" i="42"/>
  <c r="O63" i="42"/>
  <c r="M64" i="42"/>
  <c r="K65" i="42"/>
  <c r="S65" i="42"/>
  <c r="Q73" i="42"/>
  <c r="O74" i="42"/>
  <c r="M75" i="42"/>
  <c r="R13" i="42"/>
  <c r="K15" i="42"/>
  <c r="J15" i="42"/>
  <c r="J17" i="42"/>
  <c r="K17" i="42"/>
  <c r="R15" i="42"/>
  <c r="O13" i="42"/>
  <c r="R17" i="42"/>
  <c r="Q15" i="42"/>
  <c r="L15" i="42"/>
  <c r="S15" i="42"/>
  <c r="Q17" i="42"/>
  <c r="P17" i="42"/>
  <c r="N17" i="42"/>
  <c r="N15" i="42"/>
  <c r="O15" i="42"/>
  <c r="S17" i="42"/>
  <c r="P15" i="42"/>
  <c r="K13" i="42"/>
  <c r="K83" i="42" s="1"/>
  <c r="J21" i="2"/>
  <c r="J30" i="2" s="1"/>
  <c r="K30" i="2"/>
  <c r="S8" i="57" l="1"/>
  <c r="Q36" i="42"/>
  <c r="Q38" i="42" s="1"/>
  <c r="R36" i="42"/>
  <c r="R38" i="42" s="1"/>
  <c r="L36" i="42"/>
  <c r="L38" i="42" s="1"/>
  <c r="J36" i="42"/>
  <c r="J38" i="42" s="1"/>
  <c r="N77" i="42"/>
  <c r="Q77" i="42"/>
  <c r="M77" i="42"/>
  <c r="J77" i="42"/>
  <c r="O77" i="42"/>
  <c r="L77" i="42"/>
  <c r="R77" i="42"/>
  <c r="S77" i="42"/>
  <c r="K77" i="42"/>
  <c r="P77" i="42"/>
  <c r="S67" i="42"/>
  <c r="M67" i="42"/>
  <c r="L67" i="42"/>
  <c r="R67" i="42"/>
  <c r="O67" i="42"/>
  <c r="Q67" i="42"/>
  <c r="K67" i="42"/>
  <c r="P67" i="42"/>
  <c r="N67" i="42"/>
  <c r="J67" i="42"/>
  <c r="M12" i="44"/>
  <c r="M83" i="42"/>
  <c r="L6" i="57" s="1"/>
  <c r="L10" i="57" s="1"/>
  <c r="L12" i="44"/>
  <c r="J13" i="42"/>
  <c r="M19" i="42"/>
  <c r="M36" i="42" s="1"/>
  <c r="M38" i="42" l="1"/>
  <c r="L13" i="42"/>
  <c r="L83" i="42" s="1"/>
  <c r="K19" i="42"/>
  <c r="K36" i="42" s="1"/>
  <c r="J83" i="42"/>
  <c r="O19" i="42"/>
  <c r="O36" i="42" s="1"/>
  <c r="P19" i="42"/>
  <c r="P36" i="42" s="1"/>
  <c r="S19" i="42"/>
  <c r="S36" i="42" s="1"/>
  <c r="S38" i="42" l="1"/>
  <c r="O38" i="42"/>
  <c r="K38" i="42"/>
  <c r="P38" i="42"/>
  <c r="N19" i="42"/>
  <c r="N12" i="44"/>
  <c r="N36" i="42" l="1"/>
  <c r="N83" i="42"/>
  <c r="M6" i="57" s="1"/>
  <c r="M10" i="57" s="1"/>
  <c r="N38" i="42" l="1"/>
  <c r="S83" i="42" l="1" a="1"/>
  <c r="S83" i="42" s="1"/>
  <c r="P83" i="42" a="1"/>
  <c r="P83" i="42" s="1"/>
  <c r="R83" i="42" a="1"/>
  <c r="R83" i="42" s="1"/>
  <c r="O83" i="42" a="1"/>
  <c r="O83" i="42" s="1"/>
  <c r="Q83" i="42" a="1"/>
  <c r="Q83" i="42" s="1"/>
  <c r="P6" i="57" l="1"/>
  <c r="P10" i="57" s="1"/>
  <c r="Q6" i="57"/>
  <c r="Q10" i="57" s="1"/>
  <c r="O6" i="57"/>
  <c r="O10" i="57" s="1"/>
  <c r="R6" i="57"/>
  <c r="R10" i="57" s="1"/>
  <c r="N6" i="57"/>
  <c r="T83" i="42"/>
  <c r="S12" i="44"/>
  <c r="S84" i="42"/>
  <c r="Q12" i="44"/>
  <c r="Q84" i="42"/>
  <c r="O12" i="44"/>
  <c r="O84" i="42"/>
  <c r="R12" i="44"/>
  <c r="R84" i="42"/>
  <c r="P12" i="44"/>
  <c r="P84" i="42"/>
  <c r="S6" i="57" l="1"/>
  <c r="N10" i="57"/>
  <c r="T84" i="42"/>
  <c r="S13" i="44"/>
  <c r="S10" i="57" l="1"/>
</calcChain>
</file>

<file path=xl/sharedStrings.xml><?xml version="1.0" encoding="utf-8"?>
<sst xmlns="http://schemas.openxmlformats.org/spreadsheetml/2006/main" count="583" uniqueCount="168">
  <si>
    <t>Sheet Name</t>
  </si>
  <si>
    <t>Sheet Description</t>
  </si>
  <si>
    <t>Back to Index</t>
  </si>
  <si>
    <t>Key:</t>
  </si>
  <si>
    <t>Input</t>
  </si>
  <si>
    <t>External Link</t>
  </si>
  <si>
    <t>Internal Link</t>
  </si>
  <si>
    <t>Source</t>
  </si>
  <si>
    <t>Unit</t>
  </si>
  <si>
    <t>Ref</t>
  </si>
  <si>
    <t>Dollars</t>
  </si>
  <si>
    <t>unit</t>
  </si>
  <si>
    <t>$dollars</t>
  </si>
  <si>
    <t>Thousands</t>
  </si>
  <si>
    <t>Millions</t>
  </si>
  <si>
    <t>$millions</t>
  </si>
  <si>
    <t>Percent</t>
  </si>
  <si>
    <t>Number</t>
  </si>
  <si>
    <t>number</t>
  </si>
  <si>
    <t>Unit Denominations</t>
  </si>
  <si>
    <t>$000</t>
  </si>
  <si>
    <t>End</t>
  </si>
  <si>
    <t>Basis</t>
  </si>
  <si>
    <t>Actual</t>
  </si>
  <si>
    <t>Overall Check:</t>
  </si>
  <si>
    <t>Check | List</t>
  </si>
  <si>
    <t>Check List</t>
  </si>
  <si>
    <t>Sheet</t>
  </si>
  <si>
    <t>Ok/Check</t>
  </si>
  <si>
    <t>Status</t>
  </si>
  <si>
    <t>Calculated</t>
  </si>
  <si>
    <t>Per cent</t>
  </si>
  <si>
    <t>Debt Raising Costs</t>
  </si>
  <si>
    <t>Inflation</t>
  </si>
  <si>
    <t>External</t>
  </si>
  <si>
    <t>Input | Inflation</t>
  </si>
  <si>
    <t>n/a</t>
  </si>
  <si>
    <t>Factor</t>
  </si>
  <si>
    <t>factor</t>
  </si>
  <si>
    <t>Debt raising costs</t>
  </si>
  <si>
    <t>Check</t>
  </si>
  <si>
    <t>2016-17</t>
  </si>
  <si>
    <t>Index</t>
  </si>
  <si>
    <t>Rate of change</t>
  </si>
  <si>
    <t>Weights</t>
  </si>
  <si>
    <t>Input | Debt raising costs</t>
  </si>
  <si>
    <t>Input | Opex allowances</t>
  </si>
  <si>
    <t>Operating expenditure</t>
  </si>
  <si>
    <t>CPI indexes (nominal to real)</t>
  </si>
  <si>
    <t>Partial factor productivity</t>
  </si>
  <si>
    <t>Total step changes</t>
  </si>
  <si>
    <t>Input |Step changes</t>
  </si>
  <si>
    <t>Inputs the cost escalation weights, cost escalation forecast, and inflation actuals and forecast</t>
  </si>
  <si>
    <r>
      <t>Inputs the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data, including historical opex by category, one-off costs, step changes, demand forecasts, carbon costs, self insurance, network growth, and partial factor productivity</t>
    </r>
  </si>
  <si>
    <t>Calculates the opex forecast from RY2014 to RY2020</t>
  </si>
  <si>
    <t>Shows checks on the calculations within the model</t>
  </si>
  <si>
    <t>Lookup | Tables</t>
  </si>
  <si>
    <t>Output | Models</t>
  </si>
  <si>
    <t>Calc | Opex Forecast</t>
  </si>
  <si>
    <t>Notes</t>
  </si>
  <si>
    <t>Forecast operating expenditure (excl. DRC)</t>
  </si>
  <si>
    <t>Inputs for Post Tax Revenue Model</t>
  </si>
  <si>
    <t>Note. The dollar base should be consistent with the post tax revenue model</t>
  </si>
  <si>
    <t>Input | Rate of change</t>
  </si>
  <si>
    <t>Input | Reported opex</t>
  </si>
  <si>
    <r>
      <t>Inputs the reported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from the prior regulatory control period.</t>
    </r>
  </si>
  <si>
    <t>Outputs the opex forecast needed as a post tax revenue model input (which excludes debt raising costs).</t>
  </si>
  <si>
    <t>Includes the lookup tables used within this opex model.</t>
  </si>
  <si>
    <t>Input | Step changes</t>
  </si>
  <si>
    <t>Input | General</t>
  </si>
  <si>
    <t>Inputs NSP name, regulatory years for the prior and forecast regulatory control period etc.</t>
  </si>
  <si>
    <t>Model index</t>
  </si>
  <si>
    <t>NSP name</t>
  </si>
  <si>
    <t>Prior regulatory control period, first year</t>
  </si>
  <si>
    <t>Prior regulatory control period, last year</t>
  </si>
  <si>
    <t>Forecast regulatory control period, first year</t>
  </si>
  <si>
    <t>Forecast regulatory control period, last year</t>
  </si>
  <si>
    <t>Value</t>
  </si>
  <si>
    <t>NSP</t>
  </si>
  <si>
    <t>AER</t>
  </si>
  <si>
    <t>Years</t>
  </si>
  <si>
    <t>Forecast base year</t>
  </si>
  <si>
    <t>PTRM</t>
  </si>
  <si>
    <t>Total opex</t>
  </si>
  <si>
    <t>Estimate</t>
  </si>
  <si>
    <t>RIN</t>
  </si>
  <si>
    <t>Cost category</t>
  </si>
  <si>
    <t>Input | Forecast price change</t>
  </si>
  <si>
    <t>Input | Forecast productivity</t>
  </si>
  <si>
    <t>Step change</t>
  </si>
  <si>
    <t>Forecast price change</t>
  </si>
  <si>
    <t>CPI</t>
  </si>
  <si>
    <t>Worksheet check:</t>
  </si>
  <si>
    <t>index</t>
  </si>
  <si>
    <t>Input | Forecast output growth</t>
  </si>
  <si>
    <t>Output measure</t>
  </si>
  <si>
    <t>Calc | Estimated final year expenditure</t>
  </si>
  <si>
    <t>Calc | Rate of change</t>
  </si>
  <si>
    <t>Growth rate</t>
  </si>
  <si>
    <t>Efficiency adjustment</t>
  </si>
  <si>
    <t>Calc | Step changes</t>
  </si>
  <si>
    <t>Calc | Total forecast operating expenditure</t>
  </si>
  <si>
    <t>Total reported opex</t>
  </si>
  <si>
    <t>Total base year opex allowance</t>
  </si>
  <si>
    <t>Total final year opex allowance</t>
  </si>
  <si>
    <t>Inputs|Reported opex</t>
  </si>
  <si>
    <t>Input | General inputs</t>
  </si>
  <si>
    <t>Inputs</t>
  </si>
  <si>
    <t>AER opex model</t>
  </si>
  <si>
    <t>ABS</t>
  </si>
  <si>
    <t>Inputs inflation data.</t>
  </si>
  <si>
    <t>Index value, old base</t>
  </si>
  <si>
    <t>Index value, new base</t>
  </si>
  <si>
    <t>calculated</t>
  </si>
  <si>
    <t>CPI indexes (real to real)</t>
  </si>
  <si>
    <t>nominal</t>
  </si>
  <si>
    <t>external</t>
  </si>
  <si>
    <t>Forecast productivity change</t>
  </si>
  <si>
    <t>Forecast rate of change</t>
  </si>
  <si>
    <t>Step changes</t>
  </si>
  <si>
    <t>Calc | Opex forecast</t>
  </si>
  <si>
    <t>Estimated final year opex</t>
  </si>
  <si>
    <t>Efficiency adjustment final year opex</t>
  </si>
  <si>
    <t>Remove debt raising costs</t>
  </si>
  <si>
    <t>Forecast output change</t>
  </si>
  <si>
    <t>Total forecast opex, excluding debt raising costs</t>
  </si>
  <si>
    <t>Total forecast opex, including debt raising costs</t>
  </si>
  <si>
    <t>Output growth</t>
  </si>
  <si>
    <t>Category specific forecasts</t>
  </si>
  <si>
    <t>Remove movement in provisions</t>
  </si>
  <si>
    <t>Expenditure related to category specific forecasts</t>
  </si>
  <si>
    <t>Input | Adjustments</t>
  </si>
  <si>
    <t>Adjustment</t>
  </si>
  <si>
    <t>Adjustment 1</t>
  </si>
  <si>
    <t>Adjustment 2</t>
  </si>
  <si>
    <t>Adjustment 3</t>
  </si>
  <si>
    <t>Adjustment 4</t>
  </si>
  <si>
    <t>Adjustment 5</t>
  </si>
  <si>
    <t>Input | Category specifc forecasts</t>
  </si>
  <si>
    <t>Calc | Category specific forecasts</t>
  </si>
  <si>
    <t>Total category specific forecasts</t>
  </si>
  <si>
    <t>WPI - DAE</t>
  </si>
  <si>
    <t>AGN Vic Albury</t>
  </si>
  <si>
    <t>Interpolated</t>
  </si>
  <si>
    <t>RBA statement of monetary policy November 2016</t>
  </si>
  <si>
    <t>Total opex (incl. ancillary reference services)</t>
  </si>
  <si>
    <t>Customer numbers</t>
  </si>
  <si>
    <t>Included as a category specific forecast</t>
  </si>
  <si>
    <t>Marketing</t>
  </si>
  <si>
    <t>WPI - BIS Schrapnel (october 2016)</t>
  </si>
  <si>
    <t>WPI - average of DAE and BIS Schrapnel</t>
  </si>
  <si>
    <t/>
  </si>
  <si>
    <t>Ancillary Reference Services</t>
  </si>
  <si>
    <t>Total forecast opex, excluding debt raising costs, excluding ARS</t>
  </si>
  <si>
    <t>Total</t>
  </si>
  <si>
    <t>Tab</t>
  </si>
  <si>
    <t>Cells</t>
  </si>
  <si>
    <t>Comments</t>
  </si>
  <si>
    <t>Changed by</t>
  </si>
  <si>
    <t>AGN</t>
  </si>
  <si>
    <t>Legend</t>
  </si>
  <si>
    <t>M12</t>
  </si>
  <si>
    <t>Calc|Opex forecast</t>
  </si>
  <si>
    <t>Updated 2016 base year to reflect 12 months of actual costs</t>
  </si>
  <si>
    <t>AGN changes are highlighted in green</t>
  </si>
  <si>
    <t>Updated debt raising costs to reflect Revised Final Plan PTRM</t>
  </si>
  <si>
    <t>Row 34</t>
  </si>
  <si>
    <t>Calc|Step changes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</si>
</sst>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4">
    <numFmt numFmtId="6" formatCode="&quot;$&quot;#,##0;[Red]\-&quot;$&quot;#,##0"/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  <numFmt numFmtId="165" formatCode="dd\-mmm"/>
    <numFmt numFmtId="166" formatCode="dd/mmm"/>
    <numFmt numFmtId="167" formatCode="_(#,##0_);\(#,##0\);_(&quot;-&quot;_)"/>
    <numFmt numFmtId="168" formatCode="_(#,##0.00%_);\(#,##0.00%\);_(&quot;-&quot;_)"/>
    <numFmt numFmtId="169" formatCode="_(#,##0.000_);\(#,##0.000\);_(&quot;-&quot;_)"/>
    <numFmt numFmtId="170" formatCode="_(#,##0.00_);\(#,##0.00\);_(&quot;-&quot;_)"/>
    <numFmt numFmtId="171" formatCode="[$-C09]dd\-mmm\-yy;@"/>
    <numFmt numFmtId="172" formatCode="_-* #,##0.0000_-;\-* #,##0.0000_-;_-* &quot;-&quot;??_-;_-@_-"/>
    <numFmt numFmtId="173" formatCode="_(#,##0.0000_);\(#,##0.0000\);_(&quot;-&quot;_)"/>
    <numFmt numFmtId="174" formatCode="_-* #,##0.00_-;[Red]\(#,##0.00\)_-;_-* &quot;-&quot;??_-;_-@_-"/>
    <numFmt numFmtId="175" formatCode="_(* #,##0_);_(* \(#,##0\);_(* &quot;-&quot;_);_(@_)"/>
    <numFmt numFmtId="176" formatCode="_(* #,##0.00_);_(* \(#,##0.00\);_(* &quot;-&quot;??_);_(@_)"/>
    <numFmt numFmtId="177" formatCode="mm/dd/yy"/>
    <numFmt numFmtId="178" formatCode="_([$€-2]* #,##0.00_);_([$€-2]* \(#,##0.00\);_([$€-2]* &quot;-&quot;??_)"/>
    <numFmt numFmtId="179" formatCode="0_);[Red]\(0\)"/>
    <numFmt numFmtId="180" formatCode="0.0%"/>
    <numFmt numFmtId="181" formatCode="_(* #,##0_);_(* \(#,##0\);_(* &quot;-&quot;?_);_(@_)"/>
    <numFmt numFmtId="182" formatCode="#,##0.0_);\(#,##0.0\)"/>
    <numFmt numFmtId="183" formatCode="#,##0_ ;\-#,##0\ "/>
    <numFmt numFmtId="184" formatCode="#,##0;[Red]\(#,##0.0\)"/>
    <numFmt numFmtId="185" formatCode="#,##0_ ;[Red]\(#,##0\)\ "/>
    <numFmt numFmtId="186" formatCode="#,##0.00;\(#,##0.00\)"/>
    <numFmt numFmtId="187" formatCode="_)d\-mmm\-yy_)"/>
    <numFmt numFmtId="188" formatCode="_(#,##0.0_);\(#,##0.0\);_(&quot;-&quot;_)"/>
    <numFmt numFmtId="189" formatCode="_(###0_);\(###0\);_(###0_)"/>
    <numFmt numFmtId="190" formatCode="#,##0.0000_);[Red]\(#,##0.0000\)"/>
    <numFmt numFmtId="191" formatCode="0.0"/>
    <numFmt numFmtId="192" formatCode=";;_(&quot;-&quot;_)"/>
    <numFmt numFmtId="193" formatCode="_-* #,##0.0_-;\-* #,##0.0_-;_-* &quot;-&quot;??_-;_-@_-"/>
    <numFmt numFmtId="194" formatCode="0.00;\-0.00;_(&quot;-&quot;_)"/>
    <numFmt numFmtId="195" formatCode="[$-C09]mmm\-yyyy;@"/>
    <numFmt numFmtId="196" formatCode="_-* #\ ##0.00_-;\-* #\ ##0.00_-;_-* &quot;-&quot;??_-;_-@_-"/>
    <numFmt numFmtId="197" formatCode="_(#\ ##0.00_);\(#\ ##0.00\);_(&quot;-&quot;_)"/>
    <numFmt numFmtId="198" formatCode="#\ ##0.00_ ;\-#\ ##0.00\ ;&quot;-&quot;"/>
    <numFmt numFmtId="199" formatCode="#\ ##0.00;\-#\ ##0.00;&quot;-&quot;"/>
    <numFmt numFmtId="200" formatCode="&quot;Warning&quot;;&quot;Warning&quot;;&quot;OK&quot;"/>
    <numFmt numFmtId="201" formatCode="_-* ##\ ##0.00_-;\-* ##\ ##0.00_-;_-* &quot;-&quot;??_-;_-@_-"/>
    <numFmt numFmtId="202" formatCode="0_ ;\-0\ "/>
  </numFmts>
  <fonts count="90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8"/>
      <color indexed="9"/>
      <name val="Arial"/>
      <family val="2"/>
    </font>
    <font>
      <sz val="8"/>
      <color indexed="8"/>
      <name val="Arial"/>
      <family val="2"/>
    </font>
    <font>
      <i/>
      <sz val="8"/>
      <color indexed="8"/>
      <name val="Arial"/>
      <family val="2"/>
    </font>
    <font>
      <b/>
      <sz val="8"/>
      <color indexed="8"/>
      <name val="Arial"/>
      <family val="2"/>
    </font>
    <font>
      <i/>
      <u/>
      <sz val="10"/>
      <color indexed="12"/>
      <name val="Calibri"/>
      <family val="2"/>
    </font>
    <font>
      <b/>
      <sz val="8"/>
      <color indexed="9"/>
      <name val="Arial"/>
      <family val="2"/>
    </font>
    <font>
      <b/>
      <i/>
      <sz val="8"/>
      <color indexed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8"/>
      <color theme="10"/>
      <name val="Arial"/>
      <family val="2"/>
    </font>
    <font>
      <sz val="8"/>
      <name val="Arial"/>
      <family val="2"/>
    </font>
    <font>
      <sz val="11"/>
      <color indexed="8"/>
      <name val="Arial"/>
      <family val="2"/>
    </font>
    <font>
      <i/>
      <u/>
      <sz val="8"/>
      <color theme="10"/>
      <name val="Arial"/>
      <family val="2"/>
    </font>
    <font>
      <b/>
      <i/>
      <sz val="8"/>
      <color indexed="8"/>
      <name val="Arial"/>
      <family val="2"/>
    </font>
    <font>
      <b/>
      <i/>
      <sz val="8"/>
      <name val="Arial"/>
      <family val="2"/>
    </font>
    <font>
      <sz val="8"/>
      <color rgb="FFFF000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8"/>
      <color theme="1"/>
      <name val="Arial"/>
      <family val="2"/>
    </font>
    <font>
      <b/>
      <sz val="10"/>
      <name val="Arial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sz val="11"/>
      <color theme="1"/>
      <name val="Calibri"/>
      <family val="2"/>
      <scheme val="minor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b/>
      <sz val="12"/>
      <color theme="1"/>
      <name val="Arial"/>
      <family val="2"/>
    </font>
    <font>
      <u/>
      <sz val="8"/>
      <color theme="1"/>
      <name val="Arial"/>
      <family val="2"/>
    </font>
    <font>
      <i/>
      <sz val="10"/>
      <color theme="1"/>
      <name val="Arial"/>
      <family val="2"/>
    </font>
    <font>
      <b/>
      <i/>
      <sz val="8"/>
      <color theme="1"/>
      <name val="Arial"/>
      <family val="2"/>
    </font>
    <font>
      <i/>
      <sz val="8"/>
      <color theme="1"/>
      <name val="Arial"/>
      <family val="2"/>
    </font>
    <font>
      <b/>
      <sz val="13"/>
      <color indexed="9"/>
      <name val="Arial"/>
      <family val="2"/>
    </font>
    <font>
      <sz val="10"/>
      <color indexed="55"/>
      <name val="Arial"/>
      <family val="2"/>
    </font>
    <font>
      <b/>
      <sz val="10"/>
      <color theme="1"/>
      <name val="Arial"/>
      <family val="2"/>
    </font>
    <font>
      <b/>
      <sz val="13"/>
      <color theme="4" tint="-0.24994659260841701"/>
      <name val="Arial"/>
      <family val="2"/>
    </font>
    <font>
      <b/>
      <sz val="12"/>
      <color indexed="8"/>
      <name val="Arial"/>
      <family val="2"/>
    </font>
    <font>
      <u/>
      <sz val="11"/>
      <name val="Arial"/>
      <family val="2"/>
    </font>
    <font>
      <i/>
      <sz val="11"/>
      <name val="Arial"/>
      <family val="2"/>
    </font>
    <font>
      <i/>
      <sz val="10"/>
      <color theme="1" tint="0.24994659260841701"/>
      <name val="Arial"/>
      <family val="2"/>
    </font>
    <font>
      <sz val="10"/>
      <color indexed="16"/>
      <name val="Arial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1"/>
      <color indexed="9"/>
      <name val="Arial"/>
      <family val="2"/>
    </font>
    <font>
      <b/>
      <sz val="11"/>
      <color indexed="9"/>
      <name val="Arial"/>
      <family val="2"/>
    </font>
    <font>
      <sz val="10"/>
      <color theme="1"/>
      <name val="Arial"/>
      <family val="2"/>
    </font>
    <font>
      <sz val="10"/>
      <color theme="5" tint="-0.499984740745262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2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2"/>
      </patternFill>
    </fill>
    <fill>
      <patternFill patternType="solid">
        <fgColor indexed="27"/>
        <bgColor indexed="64"/>
      </patternFill>
    </fill>
    <fill>
      <patternFill patternType="mediumGray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lightUp">
        <fgColor indexed="23"/>
        <bgColor auto="1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gray0625">
        <fgColor indexed="22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ashed">
        <color rgb="FFFF0000"/>
      </left>
      <right style="dashed">
        <color rgb="FFFF0000"/>
      </right>
      <top style="dashed">
        <color rgb="FFFF0000"/>
      </top>
      <bottom style="dashed">
        <color rgb="FFFF0000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66">
    <xf numFmtId="0" fontId="0" fillId="0" borderId="0"/>
    <xf numFmtId="166" fontId="3" fillId="8" borderId="0" applyProtection="0"/>
    <xf numFmtId="9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9" fontId="13" fillId="0" borderId="0" applyFont="0" applyFill="0" applyBorder="0" applyAlignment="0" applyProtection="0"/>
    <xf numFmtId="167" fontId="12" fillId="0" borderId="5">
      <alignment horizontal="right" vertical="center"/>
      <protection locked="0"/>
    </xf>
    <xf numFmtId="43" fontId="10" fillId="0" borderId="0" applyFont="0" applyFill="0" applyBorder="0" applyAlignment="0" applyProtection="0"/>
    <xf numFmtId="0" fontId="19" fillId="0" borderId="0"/>
    <xf numFmtId="43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74" fontId="12" fillId="0" borderId="0"/>
    <xf numFmtId="174" fontId="12" fillId="0" borderId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22" fillId="23" borderId="0" applyNumberFormat="0" applyBorder="0" applyAlignment="0" applyProtection="0"/>
    <xf numFmtId="0" fontId="22" fillId="24" borderId="0" applyNumberFormat="0" applyBorder="0" applyAlignment="0" applyProtection="0"/>
    <xf numFmtId="0" fontId="18" fillId="21" borderId="0" applyNumberFormat="0" applyBorder="0" applyAlignment="0" applyProtection="0"/>
    <xf numFmtId="0" fontId="18" fillId="25" borderId="0" applyNumberFormat="0" applyBorder="0" applyAlignment="0" applyProtection="0"/>
    <xf numFmtId="0" fontId="22" fillId="22" borderId="0" applyNumberFormat="0" applyBorder="0" applyAlignment="0" applyProtection="0"/>
    <xf numFmtId="0" fontId="22" fillId="26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9" borderId="0" applyNumberFormat="0" applyBorder="0" applyAlignment="0" applyProtection="0"/>
    <xf numFmtId="0" fontId="22" fillId="29" borderId="0" applyNumberFormat="0" applyBorder="0" applyAlignment="0" applyProtection="0"/>
    <xf numFmtId="0" fontId="22" fillId="30" borderId="0" applyNumberFormat="0" applyBorder="0" applyAlignment="0" applyProtection="0"/>
    <xf numFmtId="0" fontId="23" fillId="0" borderId="0"/>
    <xf numFmtId="42" fontId="24" fillId="0" borderId="0" applyFont="0" applyFill="0" applyBorder="0" applyAlignment="0" applyProtection="0"/>
    <xf numFmtId="0" fontId="25" fillId="31" borderId="0" applyNumberFormat="0" applyBorder="0" applyAlignment="0" applyProtection="0"/>
    <xf numFmtId="0" fontId="26" fillId="0" borderId="0" applyNumberFormat="0" applyFill="0" applyBorder="0" applyAlignment="0"/>
    <xf numFmtId="175" fontId="19" fillId="5" borderId="0" applyNumberFormat="0" applyFont="0" applyBorder="0" applyAlignment="0">
      <alignment horizontal="right"/>
    </xf>
    <xf numFmtId="175" fontId="19" fillId="5" borderId="0" applyNumberFormat="0" applyFont="0" applyBorder="0" applyAlignment="0">
      <alignment horizontal="right"/>
    </xf>
    <xf numFmtId="0" fontId="27" fillId="0" borderId="0" applyNumberFormat="0" applyFill="0" applyBorder="0" applyAlignment="0">
      <protection locked="0"/>
    </xf>
    <xf numFmtId="0" fontId="28" fillId="15" borderId="12" applyNumberFormat="0" applyAlignment="0" applyProtection="0"/>
    <xf numFmtId="0" fontId="29" fillId="32" borderId="13" applyNumberFormat="0" applyAlignment="0" applyProtection="0"/>
    <xf numFmtId="41" fontId="19" fillId="0" borderId="0" applyFont="0" applyFill="0" applyBorder="0" applyAlignment="0" applyProtection="0"/>
    <xf numFmtId="0" fontId="30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176" fontId="31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176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3" fontId="32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2" fontId="19" fillId="0" borderId="0" applyFont="0" applyFill="0" applyBorder="0" applyAlignment="0" applyProtection="0"/>
    <xf numFmtId="177" fontId="19" fillId="0" borderId="0" applyFont="0" applyFill="0" applyBorder="0" applyAlignment="0" applyProtection="0"/>
    <xf numFmtId="177" fontId="19" fillId="0" borderId="0" applyFont="0" applyFill="0" applyBorder="0" applyAlignment="0" applyProtection="0"/>
    <xf numFmtId="0" fontId="33" fillId="33" borderId="0" applyNumberFormat="0" applyBorder="0" applyAlignment="0" applyProtection="0"/>
    <xf numFmtId="0" fontId="33" fillId="34" borderId="0" applyNumberFormat="0" applyBorder="0" applyAlignment="0" applyProtection="0"/>
    <xf numFmtId="0" fontId="33" fillId="35" borderId="0" applyNumberFormat="0" applyBorder="0" applyAlignment="0" applyProtection="0"/>
    <xf numFmtId="178" fontId="18" fillId="0" borderId="0" applyFont="0" applyFill="0" applyBorder="0" applyAlignment="0" applyProtection="0"/>
    <xf numFmtId="0" fontId="34" fillId="0" borderId="0" applyNumberFormat="0" applyFill="0" applyBorder="0" applyAlignment="0" applyProtection="0"/>
    <xf numFmtId="179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0" fontId="35" fillId="0" borderId="0"/>
    <xf numFmtId="0" fontId="36" fillId="0" borderId="0"/>
    <xf numFmtId="0" fontId="37" fillId="36" borderId="0" applyNumberFormat="0" applyBorder="0" applyAlignment="0" applyProtection="0"/>
    <xf numFmtId="0" fontId="21" fillId="0" borderId="0" applyFill="0" applyBorder="0">
      <alignment vertical="center"/>
    </xf>
    <xf numFmtId="0" fontId="38" fillId="0" borderId="14" applyNumberFormat="0" applyFill="0" applyAlignment="0" applyProtection="0"/>
    <xf numFmtId="0" fontId="21" fillId="0" borderId="0" applyFill="0" applyBorder="0">
      <alignment vertical="center"/>
    </xf>
    <xf numFmtId="0" fontId="39" fillId="0" borderId="0" applyFill="0" applyBorder="0">
      <alignment vertical="center"/>
    </xf>
    <xf numFmtId="0" fontId="40" fillId="0" borderId="15" applyNumberFormat="0" applyFill="0" applyAlignment="0" applyProtection="0"/>
    <xf numFmtId="0" fontId="39" fillId="0" borderId="0" applyFill="0" applyBorder="0">
      <alignment vertical="center"/>
    </xf>
    <xf numFmtId="0" fontId="9" fillId="0" borderId="0" applyFill="0" applyBorder="0">
      <alignment vertical="center"/>
    </xf>
    <xf numFmtId="0" fontId="41" fillId="0" borderId="16" applyNumberFormat="0" applyFill="0" applyAlignment="0" applyProtection="0"/>
    <xf numFmtId="0" fontId="9" fillId="0" borderId="0" applyFill="0" applyBorder="0">
      <alignment vertical="center"/>
    </xf>
    <xf numFmtId="0" fontId="12" fillId="0" borderId="0" applyFill="0" applyBorder="0">
      <alignment vertical="center"/>
    </xf>
    <xf numFmtId="0" fontId="41" fillId="0" borderId="0" applyNumberFormat="0" applyFill="0" applyBorder="0" applyAlignment="0" applyProtection="0"/>
    <xf numFmtId="0" fontId="12" fillId="0" borderId="0" applyFill="0" applyBorder="0">
      <alignment vertical="center"/>
    </xf>
    <xf numFmtId="180" fontId="42" fillId="0" borderId="0"/>
    <xf numFmtId="0" fontId="43" fillId="0" borderId="0" applyNumberFormat="0" applyFill="0" applyBorder="0" applyAlignment="0" applyProtection="0">
      <alignment vertical="top"/>
      <protection locked="0"/>
    </xf>
    <xf numFmtId="0" fontId="44" fillId="0" borderId="0" applyFill="0" applyBorder="0">
      <alignment horizontal="center" vertical="center"/>
      <protection locked="0"/>
    </xf>
    <xf numFmtId="0" fontId="45" fillId="0" borderId="0" applyFill="0" applyBorder="0">
      <alignment horizontal="left" vertical="center"/>
      <protection locked="0"/>
    </xf>
    <xf numFmtId="0" fontId="46" fillId="13" borderId="12" applyNumberFormat="0" applyAlignment="0" applyProtection="0"/>
    <xf numFmtId="175" fontId="19" fillId="37" borderId="0" applyFont="0" applyBorder="0" applyAlignment="0">
      <alignment horizontal="right"/>
      <protection locked="0"/>
    </xf>
    <xf numFmtId="175" fontId="19" fillId="37" borderId="0" applyFont="0" applyBorder="0" applyAlignment="0">
      <alignment horizontal="right"/>
      <protection locked="0"/>
    </xf>
    <xf numFmtId="181" fontId="19" fillId="7" borderId="0" applyFont="0" applyBorder="0">
      <alignment horizontal="right"/>
      <protection locked="0"/>
    </xf>
    <xf numFmtId="181" fontId="19" fillId="7" borderId="0" applyFont="0" applyBorder="0">
      <alignment horizontal="right"/>
      <protection locked="0"/>
    </xf>
    <xf numFmtId="175" fontId="19" fillId="11" borderId="0" applyFont="0" applyBorder="0">
      <alignment horizontal="right"/>
      <protection locked="0"/>
    </xf>
    <xf numFmtId="175" fontId="19" fillId="11" borderId="0" applyFont="0" applyBorder="0">
      <alignment horizontal="right"/>
      <protection locked="0"/>
    </xf>
    <xf numFmtId="0" fontId="12" fillId="5" borderId="0"/>
    <xf numFmtId="0" fontId="47" fillId="0" borderId="17" applyNumberFormat="0" applyFill="0" applyAlignment="0" applyProtection="0"/>
    <xf numFmtId="182" fontId="48" fillId="0" borderId="0"/>
    <xf numFmtId="0" fontId="49" fillId="0" borderId="0" applyFill="0" applyBorder="0">
      <alignment horizontal="left" vertical="center"/>
    </xf>
    <xf numFmtId="0" fontId="50" fillId="16" borderId="0" applyNumberFormat="0" applyBorder="0" applyAlignment="0" applyProtection="0"/>
    <xf numFmtId="183" fontId="5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3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24" fillId="0" borderId="0"/>
    <xf numFmtId="0" fontId="19" fillId="3" borderId="0"/>
    <xf numFmtId="0" fontId="52" fillId="0" borderId="0"/>
    <xf numFmtId="0" fontId="19" fillId="0" borderId="0"/>
    <xf numFmtId="0" fontId="19" fillId="0" borderId="0"/>
    <xf numFmtId="0" fontId="19" fillId="14" borderId="18" applyNumberFormat="0" applyFont="0" applyAlignment="0" applyProtection="0"/>
    <xf numFmtId="0" fontId="53" fillId="15" borderId="19" applyNumberFormat="0" applyAlignment="0" applyProtection="0"/>
    <xf numFmtId="184" fontId="19" fillId="0" borderId="0" applyFill="0" applyBorder="0"/>
    <xf numFmtId="184" fontId="19" fillId="0" borderId="0" applyFill="0" applyBorder="0"/>
    <xf numFmtId="184" fontId="19" fillId="0" borderId="0" applyFill="0" applyBorder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180" fontId="54" fillId="0" borderId="0"/>
    <xf numFmtId="0" fontId="9" fillId="0" borderId="0" applyFill="0" applyBorder="0">
      <alignment vertical="center"/>
    </xf>
    <xf numFmtId="0" fontId="30" fillId="0" borderId="0" applyNumberFormat="0" applyFont="0" applyFill="0" applyBorder="0" applyAlignment="0" applyProtection="0">
      <alignment horizontal="left"/>
    </xf>
    <xf numFmtId="15" fontId="30" fillId="0" borderId="0" applyFont="0" applyFill="0" applyBorder="0" applyAlignment="0" applyProtection="0"/>
    <xf numFmtId="4" fontId="30" fillId="0" borderId="0" applyFont="0" applyFill="0" applyBorder="0" applyAlignment="0" applyProtection="0"/>
    <xf numFmtId="185" fontId="55" fillId="0" borderId="20"/>
    <xf numFmtId="0" fontId="56" fillId="0" borderId="21">
      <alignment horizontal="center"/>
    </xf>
    <xf numFmtId="3" fontId="30" fillId="0" borderId="0" applyFont="0" applyFill="0" applyBorder="0" applyAlignment="0" applyProtection="0"/>
    <xf numFmtId="0" fontId="30" fillId="38" borderId="0" applyNumberFormat="0" applyFont="0" applyBorder="0" applyAlignment="0" applyProtection="0"/>
    <xf numFmtId="186" fontId="19" fillId="0" borderId="0"/>
    <xf numFmtId="186" fontId="19" fillId="0" borderId="0"/>
    <xf numFmtId="186" fontId="19" fillId="0" borderId="0"/>
    <xf numFmtId="187" fontId="12" fillId="0" borderId="0" applyFill="0" applyBorder="0">
      <alignment horizontal="right" vertical="center"/>
    </xf>
    <xf numFmtId="188" fontId="12" fillId="0" borderId="0" applyFill="0" applyBorder="0">
      <alignment horizontal="right" vertical="center"/>
    </xf>
    <xf numFmtId="189" fontId="12" fillId="0" borderId="0" applyFill="0" applyBorder="0">
      <alignment horizontal="right" vertical="center"/>
    </xf>
    <xf numFmtId="0" fontId="19" fillId="14" borderId="0" applyNumberFormat="0" applyFont="0" applyBorder="0" applyAlignment="0" applyProtection="0"/>
    <xf numFmtId="0" fontId="19" fillId="14" borderId="0" applyNumberFormat="0" applyFont="0" applyBorder="0" applyAlignment="0" applyProtection="0"/>
    <xf numFmtId="0" fontId="19" fillId="15" borderId="0" applyNumberFormat="0" applyFont="0" applyBorder="0" applyAlignment="0" applyProtection="0"/>
    <xf numFmtId="0" fontId="19" fillId="15" borderId="0" applyNumberFormat="0" applyFont="0" applyBorder="0" applyAlignment="0" applyProtection="0"/>
    <xf numFmtId="0" fontId="19" fillId="17" borderId="0" applyNumberFormat="0" applyFont="0" applyBorder="0" applyAlignment="0" applyProtection="0"/>
    <xf numFmtId="0" fontId="19" fillId="17" borderId="0" applyNumberFormat="0" applyFont="0" applyBorder="0" applyAlignment="0" applyProtection="0"/>
    <xf numFmtId="0" fontId="19" fillId="0" borderId="0" applyNumberFormat="0" applyFont="0" applyFill="0" applyBorder="0" applyAlignment="0" applyProtection="0"/>
    <xf numFmtId="0" fontId="19" fillId="0" borderId="0" applyNumberFormat="0" applyFont="0" applyFill="0" applyBorder="0" applyAlignment="0" applyProtection="0"/>
    <xf numFmtId="0" fontId="19" fillId="17" borderId="0" applyNumberFormat="0" applyFont="0" applyBorder="0" applyAlignment="0" applyProtection="0"/>
    <xf numFmtId="0" fontId="19" fillId="17" borderId="0" applyNumberFormat="0" applyFont="0" applyBorder="0" applyAlignment="0" applyProtection="0"/>
    <xf numFmtId="0" fontId="19" fillId="0" borderId="0" applyNumberFormat="0" applyFont="0" applyFill="0" applyBorder="0" applyAlignment="0" applyProtection="0"/>
    <xf numFmtId="0" fontId="19" fillId="0" borderId="0" applyNumberFormat="0" applyFont="0" applyFill="0" applyBorder="0" applyAlignment="0" applyProtection="0"/>
    <xf numFmtId="0" fontId="19" fillId="0" borderId="0" applyNumberFormat="0" applyFont="0" applyBorder="0" applyAlignment="0" applyProtection="0"/>
    <xf numFmtId="0" fontId="19" fillId="0" borderId="0" applyNumberFormat="0" applyFont="0" applyBorder="0" applyAlignment="0" applyProtection="0"/>
    <xf numFmtId="0" fontId="57" fillId="0" borderId="0" applyNumberForma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49" fillId="0" borderId="0"/>
    <xf numFmtId="0" fontId="58" fillId="0" borderId="0"/>
    <xf numFmtId="15" fontId="19" fillId="0" borderId="0"/>
    <xf numFmtId="15" fontId="19" fillId="0" borderId="0"/>
    <xf numFmtId="15" fontId="19" fillId="0" borderId="0"/>
    <xf numFmtId="10" fontId="19" fillId="0" borderId="0"/>
    <xf numFmtId="10" fontId="19" fillId="0" borderId="0"/>
    <xf numFmtId="10" fontId="19" fillId="0" borderId="0"/>
    <xf numFmtId="0" fontId="59" fillId="10" borderId="7" applyBorder="0" applyProtection="0">
      <alignment horizontal="centerContinuous" vertical="center"/>
    </xf>
    <xf numFmtId="0" fontId="60" fillId="0" borderId="0" applyBorder="0" applyProtection="0">
      <alignment vertical="center"/>
    </xf>
    <xf numFmtId="0" fontId="61" fillId="0" borderId="0">
      <alignment horizontal="left"/>
    </xf>
    <xf numFmtId="0" fontId="61" fillId="0" borderId="11" applyFill="0" applyBorder="0" applyProtection="0">
      <alignment horizontal="left" vertical="top"/>
    </xf>
    <xf numFmtId="49" fontId="19" fillId="0" borderId="0" applyFont="0" applyFill="0" applyBorder="0" applyAlignment="0" applyProtection="0"/>
    <xf numFmtId="0" fontId="62" fillId="0" borderId="0"/>
    <xf numFmtId="49" fontId="19" fillId="0" borderId="0" applyFont="0" applyFill="0" applyBorder="0" applyAlignment="0" applyProtection="0"/>
    <xf numFmtId="0" fontId="63" fillId="0" borderId="0"/>
    <xf numFmtId="0" fontId="63" fillId="0" borderId="0"/>
    <xf numFmtId="0" fontId="62" fillId="0" borderId="0"/>
    <xf numFmtId="182" fontId="64" fillId="0" borderId="0"/>
    <xf numFmtId="0" fontId="57" fillId="0" borderId="0" applyNumberFormat="0" applyFill="0" applyBorder="0" applyAlignment="0" applyProtection="0"/>
    <xf numFmtId="0" fontId="65" fillId="0" borderId="0" applyFill="0" applyBorder="0">
      <alignment horizontal="left" vertical="center"/>
      <protection locked="0"/>
    </xf>
    <xf numFmtId="0" fontId="62" fillId="0" borderId="0"/>
    <xf numFmtId="0" fontId="66" fillId="0" borderId="0" applyFill="0" applyBorder="0">
      <alignment horizontal="left" vertical="center"/>
      <protection locked="0"/>
    </xf>
    <xf numFmtId="0" fontId="33" fillId="0" borderId="22" applyNumberFormat="0" applyFill="0" applyAlignment="0" applyProtection="0"/>
    <xf numFmtId="0" fontId="67" fillId="0" borderId="0" applyNumberFormat="0" applyFill="0" applyBorder="0" applyAlignment="0" applyProtection="0"/>
    <xf numFmtId="190" fontId="19" fillId="0" borderId="7" applyBorder="0" applyProtection="0">
      <alignment horizontal="right"/>
    </xf>
    <xf numFmtId="190" fontId="19" fillId="0" borderId="7" applyBorder="0" applyProtection="0">
      <alignment horizontal="right"/>
    </xf>
    <xf numFmtId="190" fontId="19" fillId="0" borderId="7" applyBorder="0" applyProtection="0">
      <alignment horizontal="right"/>
    </xf>
    <xf numFmtId="0" fontId="1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73" fillId="43" borderId="0"/>
    <xf numFmtId="200" fontId="74" fillId="0" borderId="25">
      <alignment horizontal="center"/>
    </xf>
    <xf numFmtId="0" fontId="75" fillId="44" borderId="6">
      <alignment horizontal="center" vertical="center"/>
    </xf>
    <xf numFmtId="0" fontId="19" fillId="45" borderId="12"/>
    <xf numFmtId="0" fontId="76" fillId="0" borderId="0" applyFill="0" applyBorder="0"/>
    <xf numFmtId="0" fontId="77" fillId="0" borderId="0" applyNumberFormat="0" applyFill="0"/>
    <xf numFmtId="0" fontId="78" fillId="0" borderId="0" applyFill="0"/>
    <xf numFmtId="0" fontId="79" fillId="0" borderId="0" applyFill="0"/>
    <xf numFmtId="0" fontId="80" fillId="0" borderId="0" applyFill="0"/>
    <xf numFmtId="0" fontId="73" fillId="46" borderId="0"/>
    <xf numFmtId="0" fontId="19" fillId="39" borderId="26" applyNumberFormat="0" applyFont="0" applyAlignment="0"/>
    <xf numFmtId="0" fontId="81" fillId="8" borderId="27" applyNumberFormat="0"/>
    <xf numFmtId="0" fontId="82" fillId="47" borderId="0"/>
    <xf numFmtId="0" fontId="83" fillId="47" borderId="0" applyNumberFormat="0"/>
    <xf numFmtId="0" fontId="84" fillId="47" borderId="0"/>
    <xf numFmtId="0" fontId="85" fillId="48" borderId="6" applyNumberFormat="0">
      <alignment horizontal="center" vertical="center"/>
    </xf>
    <xf numFmtId="0" fontId="86" fillId="49" borderId="12" applyNumberFormat="0" applyAlignment="0">
      <alignment horizontal="right"/>
    </xf>
    <xf numFmtId="0" fontId="21" fillId="39" borderId="26" applyNumberFormat="0" applyAlignment="0"/>
    <xf numFmtId="0" fontId="74" fillId="0" borderId="0" applyNumberFormat="0" applyFill="0" applyBorder="0"/>
    <xf numFmtId="0" fontId="87" fillId="50" borderId="26" applyNumberFormat="0">
      <protection locked="0"/>
    </xf>
    <xf numFmtId="0" fontId="88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214">
    <xf numFmtId="0" fontId="0" fillId="0" borderId="0" xfId="0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/>
    <xf numFmtId="0" fontId="2" fillId="2" borderId="1" xfId="0" applyFont="1" applyFill="1" applyBorder="1"/>
    <xf numFmtId="164" fontId="3" fillId="3" borderId="0" xfId="0" applyNumberFormat="1" applyFont="1" applyFill="1"/>
    <xf numFmtId="164" fontId="4" fillId="0" borderId="0" xfId="0" applyNumberFormat="1" applyFont="1"/>
    <xf numFmtId="164" fontId="3" fillId="0" borderId="0" xfId="0" applyNumberFormat="1" applyFont="1"/>
    <xf numFmtId="164" fontId="5" fillId="0" borderId="0" xfId="0" applyNumberFormat="1" applyFont="1"/>
    <xf numFmtId="164" fontId="6" fillId="0" borderId="0" xfId="0" applyNumberFormat="1" applyFont="1" applyAlignment="1" applyProtection="1"/>
    <xf numFmtId="0" fontId="3" fillId="6" borderId="0" xfId="0" applyFont="1" applyFill="1" applyBorder="1"/>
    <xf numFmtId="0" fontId="3" fillId="7" borderId="0" xfId="0" applyFont="1" applyFill="1" applyBorder="1"/>
    <xf numFmtId="164" fontId="9" fillId="0" borderId="0" xfId="0" applyNumberFormat="1" applyFont="1"/>
    <xf numFmtId="164" fontId="5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left" indent="1"/>
    </xf>
    <xf numFmtId="164" fontId="4" fillId="0" borderId="0" xfId="0" applyNumberFormat="1" applyFont="1" applyAlignment="1">
      <alignment horizontal="center"/>
    </xf>
    <xf numFmtId="164" fontId="0" fillId="0" borderId="0" xfId="0" applyNumberFormat="1"/>
    <xf numFmtId="43" fontId="9" fillId="0" borderId="6" xfId="0" applyNumberFormat="1" applyFont="1" applyBorder="1" applyAlignment="1">
      <alignment horizontal="center"/>
    </xf>
    <xf numFmtId="164" fontId="14" fillId="0" borderId="0" xfId="3" applyNumberFormat="1" applyFont="1" applyAlignment="1" applyProtection="1"/>
    <xf numFmtId="164" fontId="4" fillId="3" borderId="0" xfId="0" applyNumberFormat="1" applyFont="1" applyFill="1"/>
    <xf numFmtId="164" fontId="15" fillId="0" borderId="0" xfId="0" applyNumberFormat="1" applyFont="1" applyAlignment="1">
      <alignment horizontal="center"/>
    </xf>
    <xf numFmtId="169" fontId="12" fillId="0" borderId="0" xfId="5" applyNumberFormat="1" applyFont="1" applyFill="1" applyBorder="1" applyAlignment="1" applyProtection="1">
      <alignment horizontal="center" vertical="center"/>
    </xf>
    <xf numFmtId="170" fontId="9" fillId="0" borderId="0" xfId="5" applyNumberFormat="1" applyFont="1" applyFill="1" applyBorder="1" applyAlignment="1" applyProtection="1">
      <alignment horizontal="center" vertical="center"/>
    </xf>
    <xf numFmtId="170" fontId="17" fillId="0" borderId="0" xfId="5" applyNumberFormat="1" applyFont="1" applyFill="1" applyBorder="1" applyAlignment="1" applyProtection="1">
      <alignment horizontal="center" vertical="center"/>
    </xf>
    <xf numFmtId="171" fontId="3" fillId="0" borderId="0" xfId="0" applyNumberFormat="1" applyFont="1"/>
    <xf numFmtId="173" fontId="12" fillId="0" borderId="0" xfId="5" applyNumberFormat="1" applyFont="1" applyFill="1" applyBorder="1" applyAlignment="1" applyProtection="1">
      <alignment horizontal="center" vertical="center"/>
    </xf>
    <xf numFmtId="164" fontId="3" fillId="3" borderId="0" xfId="0" applyNumberFormat="1" applyFont="1" applyFill="1" applyProtection="1"/>
    <xf numFmtId="164" fontId="4" fillId="3" borderId="0" xfId="0" applyNumberFormat="1" applyFont="1" applyFill="1" applyAlignment="1" applyProtection="1">
      <alignment horizontal="center"/>
    </xf>
    <xf numFmtId="164" fontId="3" fillId="0" borderId="0" xfId="0" applyNumberFormat="1" applyFont="1" applyProtection="1"/>
    <xf numFmtId="164" fontId="4" fillId="0" borderId="0" xfId="0" applyNumberFormat="1" applyFont="1" applyAlignment="1" applyProtection="1">
      <alignment horizontal="center"/>
    </xf>
    <xf numFmtId="164" fontId="9" fillId="0" borderId="0" xfId="0" applyNumberFormat="1" applyFont="1" applyProtection="1"/>
    <xf numFmtId="164" fontId="15" fillId="0" borderId="0" xfId="0" applyNumberFormat="1" applyFont="1" applyAlignment="1" applyProtection="1">
      <alignment horizontal="center"/>
    </xf>
    <xf numFmtId="164" fontId="5" fillId="0" borderId="0" xfId="0" applyNumberFormat="1" applyFont="1" applyAlignment="1" applyProtection="1">
      <alignment horizontal="center"/>
    </xf>
    <xf numFmtId="164" fontId="14" fillId="0" borderId="0" xfId="3" applyNumberFormat="1" applyFont="1" applyAlignment="1" applyProtection="1">
      <alignment horizontal="center"/>
    </xf>
    <xf numFmtId="0" fontId="68" fillId="39" borderId="0" xfId="0" applyFont="1" applyFill="1" applyBorder="1" applyAlignment="1">
      <alignment horizontal="left" vertical="center"/>
    </xf>
    <xf numFmtId="0" fontId="68" fillId="39" borderId="0" xfId="0" applyFont="1" applyFill="1" applyBorder="1" applyAlignment="1">
      <alignment horizontal="left" indent="9"/>
    </xf>
    <xf numFmtId="0" fontId="69" fillId="39" borderId="0" xfId="0" applyFont="1" applyFill="1" applyBorder="1" applyAlignment="1" applyProtection="1"/>
    <xf numFmtId="0" fontId="0" fillId="39" borderId="0" xfId="0" applyFont="1" applyFill="1" applyBorder="1"/>
    <xf numFmtId="0" fontId="0" fillId="39" borderId="0" xfId="0" applyFont="1" applyFill="1" applyBorder="1" applyAlignment="1">
      <alignment horizontal="right"/>
    </xf>
    <xf numFmtId="43" fontId="20" fillId="39" borderId="0" xfId="0" applyNumberFormat="1" applyFont="1" applyFill="1" applyBorder="1" applyAlignment="1">
      <alignment horizontal="center"/>
    </xf>
    <xf numFmtId="0" fontId="70" fillId="39" borderId="1" xfId="0" applyFont="1" applyFill="1" applyBorder="1" applyAlignment="1">
      <alignment horizontal="left"/>
    </xf>
    <xf numFmtId="0" fontId="0" fillId="39" borderId="1" xfId="0" applyFont="1" applyFill="1" applyBorder="1"/>
    <xf numFmtId="0" fontId="0" fillId="40" borderId="4" xfId="0" applyFill="1" applyBorder="1"/>
    <xf numFmtId="0" fontId="21" fillId="40" borderId="4" xfId="0" applyFont="1" applyFill="1" applyBorder="1" applyAlignment="1">
      <alignment vertical="center"/>
    </xf>
    <xf numFmtId="0" fontId="0" fillId="40" borderId="4" xfId="0" applyFill="1" applyBorder="1" applyAlignment="1">
      <alignment wrapText="1"/>
    </xf>
    <xf numFmtId="44" fontId="21" fillId="40" borderId="4" xfId="0" applyNumberFormat="1" applyFont="1" applyFill="1" applyBorder="1" applyAlignment="1">
      <alignment horizontal="center" wrapText="1"/>
    </xf>
    <xf numFmtId="0" fontId="0" fillId="3" borderId="0" xfId="0" applyFill="1" applyBorder="1" applyAlignment="1">
      <alignment wrapText="1"/>
    </xf>
    <xf numFmtId="0" fontId="0" fillId="3" borderId="0" xfId="0" applyFill="1" applyAlignment="1">
      <alignment wrapText="1"/>
    </xf>
    <xf numFmtId="0" fontId="0" fillId="3" borderId="0" xfId="0" applyFill="1"/>
    <xf numFmtId="0" fontId="0" fillId="0" borderId="0" xfId="0" applyFill="1"/>
    <xf numFmtId="0" fontId="20" fillId="40" borderId="4" xfId="0" applyFont="1" applyFill="1" applyBorder="1"/>
    <xf numFmtId="165" fontId="3" fillId="42" borderId="3" xfId="0" applyNumberFormat="1" applyFont="1" applyFill="1" applyBorder="1" applyAlignment="1" applyProtection="1">
      <alignment horizontal="center"/>
      <protection locked="0"/>
    </xf>
    <xf numFmtId="0" fontId="70" fillId="39" borderId="0" xfId="0" applyFont="1" applyFill="1" applyBorder="1" applyAlignment="1">
      <alignment horizontal="left"/>
    </xf>
    <xf numFmtId="0" fontId="70" fillId="39" borderId="0" xfId="0" applyFont="1" applyFill="1" applyBorder="1" applyAlignment="1">
      <alignment horizontal="left" indent="9"/>
    </xf>
    <xf numFmtId="0" fontId="0" fillId="3" borderId="8" xfId="0" applyFill="1" applyBorder="1" applyAlignment="1">
      <alignment wrapText="1"/>
    </xf>
    <xf numFmtId="0" fontId="0" fillId="3" borderId="8" xfId="0" applyFill="1" applyBorder="1"/>
    <xf numFmtId="0" fontId="0" fillId="0" borderId="8" xfId="0" applyFill="1" applyBorder="1"/>
    <xf numFmtId="0" fontId="0" fillId="0" borderId="8" xfId="0" applyBorder="1"/>
    <xf numFmtId="0" fontId="3" fillId="41" borderId="0" xfId="0" applyFont="1" applyFill="1" applyBorder="1" applyAlignment="1">
      <alignment horizontal="center"/>
    </xf>
    <xf numFmtId="2" fontId="3" fillId="42" borderId="3" xfId="0" applyNumberFormat="1" applyFont="1" applyFill="1" applyBorder="1" applyAlignment="1" applyProtection="1">
      <alignment horizontal="center"/>
      <protection locked="0"/>
    </xf>
    <xf numFmtId="10" fontId="3" fillId="42" borderId="3" xfId="2" applyNumberFormat="1" applyFont="1" applyFill="1" applyBorder="1" applyAlignment="1" applyProtection="1">
      <alignment horizontal="center"/>
      <protection locked="0"/>
    </xf>
    <xf numFmtId="49" fontId="3" fillId="42" borderId="3" xfId="0" applyNumberFormat="1" applyFont="1" applyFill="1" applyBorder="1" applyAlignment="1" applyProtection="1">
      <alignment horizontal="left" indent="1"/>
      <protection locked="0"/>
    </xf>
    <xf numFmtId="1" fontId="3" fillId="42" borderId="3" xfId="2" applyNumberFormat="1" applyFont="1" applyFill="1" applyBorder="1" applyAlignment="1" applyProtection="1">
      <alignment horizontal="center"/>
      <protection locked="0"/>
    </xf>
    <xf numFmtId="194" fontId="3" fillId="42" borderId="3" xfId="2" applyNumberFormat="1" applyFont="1" applyFill="1" applyBorder="1" applyAlignment="1" applyProtection="1">
      <alignment horizontal="center"/>
      <protection locked="0"/>
    </xf>
    <xf numFmtId="164" fontId="15" fillId="0" borderId="0" xfId="0" applyNumberFormat="1" applyFont="1" applyAlignment="1" applyProtection="1">
      <alignment horizontal="center" wrapText="1"/>
    </xf>
    <xf numFmtId="191" fontId="3" fillId="42" borderId="3" xfId="0" applyNumberFormat="1" applyFont="1" applyFill="1" applyBorder="1" applyAlignment="1" applyProtection="1">
      <alignment horizontal="center"/>
      <protection locked="0"/>
    </xf>
    <xf numFmtId="195" fontId="3" fillId="0" borderId="0" xfId="0" applyNumberFormat="1" applyFont="1" applyAlignment="1" applyProtection="1">
      <alignment horizontal="left"/>
    </xf>
    <xf numFmtId="193" fontId="3" fillId="0" borderId="0" xfId="0" applyNumberFormat="1" applyFont="1" applyProtection="1"/>
    <xf numFmtId="164" fontId="4" fillId="0" borderId="0" xfId="0" applyNumberFormat="1" applyFont="1" applyAlignment="1" applyProtection="1">
      <alignment horizontal="center" wrapText="1"/>
    </xf>
    <xf numFmtId="164" fontId="5" fillId="0" borderId="0" xfId="0" applyNumberFormat="1" applyFont="1" applyProtection="1"/>
    <xf numFmtId="164" fontId="16" fillId="41" borderId="10" xfId="0" applyNumberFormat="1" applyFont="1" applyFill="1" applyBorder="1" applyAlignment="1" applyProtection="1">
      <alignment horizontal="center"/>
      <protection locked="0"/>
    </xf>
    <xf numFmtId="194" fontId="3" fillId="4" borderId="3" xfId="2" applyNumberFormat="1" applyFont="1" applyFill="1" applyBorder="1" applyAlignment="1" applyProtection="1">
      <alignment horizontal="center"/>
      <protection locked="0"/>
    </xf>
    <xf numFmtId="0" fontId="0" fillId="39" borderId="0" xfId="0" applyFont="1" applyFill="1" applyBorder="1" applyProtection="1"/>
    <xf numFmtId="0" fontId="68" fillId="39" borderId="0" xfId="0" applyFont="1" applyFill="1" applyBorder="1" applyAlignment="1" applyProtection="1">
      <alignment horizontal="left" vertical="center"/>
    </xf>
    <xf numFmtId="0" fontId="68" fillId="39" borderId="0" xfId="0" applyFont="1" applyFill="1" applyBorder="1" applyAlignment="1" applyProtection="1">
      <alignment horizontal="left" indent="9"/>
    </xf>
    <xf numFmtId="0" fontId="0" fillId="39" borderId="0" xfId="0" applyFont="1" applyFill="1" applyBorder="1" applyAlignment="1" applyProtection="1">
      <alignment horizontal="right"/>
    </xf>
    <xf numFmtId="0" fontId="3" fillId="41" borderId="0" xfId="0" applyFont="1" applyFill="1" applyBorder="1" applyAlignment="1" applyProtection="1">
      <alignment horizontal="center"/>
    </xf>
    <xf numFmtId="0" fontId="3" fillId="6" borderId="0" xfId="0" applyFont="1" applyFill="1" applyBorder="1" applyProtection="1"/>
    <xf numFmtId="0" fontId="3" fillId="7" borderId="0" xfId="0" applyFont="1" applyFill="1" applyBorder="1" applyProtection="1"/>
    <xf numFmtId="43" fontId="20" fillId="39" borderId="0" xfId="0" applyNumberFormat="1" applyFont="1" applyFill="1" applyBorder="1" applyAlignment="1" applyProtection="1">
      <alignment horizontal="center"/>
    </xf>
    <xf numFmtId="0" fontId="0" fillId="39" borderId="1" xfId="0" applyFont="1" applyFill="1" applyBorder="1" applyProtection="1"/>
    <xf numFmtId="0" fontId="70" fillId="39" borderId="1" xfId="0" applyFont="1" applyFill="1" applyBorder="1" applyAlignment="1" applyProtection="1">
      <alignment horizontal="left"/>
    </xf>
    <xf numFmtId="0" fontId="70" fillId="39" borderId="1" xfId="0" applyFont="1" applyFill="1" applyBorder="1" applyAlignment="1" applyProtection="1">
      <alignment horizontal="left" indent="9"/>
    </xf>
    <xf numFmtId="0" fontId="20" fillId="39" borderId="2" xfId="0" applyNumberFormat="1" applyFont="1" applyFill="1" applyBorder="1" applyProtection="1"/>
    <xf numFmtId="0" fontId="20" fillId="39" borderId="2" xfId="0" applyFont="1" applyFill="1" applyBorder="1" applyProtection="1"/>
    <xf numFmtId="0" fontId="71" fillId="39" borderId="2" xfId="0" applyNumberFormat="1" applyFont="1" applyFill="1" applyBorder="1" applyAlignment="1" applyProtection="1">
      <alignment horizontal="center"/>
    </xf>
    <xf numFmtId="0" fontId="71" fillId="39" borderId="2" xfId="0" applyNumberFormat="1" applyFont="1" applyFill="1" applyBorder="1" applyProtection="1"/>
    <xf numFmtId="0" fontId="71" fillId="40" borderId="4" xfId="0" applyFont="1" applyFill="1" applyBorder="1" applyProtection="1"/>
    <xf numFmtId="0" fontId="71" fillId="40" borderId="4" xfId="0" applyFont="1" applyFill="1" applyBorder="1" applyAlignment="1" applyProtection="1">
      <alignment horizontal="center"/>
    </xf>
    <xf numFmtId="0" fontId="16" fillId="40" borderId="4" xfId="0" applyFont="1" applyFill="1" applyBorder="1" applyAlignment="1" applyProtection="1">
      <alignment horizontal="center" vertical="center"/>
    </xf>
    <xf numFmtId="0" fontId="16" fillId="40" borderId="4" xfId="0" applyFont="1" applyFill="1" applyBorder="1" applyAlignment="1" applyProtection="1">
      <alignment vertical="center"/>
    </xf>
    <xf numFmtId="0" fontId="71" fillId="40" borderId="4" xfId="0" applyFont="1" applyFill="1" applyBorder="1" applyAlignment="1" applyProtection="1">
      <alignment wrapText="1"/>
    </xf>
    <xf numFmtId="44" fontId="16" fillId="40" borderId="4" xfId="0" applyNumberFormat="1" applyFont="1" applyFill="1" applyBorder="1" applyAlignment="1" applyProtection="1">
      <alignment horizontal="center" wrapText="1"/>
    </xf>
    <xf numFmtId="0" fontId="71" fillId="3" borderId="0" xfId="0" applyFont="1" applyFill="1" applyBorder="1" applyAlignment="1" applyProtection="1">
      <alignment wrapText="1"/>
    </xf>
    <xf numFmtId="0" fontId="71" fillId="3" borderId="0" xfId="0" applyFont="1" applyFill="1" applyAlignment="1" applyProtection="1">
      <alignment wrapText="1"/>
    </xf>
    <xf numFmtId="0" fontId="71" fillId="3" borderId="0" xfId="0" applyFont="1" applyFill="1" applyProtection="1"/>
    <xf numFmtId="0" fontId="71" fillId="0" borderId="0" xfId="0" applyFont="1" applyFill="1" applyProtection="1"/>
    <xf numFmtId="0" fontId="71" fillId="0" borderId="0" xfId="0" applyFont="1" applyProtection="1"/>
    <xf numFmtId="0" fontId="0" fillId="40" borderId="4" xfId="0" applyFill="1" applyBorder="1" applyProtection="1"/>
    <xf numFmtId="0" fontId="20" fillId="40" borderId="4" xfId="0" applyFont="1" applyFill="1" applyBorder="1" applyProtection="1"/>
    <xf numFmtId="0" fontId="21" fillId="40" borderId="4" xfId="0" applyFont="1" applyFill="1" applyBorder="1" applyAlignment="1" applyProtection="1">
      <alignment vertical="center"/>
    </xf>
    <xf numFmtId="0" fontId="0" fillId="40" borderId="4" xfId="0" applyFill="1" applyBorder="1" applyAlignment="1" applyProtection="1">
      <alignment wrapText="1"/>
    </xf>
    <xf numFmtId="44" fontId="21" fillId="40" borderId="4" xfId="0" applyNumberFormat="1" applyFont="1" applyFill="1" applyBorder="1" applyAlignment="1" applyProtection="1">
      <alignment horizontal="center" wrapText="1"/>
    </xf>
    <xf numFmtId="0" fontId="0" fillId="3" borderId="0" xfId="0" applyFill="1" applyBorder="1" applyAlignment="1" applyProtection="1">
      <alignment wrapText="1"/>
    </xf>
    <xf numFmtId="0" fontId="0" fillId="3" borderId="0" xfId="0" applyFill="1" applyAlignment="1" applyProtection="1">
      <alignment wrapText="1"/>
    </xf>
    <xf numFmtId="0" fontId="0" fillId="3" borderId="0" xfId="0" applyFill="1" applyProtection="1"/>
    <xf numFmtId="0" fontId="0" fillId="0" borderId="0" xfId="0" applyFill="1" applyProtection="1"/>
    <xf numFmtId="0" fontId="0" fillId="0" borderId="0" xfId="0" applyProtection="1"/>
    <xf numFmtId="164" fontId="5" fillId="0" borderId="0" xfId="0" applyNumberFormat="1" applyFont="1" applyFill="1" applyBorder="1" applyProtection="1"/>
    <xf numFmtId="164" fontId="4" fillId="0" borderId="0" xfId="0" applyNumberFormat="1" applyFont="1" applyFill="1" applyAlignment="1" applyProtection="1">
      <alignment horizontal="center"/>
    </xf>
    <xf numFmtId="164" fontId="5" fillId="0" borderId="7" xfId="0" applyNumberFormat="1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left" indent="1"/>
    </xf>
    <xf numFmtId="164" fontId="3" fillId="0" borderId="0" xfId="0" applyNumberFormat="1" applyFont="1" applyAlignment="1" applyProtection="1">
      <alignment horizontal="center"/>
    </xf>
    <xf numFmtId="164" fontId="14" fillId="0" borderId="0" xfId="3" applyNumberFormat="1" applyFont="1" applyFill="1" applyAlignment="1" applyProtection="1">
      <alignment horizontal="center"/>
    </xf>
    <xf numFmtId="196" fontId="3" fillId="0" borderId="0" xfId="0" applyNumberFormat="1" applyFont="1" applyAlignment="1" applyProtection="1">
      <alignment horizontal="center"/>
    </xf>
    <xf numFmtId="164" fontId="4" fillId="0" borderId="0" xfId="0" applyNumberFormat="1" applyFont="1" applyBorder="1" applyAlignment="1" applyProtection="1">
      <alignment horizontal="center"/>
    </xf>
    <xf numFmtId="164" fontId="3" fillId="0" borderId="0" xfId="0" applyNumberFormat="1" applyFont="1" applyAlignment="1" applyProtection="1">
      <alignment horizontal="left" indent="1"/>
    </xf>
    <xf numFmtId="164" fontId="4" fillId="0" borderId="7" xfId="0" applyNumberFormat="1" applyFont="1" applyBorder="1" applyAlignment="1" applyProtection="1">
      <alignment horizontal="center"/>
    </xf>
    <xf numFmtId="164" fontId="3" fillId="0" borderId="7" xfId="0" applyNumberFormat="1" applyFont="1" applyBorder="1" applyAlignment="1" applyProtection="1">
      <alignment horizontal="center"/>
    </xf>
    <xf numFmtId="164" fontId="5" fillId="0" borderId="8" xfId="0" applyNumberFormat="1" applyFont="1" applyBorder="1" applyAlignment="1" applyProtection="1">
      <alignment horizontal="left" indent="1"/>
    </xf>
    <xf numFmtId="164" fontId="4" fillId="0" borderId="8" xfId="0" applyNumberFormat="1" applyFont="1" applyBorder="1" applyAlignment="1" applyProtection="1">
      <alignment horizontal="center"/>
    </xf>
    <xf numFmtId="196" fontId="5" fillId="0" borderId="0" xfId="0" applyNumberFormat="1" applyFont="1" applyAlignment="1" applyProtection="1">
      <alignment horizontal="center"/>
    </xf>
    <xf numFmtId="164" fontId="4" fillId="0" borderId="0" xfId="0" applyNumberFormat="1" applyFont="1" applyAlignment="1" applyProtection="1">
      <alignment horizontal="left"/>
    </xf>
    <xf numFmtId="10" fontId="3" fillId="0" borderId="0" xfId="2" applyNumberFormat="1" applyFont="1" applyAlignment="1" applyProtection="1">
      <alignment horizontal="center"/>
    </xf>
    <xf numFmtId="164" fontId="5" fillId="0" borderId="8" xfId="0" applyNumberFormat="1" applyFont="1" applyBorder="1" applyProtection="1"/>
    <xf numFmtId="172" fontId="3" fillId="0" borderId="0" xfId="0" applyNumberFormat="1" applyFont="1" applyAlignment="1" applyProtection="1">
      <alignment horizontal="center"/>
    </xf>
    <xf numFmtId="164" fontId="5" fillId="0" borderId="0" xfId="0" applyNumberFormat="1" applyFont="1" applyBorder="1" applyAlignment="1" applyProtection="1">
      <alignment horizontal="center"/>
    </xf>
    <xf numFmtId="164" fontId="3" fillId="0" borderId="0" xfId="0" applyNumberFormat="1" applyFont="1" applyFill="1" applyAlignment="1" applyProtection="1">
      <alignment horizontal="left" indent="2"/>
    </xf>
    <xf numFmtId="164" fontId="15" fillId="0" borderId="8" xfId="0" applyNumberFormat="1" applyFont="1" applyBorder="1" applyAlignment="1" applyProtection="1">
      <alignment horizontal="center"/>
    </xf>
    <xf numFmtId="164" fontId="5" fillId="0" borderId="0" xfId="0" applyNumberFormat="1" applyFont="1" applyBorder="1" applyAlignment="1" applyProtection="1">
      <alignment horizontal="left" indent="1"/>
    </xf>
    <xf numFmtId="164" fontId="5" fillId="0" borderId="0" xfId="0" applyNumberFormat="1" applyFont="1" applyBorder="1" applyProtection="1"/>
    <xf numFmtId="193" fontId="5" fillId="0" borderId="0" xfId="0" applyNumberFormat="1" applyFont="1" applyBorder="1" applyAlignment="1" applyProtection="1">
      <alignment horizontal="center"/>
    </xf>
    <xf numFmtId="164" fontId="15" fillId="0" borderId="0" xfId="0" applyNumberFormat="1" applyFont="1" applyBorder="1" applyAlignment="1" applyProtection="1">
      <alignment horizontal="center"/>
    </xf>
    <xf numFmtId="199" fontId="3" fillId="0" borderId="0" xfId="0" applyNumberFormat="1" applyFont="1" applyAlignment="1" applyProtection="1">
      <alignment horizontal="center"/>
    </xf>
    <xf numFmtId="199" fontId="3" fillId="0" borderId="7" xfId="0" applyNumberFormat="1" applyFont="1" applyBorder="1" applyAlignment="1" applyProtection="1">
      <alignment horizontal="center"/>
    </xf>
    <xf numFmtId="199" fontId="5" fillId="0" borderId="0" xfId="0" applyNumberFormat="1" applyFont="1" applyAlignment="1" applyProtection="1">
      <alignment horizontal="center"/>
    </xf>
    <xf numFmtId="197" fontId="9" fillId="0" borderId="9" xfId="5" applyNumberFormat="1" applyFont="1" applyFill="1" applyBorder="1" applyAlignment="1" applyProtection="1">
      <alignment horizontal="center" vertical="center"/>
    </xf>
    <xf numFmtId="197" fontId="9" fillId="0" borderId="4" xfId="5" applyNumberFormat="1" applyFont="1" applyFill="1" applyBorder="1" applyAlignment="1" applyProtection="1">
      <alignment horizontal="center" vertical="center"/>
    </xf>
    <xf numFmtId="49" fontId="4" fillId="42" borderId="24" xfId="0" applyNumberFormat="1" applyFont="1" applyFill="1" applyBorder="1" applyAlignment="1" applyProtection="1">
      <alignment horizontal="center"/>
      <protection locked="0"/>
    </xf>
    <xf numFmtId="43" fontId="9" fillId="0" borderId="3" xfId="0" applyNumberFormat="1" applyFont="1" applyBorder="1" applyAlignment="1" applyProtection="1">
      <alignment horizontal="center"/>
    </xf>
    <xf numFmtId="43" fontId="9" fillId="0" borderId="0" xfId="0" applyNumberFormat="1" applyFont="1" applyBorder="1" applyAlignment="1" applyProtection="1">
      <alignment horizontal="center"/>
    </xf>
    <xf numFmtId="0" fontId="7" fillId="39" borderId="2" xfId="0" applyNumberFormat="1" applyFont="1" applyFill="1" applyBorder="1" applyProtection="1"/>
    <xf numFmtId="0" fontId="7" fillId="39" borderId="2" xfId="0" applyFont="1" applyFill="1" applyBorder="1" applyProtection="1"/>
    <xf numFmtId="0" fontId="8" fillId="39" borderId="2" xfId="0" applyNumberFormat="1" applyFont="1" applyFill="1" applyBorder="1" applyAlignment="1" applyProtection="1">
      <alignment horizontal="center"/>
    </xf>
    <xf numFmtId="0" fontId="8" fillId="39" borderId="2" xfId="0" applyNumberFormat="1" applyFont="1" applyFill="1" applyBorder="1" applyProtection="1"/>
    <xf numFmtId="164" fontId="5" fillId="0" borderId="7" xfId="0" applyNumberFormat="1" applyFont="1" applyBorder="1" applyProtection="1"/>
    <xf numFmtId="164" fontId="3" fillId="0" borderId="7" xfId="0" applyNumberFormat="1" applyFont="1" applyBorder="1" applyProtection="1"/>
    <xf numFmtId="164" fontId="5" fillId="0" borderId="4" xfId="0" applyNumberFormat="1" applyFont="1" applyBorder="1" applyAlignment="1" applyProtection="1">
      <alignment horizontal="left"/>
    </xf>
    <xf numFmtId="164" fontId="4" fillId="0" borderId="4" xfId="0" applyNumberFormat="1" applyFont="1" applyBorder="1" applyAlignment="1" applyProtection="1">
      <alignment horizontal="center"/>
    </xf>
    <xf numFmtId="43" fontId="3" fillId="0" borderId="0" xfId="0" applyNumberFormat="1" applyFont="1" applyProtection="1"/>
    <xf numFmtId="164" fontId="3" fillId="0" borderId="0" xfId="0" applyNumberFormat="1" applyFont="1" applyBorder="1" applyProtection="1"/>
    <xf numFmtId="0" fontId="71" fillId="40" borderId="4" xfId="0" applyFont="1" applyFill="1" applyBorder="1" applyAlignment="1" applyProtection="1">
      <alignment horizontal="center" wrapText="1"/>
    </xf>
    <xf numFmtId="10" fontId="3" fillId="0" borderId="0" xfId="2" applyNumberFormat="1" applyFont="1" applyBorder="1" applyAlignment="1" applyProtection="1">
      <alignment horizontal="center"/>
    </xf>
    <xf numFmtId="164" fontId="4" fillId="0" borderId="0" xfId="6" applyNumberFormat="1" applyFont="1" applyAlignment="1" applyProtection="1">
      <alignment horizontal="center"/>
    </xf>
    <xf numFmtId="168" fontId="12" fillId="0" borderId="0" xfId="2" applyNumberFormat="1" applyFont="1" applyFill="1" applyBorder="1" applyAlignment="1" applyProtection="1">
      <alignment horizontal="center" vertical="center"/>
    </xf>
    <xf numFmtId="172" fontId="3" fillId="0" borderId="0" xfId="0" applyNumberFormat="1" applyFont="1" applyProtection="1"/>
    <xf numFmtId="164" fontId="3" fillId="0" borderId="0" xfId="0" applyNumberFormat="1" applyFont="1" applyAlignment="1" applyProtection="1">
      <alignment horizontal="left"/>
    </xf>
    <xf numFmtId="192" fontId="3" fillId="9" borderId="3" xfId="0" applyNumberFormat="1" applyFont="1" applyFill="1" applyBorder="1" applyAlignment="1" applyProtection="1">
      <alignment horizontal="left" indent="1"/>
    </xf>
    <xf numFmtId="0" fontId="72" fillId="40" borderId="4" xfId="0" applyFont="1" applyFill="1" applyBorder="1" applyAlignment="1" applyProtection="1"/>
    <xf numFmtId="194" fontId="3" fillId="9" borderId="3" xfId="2" applyNumberFormat="1" applyFont="1" applyFill="1" applyBorder="1" applyAlignment="1" applyProtection="1">
      <alignment horizontal="center"/>
    </xf>
    <xf numFmtId="0" fontId="71" fillId="39" borderId="2" xfId="0" applyNumberFormat="1" applyFont="1" applyFill="1" applyBorder="1" applyAlignment="1" applyProtection="1">
      <alignment horizontal="center"/>
    </xf>
    <xf numFmtId="196" fontId="5" fillId="0" borderId="23" xfId="0" applyNumberFormat="1" applyFont="1" applyBorder="1" applyAlignment="1" applyProtection="1">
      <alignment horizontal="center"/>
    </xf>
    <xf numFmtId="194" fontId="4" fillId="42" borderId="3" xfId="2" applyNumberFormat="1" applyFont="1" applyFill="1" applyBorder="1" applyAlignment="1" applyProtection="1">
      <alignment horizontal="center"/>
      <protection locked="0"/>
    </xf>
    <xf numFmtId="198" fontId="5" fillId="0" borderId="0" xfId="0" applyNumberFormat="1" applyFont="1" applyBorder="1" applyAlignment="1" applyProtection="1">
      <alignment horizontal="center"/>
    </xf>
    <xf numFmtId="180" fontId="3" fillId="42" borderId="3" xfId="2" applyNumberFormat="1" applyFont="1" applyFill="1" applyBorder="1" applyAlignment="1" applyProtection="1">
      <alignment horizontal="center"/>
      <protection locked="0"/>
    </xf>
    <xf numFmtId="164" fontId="3" fillId="0" borderId="0" xfId="0" applyNumberFormat="1" applyFont="1" applyProtection="1">
      <protection locked="0"/>
    </xf>
    <xf numFmtId="193" fontId="3" fillId="0" borderId="0" xfId="0" applyNumberFormat="1" applyFont="1" applyProtection="1">
      <protection locked="0"/>
    </xf>
    <xf numFmtId="10" fontId="5" fillId="0" borderId="0" xfId="2" applyNumberFormat="1" applyFont="1" applyBorder="1" applyAlignment="1" applyProtection="1">
      <alignment horizontal="center"/>
    </xf>
    <xf numFmtId="201" fontId="5" fillId="0" borderId="0" xfId="0" applyNumberFormat="1" applyFont="1" applyAlignment="1" applyProtection="1">
      <alignment horizontal="center"/>
    </xf>
    <xf numFmtId="1" fontId="3" fillId="42" borderId="3" xfId="0" applyNumberFormat="1" applyFont="1" applyFill="1" applyBorder="1" applyAlignment="1" applyProtection="1">
      <alignment horizontal="center"/>
      <protection locked="0"/>
    </xf>
    <xf numFmtId="202" fontId="3" fillId="0" borderId="0" xfId="0" applyNumberFormat="1" applyFont="1" applyAlignment="1">
      <alignment horizontal="left"/>
    </xf>
    <xf numFmtId="202" fontId="4" fillId="0" borderId="0" xfId="0" applyNumberFormat="1" applyFont="1" applyAlignment="1" applyProtection="1">
      <alignment horizontal="center"/>
    </xf>
    <xf numFmtId="202" fontId="5" fillId="0" borderId="7" xfId="0" applyNumberFormat="1" applyFont="1" applyBorder="1" applyAlignment="1" applyProtection="1">
      <alignment horizontal="center"/>
    </xf>
    <xf numFmtId="0" fontId="3" fillId="42" borderId="3" xfId="2" applyNumberFormat="1" applyFont="1" applyFill="1" applyBorder="1" applyAlignment="1" applyProtection="1">
      <alignment horizontal="center"/>
      <protection locked="0"/>
    </xf>
    <xf numFmtId="0" fontId="5" fillId="0" borderId="7" xfId="0" applyNumberFormat="1" applyFont="1" applyBorder="1" applyAlignment="1" applyProtection="1">
      <alignment horizontal="center"/>
    </xf>
    <xf numFmtId="0" fontId="71" fillId="40" borderId="4" xfId="0" applyNumberFormat="1" applyFont="1" applyFill="1" applyBorder="1" applyAlignment="1" applyProtection="1">
      <alignment horizontal="center" wrapText="1"/>
    </xf>
    <xf numFmtId="0" fontId="16" fillId="40" borderId="4" xfId="0" applyNumberFormat="1" applyFont="1" applyFill="1" applyBorder="1" applyAlignment="1" applyProtection="1">
      <alignment horizontal="center" wrapText="1"/>
    </xf>
    <xf numFmtId="0" fontId="4" fillId="0" borderId="0" xfId="0" applyNumberFormat="1" applyFont="1" applyAlignment="1" applyProtection="1">
      <alignment horizontal="center"/>
    </xf>
    <xf numFmtId="0" fontId="3" fillId="0" borderId="0" xfId="0" applyNumberFormat="1" applyFont="1" applyAlignment="1" applyProtection="1">
      <alignment horizontal="left" indent="1"/>
    </xf>
    <xf numFmtId="0" fontId="16" fillId="41" borderId="10" xfId="0" applyNumberFormat="1" applyFont="1" applyFill="1" applyBorder="1" applyAlignment="1" applyProtection="1">
      <alignment horizontal="center"/>
      <protection locked="0"/>
    </xf>
    <xf numFmtId="2" fontId="3" fillId="42" borderId="3" xfId="2" applyNumberFormat="1" applyFont="1" applyFill="1" applyBorder="1" applyAlignment="1" applyProtection="1">
      <alignment horizontal="center"/>
      <protection locked="0"/>
    </xf>
    <xf numFmtId="49" fontId="4" fillId="0" borderId="0" xfId="0" applyNumberFormat="1" applyFont="1" applyAlignment="1" applyProtection="1">
      <alignment horizontal="center"/>
    </xf>
    <xf numFmtId="0" fontId="69" fillId="39" borderId="0" xfId="0" applyFont="1" applyFill="1" applyBorder="1" applyAlignment="1" applyProtection="1">
      <alignment horizontal="right"/>
    </xf>
    <xf numFmtId="43" fontId="0" fillId="0" borderId="0" xfId="6" applyFont="1"/>
    <xf numFmtId="43" fontId="0" fillId="0" borderId="0" xfId="0" applyNumberFormat="1"/>
    <xf numFmtId="43" fontId="3" fillId="0" borderId="0" xfId="6" applyFont="1" applyBorder="1" applyAlignment="1" applyProtection="1">
      <alignment horizontal="center"/>
    </xf>
    <xf numFmtId="6" fontId="4" fillId="0" borderId="0" xfId="0" applyNumberFormat="1" applyFont="1" applyAlignment="1" applyProtection="1">
      <alignment horizontal="center"/>
    </xf>
    <xf numFmtId="0" fontId="5" fillId="0" borderId="29" xfId="0" applyNumberFormat="1" applyFont="1" applyBorder="1" applyAlignment="1" applyProtection="1">
      <alignment horizontal="center"/>
    </xf>
    <xf numFmtId="193" fontId="5" fillId="0" borderId="11" xfId="0" applyNumberFormat="1" applyFont="1" applyBorder="1" applyAlignment="1" applyProtection="1">
      <alignment horizontal="center"/>
    </xf>
    <xf numFmtId="43" fontId="3" fillId="0" borderId="11" xfId="6" applyFont="1" applyBorder="1" applyAlignment="1" applyProtection="1">
      <alignment horizontal="center"/>
    </xf>
    <xf numFmtId="198" fontId="5" fillId="0" borderId="11" xfId="0" applyNumberFormat="1" applyFont="1" applyBorder="1" applyAlignment="1" applyProtection="1">
      <alignment horizontal="center"/>
    </xf>
    <xf numFmtId="0" fontId="0" fillId="0" borderId="11" xfId="0" applyBorder="1"/>
    <xf numFmtId="43" fontId="0" fillId="0" borderId="11" xfId="0" applyNumberFormat="1" applyBorder="1"/>
    <xf numFmtId="164" fontId="3" fillId="0" borderId="11" xfId="0" applyNumberFormat="1" applyFont="1" applyBorder="1" applyProtection="1"/>
    <xf numFmtId="43" fontId="3" fillId="0" borderId="11" xfId="6" applyFont="1" applyBorder="1" applyProtection="1"/>
    <xf numFmtId="43" fontId="3" fillId="0" borderId="11" xfId="0" applyNumberFormat="1" applyFont="1" applyBorder="1" applyProtection="1"/>
    <xf numFmtId="0" fontId="89" fillId="0" borderId="30" xfId="241" applyFont="1" applyBorder="1"/>
    <xf numFmtId="0" fontId="89" fillId="0" borderId="28" xfId="241" applyFont="1" applyBorder="1"/>
    <xf numFmtId="0" fontId="89" fillId="0" borderId="29" xfId="241" applyFont="1" applyBorder="1"/>
    <xf numFmtId="0" fontId="1" fillId="0" borderId="0" xfId="241"/>
    <xf numFmtId="0" fontId="1" fillId="0" borderId="31" xfId="241" quotePrefix="1" applyBorder="1"/>
    <xf numFmtId="0" fontId="1" fillId="0" borderId="20" xfId="241" applyBorder="1"/>
    <xf numFmtId="0" fontId="1" fillId="0" borderId="11" xfId="241" applyBorder="1" applyAlignment="1">
      <alignment wrapText="1"/>
    </xf>
    <xf numFmtId="0" fontId="1" fillId="0" borderId="31" xfId="241" applyBorder="1"/>
    <xf numFmtId="0" fontId="1" fillId="0" borderId="11" xfId="241" applyBorder="1"/>
    <xf numFmtId="0" fontId="1" fillId="0" borderId="31" xfId="241" quotePrefix="1" applyFill="1" applyBorder="1"/>
    <xf numFmtId="0" fontId="1" fillId="51" borderId="0" xfId="241" applyFill="1"/>
    <xf numFmtId="196" fontId="3" fillId="51" borderId="0" xfId="0" applyNumberFormat="1" applyFont="1" applyFill="1" applyAlignment="1" applyProtection="1">
      <alignment horizontal="center"/>
    </xf>
    <xf numFmtId="0" fontId="1" fillId="39" borderId="0" xfId="241" applyFill="1"/>
    <xf numFmtId="193" fontId="3" fillId="39" borderId="0" xfId="0" applyNumberFormat="1" applyFont="1" applyFill="1" applyProtection="1">
      <protection locked="0"/>
    </xf>
    <xf numFmtId="193" fontId="3" fillId="39" borderId="0" xfId="0" applyNumberFormat="1" applyFont="1" applyFill="1" applyProtection="1"/>
    <xf numFmtId="164" fontId="3" fillId="39" borderId="0" xfId="0" applyNumberFormat="1" applyFont="1" applyFill="1" applyProtection="1"/>
    <xf numFmtId="0" fontId="71" fillId="39" borderId="2" xfId="0" applyNumberFormat="1" applyFont="1" applyFill="1" applyBorder="1" applyAlignment="1" applyProtection="1">
      <alignment horizontal="center"/>
    </xf>
  </cellXfs>
  <cellStyles count="266">
    <cellStyle name=" 1" xfId="10"/>
    <cellStyle name=" 1 2" xfId="11"/>
    <cellStyle name=" 1_29(d) - Gas extensions -tariffs" xfId="12"/>
    <cellStyle name="_Capex" xfId="13"/>
    <cellStyle name="_Capex 2" xfId="14"/>
    <cellStyle name="_Capex_29(d) - Gas extensions -tariffs" xfId="15"/>
    <cellStyle name="_UED AMP 2009-14 Final 250309 Less PU" xfId="16"/>
    <cellStyle name="_UED AMP 2009-14 Final 250309 Less PU_1011 monthly" xfId="17"/>
    <cellStyle name="20% - Accent1 2" xfId="18"/>
    <cellStyle name="20% - Accent2 2" xfId="19"/>
    <cellStyle name="20% - Accent3 2" xfId="20"/>
    <cellStyle name="20% - Accent4 2" xfId="21"/>
    <cellStyle name="20% - Accent5 2" xfId="22"/>
    <cellStyle name="20% - Accent6 2" xfId="23"/>
    <cellStyle name="40% - Accent1 2" xfId="24"/>
    <cellStyle name="40% - Accent2 2" xfId="25"/>
    <cellStyle name="40% - Accent3 2" xfId="26"/>
    <cellStyle name="40% - Accent4 2" xfId="27"/>
    <cellStyle name="40% - Accent5 2" xfId="28"/>
    <cellStyle name="40% - Accent6 2" xfId="29"/>
    <cellStyle name="60% - Accent1 2" xfId="30"/>
    <cellStyle name="60% - Accent2 2" xfId="31"/>
    <cellStyle name="60% - Accent3 2" xfId="32"/>
    <cellStyle name="60% - Accent4 2" xfId="33"/>
    <cellStyle name="60% - Accent5 2" xfId="34"/>
    <cellStyle name="60% - Accent6 2" xfId="35"/>
    <cellStyle name="Accent1 - 20%" xfId="36"/>
    <cellStyle name="Accent1 - 40%" xfId="37"/>
    <cellStyle name="Accent1 - 60%" xfId="38"/>
    <cellStyle name="Accent1 2" xfId="39"/>
    <cellStyle name="Accent2 - 20%" xfId="40"/>
    <cellStyle name="Accent2 - 40%" xfId="41"/>
    <cellStyle name="Accent2 - 60%" xfId="42"/>
    <cellStyle name="Accent2 2" xfId="43"/>
    <cellStyle name="Accent3 - 20%" xfId="44"/>
    <cellStyle name="Accent3 - 40%" xfId="45"/>
    <cellStyle name="Accent3 - 60%" xfId="46"/>
    <cellStyle name="Accent3 2" xfId="47"/>
    <cellStyle name="Accent4 - 20%" xfId="48"/>
    <cellStyle name="Accent4 - 40%" xfId="49"/>
    <cellStyle name="Accent4 - 60%" xfId="50"/>
    <cellStyle name="Accent4 2" xfId="51"/>
    <cellStyle name="Accent5 - 20%" xfId="52"/>
    <cellStyle name="Accent5 - 40%" xfId="53"/>
    <cellStyle name="Accent5 - 60%" xfId="54"/>
    <cellStyle name="Accent5 2" xfId="55"/>
    <cellStyle name="Accent6 - 20%" xfId="56"/>
    <cellStyle name="Accent6 - 40%" xfId="57"/>
    <cellStyle name="Accent6 - 60%" xfId="58"/>
    <cellStyle name="Accent6 2" xfId="59"/>
    <cellStyle name="Agara" xfId="60"/>
    <cellStyle name="Assumptions Right Number" xfId="5"/>
    <cellStyle name="B79812_.wvu.PrintTitlest" xfId="61"/>
    <cellStyle name="Bad 2" xfId="62"/>
    <cellStyle name="Black" xfId="63"/>
    <cellStyle name="Blockout" xfId="64"/>
    <cellStyle name="Blockout 2" xfId="65"/>
    <cellStyle name="Blue" xfId="66"/>
    <cellStyle name="Calcs_Divider" xfId="244"/>
    <cellStyle name="Calculation 2" xfId="67"/>
    <cellStyle name="Check" xfId="245"/>
    <cellStyle name="Check Cell 2" xfId="68"/>
    <cellStyle name="Column_Heading_1" xfId="246"/>
    <cellStyle name="Comma" xfId="6" builtinId="3"/>
    <cellStyle name="Comma [0]7Z_87C" xfId="69"/>
    <cellStyle name="Comma 0" xfId="70"/>
    <cellStyle name="Comma 1" xfId="71"/>
    <cellStyle name="Comma 1 2" xfId="72"/>
    <cellStyle name="Comma 2" xfId="8"/>
    <cellStyle name="Comma 2 2" xfId="73"/>
    <cellStyle name="Comma 2 3" xfId="74"/>
    <cellStyle name="Comma 2 3 2" xfId="75"/>
    <cellStyle name="Comma 2 4" xfId="76"/>
    <cellStyle name="Comma 2 5" xfId="77"/>
    <cellStyle name="Comma 3" xfId="78"/>
    <cellStyle name="Comma 3 2" xfId="79"/>
    <cellStyle name="Comma 3 3" xfId="80"/>
    <cellStyle name="Comma 4" xfId="81"/>
    <cellStyle name="Comma 5" xfId="82"/>
    <cellStyle name="Comma 6" xfId="83"/>
    <cellStyle name="Comma 7" xfId="84"/>
    <cellStyle name="Comma 8" xfId="85"/>
    <cellStyle name="Comma 9" xfId="265"/>
    <cellStyle name="Comma0" xfId="86"/>
    <cellStyle name="Currency 11" xfId="87"/>
    <cellStyle name="Currency 11 2" xfId="88"/>
    <cellStyle name="Currency 2" xfId="89"/>
    <cellStyle name="Currency 2 2" xfId="90"/>
    <cellStyle name="Currency 3" xfId="91"/>
    <cellStyle name="Currency 3 2" xfId="92"/>
    <cellStyle name="Currency 4" xfId="93"/>
    <cellStyle name="Currency 4 2" xfId="94"/>
    <cellStyle name="Currency 5" xfId="243"/>
    <cellStyle name="D4_B8B1_005004B79812_.wvu.PrintTitlest" xfId="95"/>
    <cellStyle name="Date" xfId="96"/>
    <cellStyle name="Date 2" xfId="97"/>
    <cellStyle name="Emphasis 1" xfId="98"/>
    <cellStyle name="Emphasis 2" xfId="99"/>
    <cellStyle name="Emphasis 3" xfId="100"/>
    <cellStyle name="Empty_Cell" xfId="247"/>
    <cellStyle name="Euro" xfId="101"/>
    <cellStyle name="Explanatory Text 2" xfId="102"/>
    <cellStyle name="Fixed" xfId="103"/>
    <cellStyle name="Fixed 2" xfId="104"/>
    <cellStyle name="Gilsans" xfId="105"/>
    <cellStyle name="Gilsansl" xfId="106"/>
    <cellStyle name="Good 2" xfId="107"/>
    <cellStyle name="Header1" xfId="248"/>
    <cellStyle name="Header2" xfId="249"/>
    <cellStyle name="Header3" xfId="250"/>
    <cellStyle name="Header4" xfId="251"/>
    <cellStyle name="Header5" xfId="252"/>
    <cellStyle name="Heading 1 2" xfId="108"/>
    <cellStyle name="Heading 1 2 2" xfId="109"/>
    <cellStyle name="Heading 1 3" xfId="110"/>
    <cellStyle name="Heading 2 2" xfId="111"/>
    <cellStyle name="Heading 2 2 2" xfId="112"/>
    <cellStyle name="Heading 2 3" xfId="113"/>
    <cellStyle name="Heading 3 2" xfId="114"/>
    <cellStyle name="Heading 3 2 2" xfId="115"/>
    <cellStyle name="Heading 3 3" xfId="116"/>
    <cellStyle name="Heading 4 2" xfId="117"/>
    <cellStyle name="Heading 4 2 2" xfId="118"/>
    <cellStyle name="Heading 4 3" xfId="119"/>
    <cellStyle name="Heading(4)" xfId="120"/>
    <cellStyle name="Hyperlink" xfId="3" builtinId="8"/>
    <cellStyle name="Hyperlink 2" xfId="121"/>
    <cellStyle name="Hyperlink 3" xfId="264"/>
    <cellStyle name="Hyperlink Arrow" xfId="122"/>
    <cellStyle name="Hyperlink Text" xfId="123"/>
    <cellStyle name="Input 2" xfId="124"/>
    <cellStyle name="Input|Date" xfId="1"/>
    <cellStyle name="Input1" xfId="125"/>
    <cellStyle name="Input1 2" xfId="126"/>
    <cellStyle name="Input2" xfId="127"/>
    <cellStyle name="Input2 2" xfId="128"/>
    <cellStyle name="Input3" xfId="129"/>
    <cellStyle name="Input3 2" xfId="130"/>
    <cellStyle name="Inputs_Divider" xfId="253"/>
    <cellStyle name="InSheet" xfId="254"/>
    <cellStyle name="Lines" xfId="131"/>
    <cellStyle name="Linked Cell 2" xfId="132"/>
    <cellStyle name="Mine" xfId="133"/>
    <cellStyle name="Model Name" xfId="134"/>
    <cellStyle name="Neutral 2" xfId="135"/>
    <cellStyle name="Normal" xfId="0" builtinId="0"/>
    <cellStyle name="Normal - Style1" xfId="136"/>
    <cellStyle name="Normal 10" xfId="241"/>
    <cellStyle name="Normal 13" xfId="137"/>
    <cellStyle name="Normal 13 2" xfId="7"/>
    <cellStyle name="Normal 13_29(d) - Gas extensions -tariffs" xfId="138"/>
    <cellStyle name="Normal 15" xfId="139"/>
    <cellStyle name="Normal 16" xfId="140"/>
    <cellStyle name="Normal 2" xfId="141"/>
    <cellStyle name="Normal 2 2" xfId="142"/>
    <cellStyle name="Normal 2 2 2" xfId="143"/>
    <cellStyle name="Normal 2 3" xfId="144"/>
    <cellStyle name="Normal 2 3 2" xfId="145"/>
    <cellStyle name="Normal 2 3_29(d) - Gas extensions -tariffs" xfId="146"/>
    <cellStyle name="Normal 2 4" xfId="147"/>
    <cellStyle name="Normal 2 5" xfId="148"/>
    <cellStyle name="Normal 2_29(d) - Gas extensions -tariffs" xfId="149"/>
    <cellStyle name="Normal 3" xfId="150"/>
    <cellStyle name="Normal 3 2" xfId="151"/>
    <cellStyle name="Normal 3_29(d) - Gas extensions -tariffs" xfId="152"/>
    <cellStyle name="Normal 38" xfId="153"/>
    <cellStyle name="Normal 38 2" xfId="154"/>
    <cellStyle name="Normal 38_29(d) - Gas extensions -tariffs" xfId="155"/>
    <cellStyle name="Normal 4" xfId="156"/>
    <cellStyle name="Normal 4 2" xfId="157"/>
    <cellStyle name="Normal 4 3" xfId="158"/>
    <cellStyle name="Normal 4_29(d) - Gas extensions -tariffs" xfId="159"/>
    <cellStyle name="Normal 40" xfId="160"/>
    <cellStyle name="Normal 40 2" xfId="161"/>
    <cellStyle name="Normal 40_29(d) - Gas extensions -tariffs" xfId="162"/>
    <cellStyle name="Normal 5" xfId="163"/>
    <cellStyle name="Normal 5 2" xfId="164"/>
    <cellStyle name="Normal 6" xfId="165"/>
    <cellStyle name="Normal 6 2" xfId="166"/>
    <cellStyle name="Normal 7" xfId="9"/>
    <cellStyle name="Normal 7 2" xfId="167"/>
    <cellStyle name="Normal 8" xfId="168"/>
    <cellStyle name="Normal 9" xfId="169"/>
    <cellStyle name="Note 2" xfId="170"/>
    <cellStyle name="OffSheet" xfId="255"/>
    <cellStyle name="Output 2" xfId="171"/>
    <cellStyle name="Percent" xfId="2" builtinId="5"/>
    <cellStyle name="Percent [2]" xfId="172"/>
    <cellStyle name="Percent [2] 2" xfId="173"/>
    <cellStyle name="Percent [2]_29(d) - Gas extensions -tariffs" xfId="174"/>
    <cellStyle name="Percent 2" xfId="4"/>
    <cellStyle name="Percent 2 2" xfId="175"/>
    <cellStyle name="Percent 3" xfId="176"/>
    <cellStyle name="Percent 3 2" xfId="177"/>
    <cellStyle name="Percent 4" xfId="178"/>
    <cellStyle name="Percent 5" xfId="242"/>
    <cellStyle name="Percent 7" xfId="179"/>
    <cellStyle name="Percentage" xfId="180"/>
    <cellStyle name="Period Title" xfId="181"/>
    <cellStyle name="PSChar" xfId="182"/>
    <cellStyle name="PSDate" xfId="183"/>
    <cellStyle name="PSDec" xfId="184"/>
    <cellStyle name="PSDetail" xfId="185"/>
    <cellStyle name="PSHeading" xfId="186"/>
    <cellStyle name="PSInt" xfId="187"/>
    <cellStyle name="PSSpacer" xfId="188"/>
    <cellStyle name="Ratio" xfId="189"/>
    <cellStyle name="Ratio 2" xfId="190"/>
    <cellStyle name="Ratio_29(d) - Gas extensions -tariffs" xfId="191"/>
    <cellStyle name="Right Date" xfId="192"/>
    <cellStyle name="Right Number" xfId="193"/>
    <cellStyle name="Right Year" xfId="194"/>
    <cellStyle name="SAPError" xfId="195"/>
    <cellStyle name="SAPError 2" xfId="196"/>
    <cellStyle name="SAPKey" xfId="197"/>
    <cellStyle name="SAPKey 2" xfId="198"/>
    <cellStyle name="SAPLocked" xfId="199"/>
    <cellStyle name="SAPLocked 2" xfId="200"/>
    <cellStyle name="SAPOutput" xfId="201"/>
    <cellStyle name="SAPOutput 2" xfId="202"/>
    <cellStyle name="SAPSpace" xfId="203"/>
    <cellStyle name="SAPSpace 2" xfId="204"/>
    <cellStyle name="SAPText" xfId="205"/>
    <cellStyle name="SAPText 2" xfId="206"/>
    <cellStyle name="SAPUnLocked" xfId="207"/>
    <cellStyle name="SAPUnLocked 2" xfId="208"/>
    <cellStyle name="Sheet Title" xfId="209"/>
    <cellStyle name="SheetHeader1" xfId="256"/>
    <cellStyle name="SheetHeader2" xfId="257"/>
    <cellStyle name="SheetHeader3" xfId="258"/>
    <cellStyle name="Style 1" xfId="210"/>
    <cellStyle name="Style 1 2" xfId="211"/>
    <cellStyle name="Style 1_29(d) - Gas extensions -tariffs" xfId="212"/>
    <cellStyle name="Style2" xfId="213"/>
    <cellStyle name="Style3" xfId="214"/>
    <cellStyle name="Style4" xfId="215"/>
    <cellStyle name="Style4 2" xfId="216"/>
    <cellStyle name="Style4_29(d) - Gas extensions -tariffs" xfId="217"/>
    <cellStyle name="Style5" xfId="218"/>
    <cellStyle name="Style5 2" xfId="219"/>
    <cellStyle name="Style5_29(d) - Gas extensions -tariffs" xfId="220"/>
    <cellStyle name="Table Head Green" xfId="221"/>
    <cellStyle name="Table Head_pldt" xfId="222"/>
    <cellStyle name="Table Source" xfId="223"/>
    <cellStyle name="Table Units" xfId="224"/>
    <cellStyle name="Table_Heading" xfId="259"/>
    <cellStyle name="Technical_Input" xfId="260"/>
    <cellStyle name="Text" xfId="225"/>
    <cellStyle name="Text 2" xfId="226"/>
    <cellStyle name="Text 3" xfId="227"/>
    <cellStyle name="Text Head 1" xfId="228"/>
    <cellStyle name="Text Head 2" xfId="229"/>
    <cellStyle name="Text Indent 2" xfId="230"/>
    <cellStyle name="Theirs" xfId="231"/>
    <cellStyle name="Title 2" xfId="232"/>
    <cellStyle name="TOC 1" xfId="233"/>
    <cellStyle name="TOC 2" xfId="234"/>
    <cellStyle name="TOC 3" xfId="235"/>
    <cellStyle name="Total 2" xfId="236"/>
    <cellStyle name="Totals" xfId="261"/>
    <cellStyle name="unit" xfId="262"/>
    <cellStyle name="User_Input" xfId="263"/>
    <cellStyle name="Warning Text 2" xfId="237"/>
    <cellStyle name="year" xfId="238"/>
    <cellStyle name="year 2" xfId="239"/>
    <cellStyle name="year_29(d) - Gas extensions -tariffs" xfId="240"/>
  </cellStyles>
  <dxfs count="11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99"/>
      <color rgb="FFCCFFCC"/>
      <color rgb="FFDAEEF3"/>
      <color rgb="FFC0C0C0"/>
      <color rgb="FF8DB4E2"/>
      <color rgb="FF00B2E4"/>
      <color rgb="FF0060AF"/>
      <color rgb="FFFF000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externalLink" Target="externalLinks/externalLink10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externalLink" Target="externalLinks/externalLink9.xml"/><Relationship Id="rId27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16384</xdr:col>
      <xdr:colOff>66675</xdr:colOff>
      <xdr:row>40</xdr:row>
      <xdr:rowOff>114300</xdr:rowOff>
    </xdr:to>
    <xdr:pic>
      <xdr:nvPicPr>
        <xdr:cNvPr id="2" name="Picture 1" descr="C:\Users\RamanK\AppData\Local\Microsoft\Windows\INetCache\Content.Word\AGN048_Access Arrangement Plan_FA02_Covers_Attachment Cover.png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178" t="3480" r="5027" b="3723"/>
        <a:stretch/>
      </xdr:blipFill>
      <xdr:spPr bwMode="auto">
        <a:xfrm>
          <a:off x="0" y="0"/>
          <a:ext cx="6772275" cy="99060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324970</xdr:colOff>
      <xdr:row>15</xdr:row>
      <xdr:rowOff>22411</xdr:rowOff>
    </xdr:from>
    <xdr:to>
      <xdr:col>10</xdr:col>
      <xdr:colOff>112059</xdr:colOff>
      <xdr:row>27</xdr:row>
      <xdr:rowOff>100853</xdr:rowOff>
    </xdr:to>
    <xdr:sp macro="" textlink="">
      <xdr:nvSpPr>
        <xdr:cNvPr id="3" name="TextBox 2"/>
        <xdr:cNvSpPr txBox="1"/>
      </xdr:nvSpPr>
      <xdr:spPr>
        <a:xfrm>
          <a:off x="934570" y="2879911"/>
          <a:ext cx="5273489" cy="23644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700" b="1">
              <a:solidFill>
                <a:schemeClr val="bg1"/>
              </a:solidFill>
              <a:effectLst/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Revised</a:t>
          </a:r>
          <a:r>
            <a:rPr lang="en-US" sz="2700" b="1" baseline="0">
              <a:solidFill>
                <a:schemeClr val="bg1"/>
              </a:solidFill>
              <a:effectLst/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 </a:t>
          </a:r>
          <a:r>
            <a:rPr lang="en-US" sz="2700" b="1">
              <a:solidFill>
                <a:schemeClr val="bg1"/>
              </a:solidFill>
              <a:effectLst/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Final Plan Attachment 7.4A </a:t>
          </a:r>
          <a:endParaRPr lang="en-AU" sz="2700">
            <a:solidFill>
              <a:schemeClr val="bg1"/>
            </a:solidFill>
            <a:effectLst/>
            <a:latin typeface="Tahoma" panose="020B0604030504040204" pitchFamily="34" charset="0"/>
            <a:ea typeface="Tahoma" panose="020B0604030504040204" pitchFamily="34" charset="0"/>
            <a:cs typeface="Tahoma" panose="020B0604030504040204" pitchFamily="34" charset="0"/>
          </a:endParaRPr>
        </a:p>
        <a:p>
          <a:r>
            <a:rPr lang="en-US" sz="2000">
              <a:solidFill>
                <a:schemeClr val="bg1"/>
              </a:solidFill>
              <a:effectLst/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Operating Expenditure Model</a:t>
          </a:r>
          <a:endParaRPr lang="en-AU" sz="2000">
            <a:solidFill>
              <a:schemeClr val="bg1"/>
            </a:solidFill>
            <a:effectLst/>
            <a:latin typeface="Tahoma" panose="020B0604030504040204" pitchFamily="34" charset="0"/>
            <a:ea typeface="Tahoma" panose="020B0604030504040204" pitchFamily="34" charset="0"/>
            <a:cs typeface="Tahoma" panose="020B0604030504040204" pitchFamily="34" charset="0"/>
          </a:endParaRPr>
        </a:p>
        <a:p>
          <a:r>
            <a:rPr lang="en-US" sz="1200">
              <a:solidFill>
                <a:schemeClr val="bg1"/>
              </a:solidFill>
              <a:effectLst/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August</a:t>
          </a:r>
          <a:r>
            <a:rPr lang="en-US" sz="1200" baseline="0">
              <a:solidFill>
                <a:schemeClr val="bg1"/>
              </a:solidFill>
              <a:effectLst/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 2017</a:t>
          </a:r>
          <a:endParaRPr lang="en-AU" sz="1200">
            <a:solidFill>
              <a:schemeClr val="bg1"/>
            </a:solidFill>
            <a:effectLst/>
            <a:latin typeface="Tahoma" panose="020B0604030504040204" pitchFamily="34" charset="0"/>
            <a:ea typeface="Tahoma" panose="020B0604030504040204" pitchFamily="34" charset="0"/>
            <a:cs typeface="Tahoma" panose="020B0604030504040204" pitchFamily="34" charset="0"/>
          </a:endParaRPr>
        </a:p>
        <a:p>
          <a:r>
            <a:rPr lang="en-US" sz="1200" b="1">
              <a:solidFill>
                <a:schemeClr val="bg1"/>
              </a:solidFill>
              <a:effectLst/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CONFIDENTIAL </a:t>
          </a:r>
          <a:endParaRPr lang="en-AU" sz="1200">
            <a:solidFill>
              <a:schemeClr val="bg1"/>
            </a:solidFill>
            <a:latin typeface="Tahoma" panose="020B0604030504040204" pitchFamily="34" charset="0"/>
            <a:ea typeface="Tahoma" panose="020B0604030504040204" pitchFamily="34" charset="0"/>
            <a:cs typeface="Tahoma" panose="020B0604030504040204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jusli\AppData\Local\Microsoft\Windows\Temporary%20Internet%20Files\Content.Outlook\EKQWP3XN\Analysis\AA15%20-%20JGN%20Opex%20Forecast%20Model%20-%20v18%20-%2010%20Jan%2014%20-%20Reg%20Analysis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ER\Opex%20modelling\Opex%20proposal%20decompositions\JGN%202014\JGN%20opex%20model%20-%20version%203%20-%20decomposed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ilvana%20Alessandro\Misc\AGP%20AA%20capex%20model%20-%202016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BRVPWXFS01\home$\Documents%20and%20Settings\mleco\Local%20Settings\Temporary%20Internet%20Files\OLK25AE\2010%2006%2028%20-%20AA%20-%20Template%20for%20data%20collection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uldrewa\AppData\Local\Microsoft\Windows\Temporary%20Internet%20Files\Content.Outlook\RUEV4R2R\Final%20RIN%20-%20AGN%20SA%20-%20Regulatory%20templates.XLSM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brvpwxfs01\home$\Documents%20and%20Settings\Kjo\Local%20Settings\Temporary%20Internet%20Files\OLK7B3\ARC%20Compliance%20Model%20-%202010-11%20ActewAG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BRVPWXFS01\home$\TRIMDATA\TRIM\TEMP\CONTEXT.2816\AER11%202074%20%20Aurora%202012%20-%20multiple%20issues%20addressed%20%20-%20AER%20regulatory%20proposal%20-%20-%20RIN%20template%20confidential(2)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shley%20Muldrew\SA%20AA\Reset%20RIN\Final%20RIN\Final%20from%20KPMG\Final%20from%20KPMG%20-%20for%20checking\Final%20RIN%20-%20AGN%20SA%20-%20Regulatory%20templates_apa_SPM_Recat_OH%2010%205v3%20-%20for%20KPMG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Library\Regulatory%20Accounts%20-%20Annual%20Reporting%20RINs\Vic%20-%20ALB\RIN%202016\AGN%20Victoria%20%20-%20Appendix%20B%20(Financial%20Template)%20to%20Annual%20Reporting%20RIN%20-%20CY%202016%20(Live%20Links)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Library\Regulatory%20Accounts%20-%20Annual%20Reporting%20RINs\Vic%20-%20ALB\RIN%202016\AGN%20Albury%20-%20Appendix%20B%20(Financial%20Template)%20to%20Annual%20Reporting%20RIN%20-%20CY%202016%20(Live%20Links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Model Diagram"/>
      <sheetName val="Input|Escalators"/>
      <sheetName val="Input|Opex"/>
      <sheetName val="Calc|Opex Forecast"/>
      <sheetName val="Calc|Opex Summary"/>
      <sheetName val="Output|Models"/>
      <sheetName val="Output|Tables"/>
      <sheetName val="Output|Reg Analysis"/>
      <sheetName val="Lookup|Tables"/>
      <sheetName val="Check|Li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12">
          <cell r="G12" t="str">
            <v>$millions</v>
          </cell>
        </row>
      </sheetData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Model Diagram"/>
      <sheetName val="Input|Escalators"/>
      <sheetName val="Input|Opex (view 1)"/>
      <sheetName val="Input|Opex (view 2)"/>
      <sheetName val="Calc|Opex Forecast"/>
      <sheetName val="Calc|Opex Summary (view 1)"/>
      <sheetName val="Calc|Opex Summary (view 2)"/>
      <sheetName val="Output|Models"/>
      <sheetName val="Output|AAI Tables"/>
      <sheetName val="Output|Appendix"/>
      <sheetName val="Output|AA RIN"/>
      <sheetName val="Lookup|Tables"/>
      <sheetName val="Check|List"/>
      <sheetName val="Decomposition"/>
    </sheetNames>
    <sheetDataSet>
      <sheetData sheetId="0" refreshError="1"/>
      <sheetData sheetId="1" refreshError="1"/>
      <sheetData sheetId="2">
        <row r="19">
          <cell r="C19" t="str">
            <v>Real 2010</v>
          </cell>
        </row>
        <row r="25">
          <cell r="C25" t="str">
            <v>Nominal</v>
          </cell>
        </row>
      </sheetData>
      <sheetData sheetId="3">
        <row r="290">
          <cell r="N290">
            <v>147.6128951271748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48">
          <cell r="D48">
            <v>166.3548944081551</v>
          </cell>
        </row>
      </sheetData>
      <sheetData sheetId="10">
        <row r="134">
          <cell r="D134">
            <v>166.35489440815508</v>
          </cell>
        </row>
      </sheetData>
      <sheetData sheetId="11" refreshError="1"/>
      <sheetData sheetId="12">
        <row r="10">
          <cell r="G10" t="str">
            <v>$dollars</v>
          </cell>
        </row>
        <row r="20">
          <cell r="G20" t="str">
            <v>TJ</v>
          </cell>
        </row>
        <row r="23">
          <cell r="G23" t="str">
            <v>kms</v>
          </cell>
        </row>
        <row r="26">
          <cell r="G26" t="str">
            <v>Actual</v>
          </cell>
        </row>
      </sheetData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re Notes for Alex!"/>
      <sheetName val="Capex input"/>
      <sheetName val="AMP-MASTER"/>
      <sheetName val="AMPmasterescalated"/>
      <sheetName val="Submission graphs"/>
      <sheetName val="CPI"/>
      <sheetName val="AER calc sheet"/>
      <sheetName val="AER Cost escalators"/>
      <sheetName val="AERCalculation of routine capex"/>
      <sheetName val="RIN Capex Detailed Info"/>
      <sheetName val="RIN Schedule "/>
    </sheetNames>
    <sheetDataSet>
      <sheetData sheetId="0" refreshError="1"/>
      <sheetData sheetId="1">
        <row r="36">
          <cell r="D36">
            <v>2321.7685900000001</v>
          </cell>
        </row>
        <row r="109">
          <cell r="W109">
            <v>69.828760499999987</v>
          </cell>
        </row>
        <row r="110">
          <cell r="W110">
            <v>1120.3068574999998</v>
          </cell>
        </row>
        <row r="111">
          <cell r="W111">
            <v>901.42250474999969</v>
          </cell>
        </row>
        <row r="112">
          <cell r="W112">
            <v>171.46286099999995</v>
          </cell>
        </row>
        <row r="113">
          <cell r="W113">
            <v>190.51428999999996</v>
          </cell>
        </row>
        <row r="115">
          <cell r="W115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7">
          <cell r="B7">
            <v>4125.0180334167117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sheet"/>
      <sheetName val="1. Classification"/>
      <sheetName val="2. Negotiation"/>
      <sheetName val="3. Control mechanisms"/>
      <sheetName val="4. RAB"/>
      <sheetName val="5. Demand"/>
      <sheetName val="6. Capex"/>
      <sheetName val="7. Opex"/>
      <sheetName val="8a. STPIS Reliability"/>
      <sheetName val="8b. STPIS feeder performance"/>
      <sheetName val="8c. STPIS Customer service"/>
      <sheetName val="8d. STPIS Unplanned outages"/>
      <sheetName val="8e. STPIS Exclusions"/>
      <sheetName val="8f.STPIS daily data"/>
      <sheetName val="9. EBSS"/>
      <sheetName val="10. DMIS - annual report"/>
      <sheetName val="11. Pass through events"/>
      <sheetName val="12. Self insurance"/>
      <sheetName val="13a. ACS - opex and capex"/>
      <sheetName val="13b. ACS - control mechanism "/>
      <sheetName val="14. Financial performance"/>
      <sheetName val="15. Financial position"/>
      <sheetName val="16. Cashflow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Instructions"/>
      <sheetName val="AGN business details"/>
      <sheetName val="1.CPI"/>
      <sheetName val="2.Escalators"/>
      <sheetName val="3 - Capex summary"/>
      <sheetName val="4.Connections market expansn"/>
      <sheetName val="5.Mains augmentation"/>
      <sheetName val="6. Mains replacement"/>
      <sheetName val="7.Telemetry"/>
      <sheetName val="8.Meter replacement"/>
      <sheetName val="9. Regulators"/>
      <sheetName val="10. Other distribution system"/>
      <sheetName val="11. Other non-distribution syst"/>
      <sheetName val="12. IT"/>
      <sheetName val="13. Overheads"/>
      <sheetName val="14. Related party transactions"/>
      <sheetName val="16 - Capex allocation"/>
      <sheetName val="17 - Gross Capex "/>
      <sheetName val="18 - Tax depreciation"/>
      <sheetName val=" 19-Depreciation &amp; asset lives "/>
      <sheetName val="20 - Changes in provisions"/>
      <sheetName val="21 - Indicative bill impacts"/>
      <sheetName val="22 - WACC Inputs"/>
      <sheetName val="23(a) - Opex incl. RPM"/>
      <sheetName val="23(b) - Opex excl. RPM"/>
      <sheetName val="23(c) - Opex rate-of-change"/>
      <sheetName val="24 - Cost category matrix"/>
      <sheetName val="25 - ARS"/>
      <sheetName val="26 - Allocation of total rev"/>
      <sheetName val="27 - Customer numbers"/>
      <sheetName val="28 - Consumption and demand"/>
      <sheetName val="29(a) - Gas extenstions - $"/>
      <sheetName val="29(b) - Gas extenstions cust no"/>
      <sheetName val="29(c) - Gas extensions - demand"/>
      <sheetName val="29(d) - Gas extensions -tariffs"/>
      <sheetName val="30 - Network characteristics"/>
      <sheetName val="31 - Pass throughs"/>
      <sheetName val="7.5 EBSS (AGN)"/>
    </sheetNames>
    <sheetDataSet>
      <sheetData sheetId="0"/>
      <sheetData sheetId="1"/>
      <sheetData sheetId="2">
        <row r="1">
          <cell r="B1" t="str">
            <v>REGULATORY REPORTING STATEMENT</v>
          </cell>
        </row>
        <row r="14">
          <cell r="C14" t="str">
            <v>AGN</v>
          </cell>
        </row>
        <row r="27">
          <cell r="J27" t="str">
            <v>ActewAGL Distribution</v>
          </cell>
          <cell r="K27">
            <v>76670568688</v>
          </cell>
        </row>
        <row r="28">
          <cell r="J28" t="str">
            <v>AGN</v>
          </cell>
          <cell r="K28">
            <v>78551685</v>
          </cell>
        </row>
        <row r="29">
          <cell r="J29" t="str">
            <v>Ausgrid</v>
          </cell>
          <cell r="K29">
            <v>67505337385</v>
          </cell>
        </row>
        <row r="30">
          <cell r="J30" t="str">
            <v>AusNet (D)</v>
          </cell>
          <cell r="K30">
            <v>91064651118</v>
          </cell>
        </row>
        <row r="31">
          <cell r="J31" t="str">
            <v>AusNet (T)</v>
          </cell>
          <cell r="K31">
            <v>78079798173</v>
          </cell>
        </row>
        <row r="32">
          <cell r="J32" t="str">
            <v>Citipower</v>
          </cell>
          <cell r="K32">
            <v>76064651056</v>
          </cell>
        </row>
        <row r="33">
          <cell r="J33" t="str">
            <v>Electranet</v>
          </cell>
          <cell r="K33">
            <v>41094482416</v>
          </cell>
        </row>
        <row r="34">
          <cell r="J34" t="str">
            <v>Endeavour Energy</v>
          </cell>
          <cell r="K34">
            <v>59253130878</v>
          </cell>
        </row>
        <row r="35">
          <cell r="C35" t="str">
            <v>2016-17</v>
          </cell>
          <cell r="D35" t="str">
            <v>2017-18</v>
          </cell>
          <cell r="E35" t="str">
            <v>2018-19</v>
          </cell>
          <cell r="F35" t="str">
            <v>2019-20</v>
          </cell>
          <cell r="G35" t="str">
            <v>2020-21</v>
          </cell>
          <cell r="J35" t="str">
            <v>Energex</v>
          </cell>
          <cell r="K35">
            <v>40078849055</v>
          </cell>
        </row>
        <row r="36">
          <cell r="J36" t="str">
            <v>Ergon Energy</v>
          </cell>
          <cell r="K36">
            <v>50087646062</v>
          </cell>
        </row>
        <row r="37">
          <cell r="J37" t="str">
            <v>Essential Energy</v>
          </cell>
          <cell r="K37">
            <v>37428185226</v>
          </cell>
        </row>
        <row r="38">
          <cell r="C38" t="str">
            <v>2011-12</v>
          </cell>
          <cell r="D38" t="str">
            <v>2012-13</v>
          </cell>
          <cell r="E38" t="str">
            <v>2013-14</v>
          </cell>
          <cell r="F38" t="str">
            <v>2014-15</v>
          </cell>
          <cell r="G38" t="str">
            <v>2015-16</v>
          </cell>
          <cell r="J38" t="str">
            <v>Jemena Electricity</v>
          </cell>
          <cell r="K38">
            <v>82064651083</v>
          </cell>
        </row>
        <row r="39">
          <cell r="J39" t="str">
            <v>Powercor Australia</v>
          </cell>
          <cell r="K39">
            <v>89064651109</v>
          </cell>
        </row>
        <row r="40">
          <cell r="J40" t="str">
            <v>Powerlink</v>
          </cell>
          <cell r="K40">
            <v>82078849233</v>
          </cell>
        </row>
        <row r="41">
          <cell r="C41" t="str">
            <v>2006-07</v>
          </cell>
          <cell r="D41" t="str">
            <v>2007-08</v>
          </cell>
          <cell r="E41" t="str">
            <v>2008-09</v>
          </cell>
          <cell r="F41" t="str">
            <v>2009-10</v>
          </cell>
          <cell r="G41" t="str">
            <v>2010-11</v>
          </cell>
          <cell r="J41" t="str">
            <v>Qld,SA &amp;ACT Gas Reset</v>
          </cell>
          <cell r="K41">
            <v>22222222222</v>
          </cell>
        </row>
        <row r="42">
          <cell r="J42" t="str">
            <v>SA Power Networks</v>
          </cell>
          <cell r="K42">
            <v>13332330749</v>
          </cell>
        </row>
        <row r="43">
          <cell r="J43" t="str">
            <v>TasNetworks (D)</v>
          </cell>
          <cell r="K43">
            <v>24167357299</v>
          </cell>
        </row>
        <row r="44">
          <cell r="J44" t="str">
            <v>TasNetworks (T)</v>
          </cell>
          <cell r="K44">
            <v>24167357299</v>
          </cell>
        </row>
        <row r="45">
          <cell r="J45" t="str">
            <v>TransGrid</v>
          </cell>
          <cell r="K45">
            <v>19622755774</v>
          </cell>
        </row>
        <row r="46">
          <cell r="J46" t="str">
            <v>United Energy</v>
          </cell>
          <cell r="K46">
            <v>70064651029</v>
          </cell>
        </row>
        <row r="47">
          <cell r="J47" t="str">
            <v>Victorian DNSP Backcasting</v>
          </cell>
          <cell r="K47">
            <v>33333333666</v>
          </cell>
        </row>
        <row r="48">
          <cell r="C48" t="str">
            <v>Financial</v>
          </cell>
          <cell r="J48" t="str">
            <v xml:space="preserve">Victorian DNSP Reset </v>
          </cell>
          <cell r="K48">
            <v>33333333333</v>
          </cell>
        </row>
        <row r="49">
          <cell r="C49" t="str">
            <v>Reset</v>
          </cell>
        </row>
        <row r="55">
          <cell r="C55" t="str">
            <v>June 2016</v>
          </cell>
        </row>
        <row r="56">
          <cell r="C56" t="str">
            <v>June 2011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19">
          <cell r="B19" t="str">
            <v>Mains</v>
          </cell>
        </row>
        <row r="20">
          <cell r="B20" t="str">
            <v>Inlets</v>
          </cell>
        </row>
        <row r="21">
          <cell r="B21" t="str">
            <v>Meters</v>
          </cell>
        </row>
        <row r="22">
          <cell r="B22" t="str">
            <v>Telemetry</v>
          </cell>
        </row>
        <row r="23">
          <cell r="B23" t="str">
            <v>IT system</v>
          </cell>
        </row>
        <row r="24">
          <cell r="B24" t="str">
            <v>Other distribution equipment</v>
          </cell>
        </row>
        <row r="25">
          <cell r="B25" t="str">
            <v>Other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Outcomes"/>
      <sheetName val="MAAR"/>
      <sheetName val="Price Limits"/>
      <sheetName val="Trans"/>
      <sheetName val="DUOS (t)"/>
      <sheetName val="TUOS (t)"/>
      <sheetName val="CPT (t)"/>
      <sheetName val="MSR (t)"/>
      <sheetName val="NUOS (t)"/>
      <sheetName val="DUOS (t-1)"/>
      <sheetName val="Q (ct-1) act"/>
      <sheetName val="RE (ct)"/>
      <sheetName val="RE (ct-1)"/>
      <sheetName val="Q (ct-1) adj (ct)"/>
      <sheetName val="Q (ct-1) adj (ct-1)"/>
      <sheetName val="ACS (t)"/>
    </sheetNames>
    <sheetDataSet>
      <sheetData sheetId="0"/>
      <sheetData sheetId="1">
        <row r="2">
          <cell r="B2" t="str">
            <v>ActewAGL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Instructions"/>
      <sheetName val="Definitions"/>
      <sheetName val="Business details (1.1)"/>
      <sheetName val="Operating Inc. RPM (2.1)"/>
      <sheetName val="Maintenance Inc. RPM (2.2)"/>
      <sheetName val="Operating Exc. RPM (2.3)"/>
      <sheetName val="Maintenance Exc. RPM (2.4)"/>
      <sheetName val="Allowance vs actual (2.5)"/>
      <sheetName val="Actual vs forecast (2.6)"/>
      <sheetName val="Provisions (2.7)"/>
      <sheetName val="Scale escalation (2.8)"/>
      <sheetName val="Opex Step Changes (2.9) "/>
      <sheetName val="Opex Reconciliation (2.10)"/>
      <sheetName val="Opex input to PTRM (2.11)"/>
      <sheetName val="Capex - spend (3.1)"/>
      <sheetName val="Capex - past allowances (3.2)"/>
      <sheetName val="Capex - past proposals (3.3)"/>
      <sheetName val="Capex - volumes (3.4)"/>
      <sheetName val="Capex - Inputs (3.5)"/>
      <sheetName val="Capex - RAB Allocation (3.6)"/>
      <sheetName val="Capex - TAB Allocation (3.7)"/>
      <sheetName val="Capex - disposals (3.8)"/>
      <sheetName val="Alt. Control Services (4.1)"/>
      <sheetName val="PL RAB (4.2)"/>
      <sheetName val="PL model Inputs Capex (4.3)"/>
      <sheetName val="PL O&amp;M (4.4)"/>
      <sheetName val="Metering RAB (4.5)"/>
      <sheetName val="Metering capex (4.6)"/>
      <sheetName val="Metering O&amp;M (4.7)"/>
      <sheetName val="Total Opex Inc. RPM (5.1)"/>
      <sheetName val="Total Opex Exc. RPM (5.2)"/>
      <sheetName val="Total Overheads (5.3)"/>
      <sheetName val="Outsourcing (5.4)"/>
      <sheetName val="Input cost escalation (5.5)"/>
      <sheetName val="Tax (5.6)"/>
      <sheetName val="Customers (6.1)"/>
      <sheetName val="Energy consumption (6.2)"/>
      <sheetName val="MD at network level (6.3)"/>
      <sheetName val="MD by connect point (6.4)"/>
      <sheetName val="MD by substation (6.5)"/>
      <sheetName val="MD by feeder (6.6)"/>
      <sheetName val="ACIL Tasman forecasts (6.7)"/>
      <sheetName val="Past Demand Forecasts (6.8)"/>
      <sheetName val="Asset age (6.9)"/>
      <sheetName val="Asset capacity (6.10)"/>
      <sheetName val="Projects (6.11)"/>
      <sheetName val="Contributions (6.12)"/>
      <sheetName val="Prices (6.13)"/>
      <sheetName val="Service standards (6.14)"/>
      <sheetName val="Daily performance data (6.15)"/>
      <sheetName val="Regulatory obligations (7.1)"/>
      <sheetName val="Policies (7.2)"/>
      <sheetName val="Key Assumptions (7.3)"/>
      <sheetName val="Assumptions Regist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26">
          <cell r="AA26" t="str">
            <v>Choose from the list if needed</v>
          </cell>
        </row>
        <row r="27">
          <cell r="AA27" t="str">
            <v>Customer numbers</v>
          </cell>
        </row>
        <row r="28">
          <cell r="AA28" t="str">
            <v>Distribution transformers</v>
          </cell>
        </row>
        <row r="29">
          <cell r="AA29" t="str">
            <v>Zone substation capacity</v>
          </cell>
        </row>
        <row r="30">
          <cell r="AA30" t="str">
            <v>Line length</v>
          </cell>
        </row>
        <row r="31">
          <cell r="AA31" t="str">
            <v>Other 1 (if applicable)</v>
          </cell>
        </row>
        <row r="32">
          <cell r="AA32" t="str">
            <v>Other 2 (if applicable)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Instructions"/>
      <sheetName val="AGN business details"/>
      <sheetName val="1.CPI"/>
      <sheetName val="2.Escalators"/>
      <sheetName val="3 - Capex summary"/>
      <sheetName val="Summary"/>
      <sheetName val="4.Connections market expansn"/>
      <sheetName val="5.Mains augmentation"/>
      <sheetName val="6. Mains replacement"/>
      <sheetName val="7.Telemetry"/>
      <sheetName val="8.Meter replacement"/>
      <sheetName val="9. Regulators"/>
      <sheetName val="10. Other distribution system"/>
      <sheetName val="11. Other non-distribution syst"/>
      <sheetName val="12. IT"/>
      <sheetName val="13. Overheads"/>
      <sheetName val="14. Related party transactions"/>
      <sheetName val="16 - Capex allocation"/>
      <sheetName val="17 - Gross Capex "/>
      <sheetName val="18 - Tax depreciation"/>
      <sheetName val=" 19-Depreciation &amp; asset lives "/>
      <sheetName val="20 - Changes in provisions"/>
      <sheetName val="21 - Indicative bill impacts"/>
      <sheetName val="22 - WACC Inputs"/>
      <sheetName val="23(a) - Opex incl. RPM"/>
      <sheetName val="23(b) - Opex excl. RPM"/>
      <sheetName val="23(c) - Opex rate-of-change"/>
      <sheetName val="24 - Cost category matrix"/>
      <sheetName val="25 - ARS"/>
      <sheetName val="26 - Allocation of total rev"/>
      <sheetName val="27 - Customer numbers"/>
      <sheetName val="28 - Consumption and demand"/>
      <sheetName val="29(a) - Gas extenstions - $"/>
      <sheetName val="29(b) - Gas extenstions cust no"/>
      <sheetName val="29(c) - Gas extensions - demand"/>
      <sheetName val="29(d) - Gas extensions -tariffs"/>
      <sheetName val="30 - Network characteristics"/>
      <sheetName val="31 - Pass throughs"/>
      <sheetName val="7.5 EBSS (AGN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6">
          <cell r="K16">
            <v>9.64E-2</v>
          </cell>
          <cell r="L16">
            <v>9.64E-2</v>
          </cell>
        </row>
      </sheetData>
      <sheetData sheetId="8">
        <row r="29">
          <cell r="N29">
            <v>0.28920000000000001</v>
          </cell>
        </row>
      </sheetData>
      <sheetData sheetId="9">
        <row r="25">
          <cell r="E25" t="str">
            <v>Pressure Increase</v>
          </cell>
        </row>
      </sheetData>
      <sheetData sheetId="10">
        <row r="22">
          <cell r="F22" t="str">
            <v>Direct costs (excl escalation)</v>
          </cell>
        </row>
      </sheetData>
      <sheetData sheetId="11"/>
      <sheetData sheetId="12">
        <row r="22">
          <cell r="O22">
            <v>76.061499999999995</v>
          </cell>
        </row>
      </sheetData>
      <sheetData sheetId="13">
        <row r="23">
          <cell r="E23" t="str">
            <v>General (CP)</v>
          </cell>
        </row>
      </sheetData>
      <sheetData sheetId="14">
        <row r="24">
          <cell r="O24">
            <v>264.96951201075905</v>
          </cell>
        </row>
      </sheetData>
      <sheetData sheetId="15">
        <row r="23">
          <cell r="P23">
            <v>79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Contents"/>
      <sheetName val="1. Income"/>
      <sheetName val="1. Income - Reconciliation"/>
      <sheetName val="2. Capex"/>
      <sheetName val="2.1 Mains"/>
      <sheetName val="2.2 Connections"/>
      <sheetName val="2.3 Meters"/>
      <sheetName val="2.4 Capex overheads"/>
      <sheetName val="3. Opex"/>
      <sheetName val="3. Opex - Reconciliation"/>
      <sheetName val="3.1 ARS"/>
      <sheetName val="4. Provisions"/>
      <sheetName val="5. Cost categories"/>
      <sheetName val="6. Related parties"/>
      <sheetName val="7. Incentives"/>
      <sheetName val="Indexation"/>
      <sheetName val="8. Demand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4">
          <cell r="C34">
            <v>32551.69328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>
        <row r="20">
          <cell r="E20">
            <v>62706.306697050037</v>
          </cell>
        </row>
        <row r="39">
          <cell r="E39">
            <v>1118.0952758804308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Contents"/>
      <sheetName val="1. Income"/>
      <sheetName val="1 Income - Reconciliation"/>
      <sheetName val="2. Capex"/>
      <sheetName val="2.1 Mains"/>
      <sheetName val="2.2 Connections"/>
      <sheetName val="2.3 Meters"/>
      <sheetName val="2.4 Capex overheads"/>
      <sheetName val="3. Opex"/>
      <sheetName val="3. Opex - Reconciliation"/>
      <sheetName val="3.1 ARS"/>
      <sheetName val="4. Provisions"/>
      <sheetName val="5. Cost categories"/>
      <sheetName val="6. Related parties"/>
      <sheetName val="7. Incentives"/>
      <sheetName val="Indexation"/>
      <sheetName val="8. Demand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4">
          <cell r="C34">
            <v>4.5599499999999997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>
        <row r="20">
          <cell r="E20">
            <v>2378.562666170259</v>
          </cell>
        </row>
        <row r="39">
          <cell r="E39">
            <v>27.995680913941523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K53"/>
  <sheetViews>
    <sheetView tabSelected="1" zoomScale="85" zoomScaleNormal="85" workbookViewId="0">
      <selection activeCell="F42" sqref="F42"/>
    </sheetView>
  </sheetViews>
  <sheetFormatPr defaultColWidth="0" defaultRowHeight="15" customHeight="1" zeroHeight="1"/>
  <cols>
    <col min="1" max="11" width="10.6640625" style="200" customWidth="1"/>
    <col min="12" max="16384" width="10.6640625" style="200" hidden="1"/>
  </cols>
  <sheetData>
    <row r="1"/>
    <row r="2"/>
    <row r="3"/>
    <row r="4"/>
    <row r="5"/>
    <row r="6"/>
    <row r="7"/>
    <row r="8"/>
    <row r="9"/>
    <row r="10"/>
    <row r="11"/>
    <row r="12"/>
    <row r="13"/>
    <row r="14"/>
    <row r="15"/>
    <row r="16"/>
    <row r="17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 s="209" customFormat="1"/>
    <row r="42" s="209" customFormat="1"/>
    <row r="43" s="209" customFormat="1"/>
    <row r="44" s="209" customFormat="1"/>
    <row r="45" s="209" customFormat="1"/>
    <row r="46" s="209" customFormat="1"/>
    <row r="47" s="209" customFormat="1"/>
    <row r="48" s="209" customFormat="1"/>
    <row r="49" s="209" customFormat="1"/>
    <row r="50" s="209" customFormat="1"/>
    <row r="51" s="209" customFormat="1"/>
    <row r="52" s="209" customFormat="1"/>
    <row r="53" hidden="1"/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G23"/>
  <sheetViews>
    <sheetView workbookViewId="0">
      <selection activeCell="A33" sqref="A33"/>
    </sheetView>
  </sheetViews>
  <sheetFormatPr defaultRowHeight="15"/>
  <cols>
    <col min="1" max="1" width="36.6640625" style="200" customWidth="1"/>
    <col min="2" max="2" width="21.83203125" style="200" customWidth="1"/>
    <col min="3" max="3" width="76.6640625" style="200" customWidth="1"/>
    <col min="4" max="4" width="38.6640625" style="200" customWidth="1"/>
    <col min="5" max="5" width="9.33203125" style="200"/>
    <col min="6" max="6" width="27.33203125" style="200" customWidth="1"/>
    <col min="7" max="7" width="71.6640625" style="200" customWidth="1"/>
    <col min="8" max="16384" width="9.33203125" style="200"/>
  </cols>
  <sheetData>
    <row r="1" spans="1:7">
      <c r="A1" s="197" t="s">
        <v>155</v>
      </c>
      <c r="B1" s="198" t="s">
        <v>156</v>
      </c>
      <c r="C1" s="199" t="s">
        <v>157</v>
      </c>
      <c r="D1" s="198" t="s">
        <v>158</v>
      </c>
    </row>
    <row r="2" spans="1:7">
      <c r="A2" s="201" t="s">
        <v>162</v>
      </c>
      <c r="B2" s="202" t="s">
        <v>161</v>
      </c>
      <c r="C2" s="203" t="s">
        <v>163</v>
      </c>
      <c r="D2" s="202" t="s">
        <v>159</v>
      </c>
      <c r="F2" s="200" t="s">
        <v>160</v>
      </c>
      <c r="G2" s="207" t="s">
        <v>164</v>
      </c>
    </row>
    <row r="3" spans="1:7">
      <c r="A3" s="201" t="s">
        <v>167</v>
      </c>
      <c r="B3" s="202" t="s">
        <v>166</v>
      </c>
      <c r="C3" s="203" t="s">
        <v>165</v>
      </c>
      <c r="D3" s="202" t="s">
        <v>159</v>
      </c>
    </row>
    <row r="4" spans="1:7">
      <c r="A4" s="204"/>
      <c r="B4" s="202"/>
      <c r="C4" s="203"/>
      <c r="D4" s="202"/>
    </row>
    <row r="5" spans="1:7">
      <c r="A5" s="204"/>
      <c r="B5" s="202"/>
      <c r="C5" s="205"/>
      <c r="D5" s="202"/>
    </row>
    <row r="6" spans="1:7">
      <c r="A6" s="204"/>
      <c r="B6" s="202"/>
      <c r="C6" s="205"/>
      <c r="D6" s="202"/>
    </row>
    <row r="7" spans="1:7">
      <c r="A7" s="204"/>
      <c r="B7" s="202"/>
      <c r="C7" s="205"/>
      <c r="D7" s="202"/>
    </row>
    <row r="8" spans="1:7">
      <c r="A8" s="204"/>
      <c r="B8" s="202"/>
      <c r="C8" s="205"/>
      <c r="D8" s="202"/>
    </row>
    <row r="9" spans="1:7">
      <c r="A9" s="206"/>
      <c r="B9" s="202"/>
      <c r="C9" s="205"/>
      <c r="D9" s="202"/>
    </row>
    <row r="10" spans="1:7">
      <c r="A10" s="201"/>
      <c r="B10" s="202"/>
      <c r="C10" s="205"/>
      <c r="D10" s="202"/>
    </row>
    <row r="11" spans="1:7">
      <c r="A11" s="201"/>
      <c r="B11" s="202"/>
      <c r="C11" s="205"/>
      <c r="D11" s="202"/>
    </row>
    <row r="12" spans="1:7">
      <c r="A12" s="201"/>
      <c r="B12" s="202"/>
      <c r="C12" s="205"/>
      <c r="D12" s="202"/>
    </row>
    <row r="13" spans="1:7">
      <c r="A13" s="201"/>
      <c r="B13" s="202"/>
      <c r="C13" s="205"/>
      <c r="D13" s="202"/>
    </row>
    <row r="14" spans="1:7">
      <c r="A14" s="201"/>
      <c r="B14" s="202"/>
      <c r="C14" s="205"/>
      <c r="D14" s="202"/>
    </row>
    <row r="15" spans="1:7">
      <c r="A15" s="201"/>
      <c r="B15" s="202"/>
      <c r="C15" s="205"/>
      <c r="D15" s="202"/>
    </row>
    <row r="16" spans="1:7">
      <c r="A16" s="201"/>
      <c r="B16" s="202"/>
      <c r="C16" s="205"/>
      <c r="D16" s="202"/>
    </row>
    <row r="17" spans="1:4">
      <c r="A17" s="201"/>
      <c r="B17" s="202"/>
      <c r="C17" s="205"/>
      <c r="D17" s="202"/>
    </row>
    <row r="18" spans="1:4">
      <c r="A18" s="204"/>
      <c r="B18" s="202"/>
      <c r="C18" s="205"/>
      <c r="D18" s="202"/>
    </row>
    <row r="19" spans="1:4">
      <c r="A19" s="204"/>
      <c r="B19" s="202"/>
      <c r="C19" s="205"/>
      <c r="D19" s="202"/>
    </row>
    <row r="20" spans="1:4">
      <c r="A20" s="204"/>
      <c r="B20" s="202"/>
      <c r="C20" s="205"/>
      <c r="D20" s="202"/>
    </row>
    <row r="21" spans="1:4">
      <c r="A21" s="204"/>
      <c r="B21" s="202"/>
      <c r="C21" s="205"/>
      <c r="D21" s="202"/>
    </row>
    <row r="22" spans="1:4">
      <c r="A22" s="204"/>
      <c r="B22" s="202"/>
      <c r="C22" s="205"/>
      <c r="D22" s="202"/>
    </row>
    <row r="23" spans="1:4">
      <c r="A23" s="204"/>
      <c r="B23" s="202"/>
      <c r="C23" s="205"/>
      <c r="D23" s="20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1"/>
  </sheetPr>
  <dimension ref="A1:AU34"/>
  <sheetViews>
    <sheetView showGridLines="0" workbookViewId="0"/>
  </sheetViews>
  <sheetFormatPr defaultColWidth="0" defaultRowHeight="11.25" zeroHeight="1"/>
  <cols>
    <col min="1" max="2" width="1.5" style="8" customWidth="1"/>
    <col min="3" max="3" width="30.83203125" style="8" customWidth="1"/>
    <col min="4" max="4" width="189.6640625" style="8" bestFit="1" customWidth="1"/>
    <col min="5" max="5" width="6.5" style="8" customWidth="1"/>
    <col min="6" max="6" width="9.33203125" style="8" hidden="1" customWidth="1"/>
    <col min="7" max="14" width="9.83203125" style="8" hidden="1" customWidth="1"/>
    <col min="15" max="15" width="1.5" style="8" hidden="1" customWidth="1"/>
    <col min="16" max="16" width="10.5" style="8" hidden="1" customWidth="1"/>
    <col min="17" max="17" width="1.5" style="8" hidden="1" customWidth="1"/>
    <col min="18" max="16384" width="10.5" style="8" hidden="1"/>
  </cols>
  <sheetData>
    <row r="1" spans="1:47" s="1" customFormat="1" ht="15.75" customHeight="1">
      <c r="A1" s="38"/>
      <c r="B1" s="35" t="s">
        <v>108</v>
      </c>
      <c r="C1" s="35"/>
      <c r="D1" s="38"/>
      <c r="E1" s="38"/>
      <c r="G1" s="2"/>
      <c r="H1" s="3"/>
      <c r="I1" s="4"/>
    </row>
    <row r="2" spans="1:47" s="5" customFormat="1" ht="13.5" customHeight="1" thickBot="1">
      <c r="A2" s="42"/>
      <c r="B2" s="41" t="s">
        <v>42</v>
      </c>
      <c r="C2" s="41"/>
      <c r="D2" s="42"/>
      <c r="E2" s="42"/>
    </row>
    <row r="3" spans="1:47" s="6" customFormat="1" ht="3" customHeight="1"/>
    <row r="4" spans="1:47" customFormat="1" ht="12.75">
      <c r="A4" s="43"/>
      <c r="B4" s="51" t="s">
        <v>71</v>
      </c>
      <c r="C4" s="43"/>
      <c r="D4" s="43"/>
      <c r="E4" s="43"/>
      <c r="F4" s="44"/>
      <c r="G4" s="44"/>
      <c r="H4" s="44"/>
      <c r="I4" s="44"/>
      <c r="J4" s="45"/>
      <c r="K4" s="46"/>
      <c r="L4" s="45"/>
      <c r="M4" s="46"/>
      <c r="N4" s="45"/>
      <c r="O4" s="45"/>
      <c r="P4" s="45"/>
      <c r="Q4" s="45"/>
      <c r="R4" s="45"/>
      <c r="S4" s="45"/>
      <c r="T4" s="45"/>
      <c r="U4" s="45"/>
      <c r="V4" s="46"/>
      <c r="W4" s="46"/>
      <c r="X4" s="47"/>
      <c r="Y4" s="47"/>
      <c r="Z4" s="47"/>
      <c r="AA4" s="47"/>
      <c r="AB4" s="48"/>
      <c r="AC4" s="49"/>
      <c r="AD4" s="49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  <c r="AT4" s="50"/>
      <c r="AU4" s="50"/>
    </row>
    <row r="5" spans="1:47"/>
    <row r="6" spans="1:47">
      <c r="C6" s="9" t="s">
        <v>0</v>
      </c>
      <c r="D6" s="9" t="s">
        <v>1</v>
      </c>
    </row>
    <row r="7" spans="1:47">
      <c r="C7" s="19" t="s">
        <v>69</v>
      </c>
      <c r="D7" s="7" t="s">
        <v>70</v>
      </c>
    </row>
    <row r="8" spans="1:47">
      <c r="C8" s="19" t="s">
        <v>35</v>
      </c>
      <c r="D8" s="7" t="s">
        <v>110</v>
      </c>
    </row>
    <row r="9" spans="1:47">
      <c r="C9" s="19" t="s">
        <v>64</v>
      </c>
      <c r="D9" s="7" t="s">
        <v>65</v>
      </c>
    </row>
    <row r="10" spans="1:47">
      <c r="C10" s="19" t="s">
        <v>63</v>
      </c>
      <c r="D10" s="7" t="s">
        <v>52</v>
      </c>
    </row>
    <row r="11" spans="1:47">
      <c r="C11" s="19" t="s">
        <v>68</v>
      </c>
      <c r="D11" s="7" t="s">
        <v>53</v>
      </c>
    </row>
    <row r="12" spans="1:47">
      <c r="C12" s="19" t="s">
        <v>58</v>
      </c>
      <c r="D12" s="7" t="s">
        <v>54</v>
      </c>
    </row>
    <row r="13" spans="1:47">
      <c r="C13" s="19" t="s">
        <v>57</v>
      </c>
      <c r="D13" s="7" t="s">
        <v>66</v>
      </c>
    </row>
    <row r="14" spans="1:47">
      <c r="C14" s="19" t="s">
        <v>56</v>
      </c>
      <c r="D14" s="7" t="s">
        <v>67</v>
      </c>
    </row>
    <row r="15" spans="1:47">
      <c r="C15" s="19" t="s">
        <v>25</v>
      </c>
      <c r="D15" s="7" t="s">
        <v>55</v>
      </c>
    </row>
    <row r="16" spans="1:47" ht="12.75">
      <c r="C16" s="10"/>
      <c r="D16" s="7"/>
    </row>
    <row r="17" spans="1:47" customFormat="1" ht="12.75">
      <c r="A17" s="43"/>
      <c r="B17" s="51" t="s">
        <v>21</v>
      </c>
      <c r="C17" s="43"/>
      <c r="D17" s="43"/>
      <c r="E17" s="43"/>
      <c r="F17" s="44"/>
      <c r="G17" s="44"/>
      <c r="H17" s="44"/>
      <c r="I17" s="44"/>
      <c r="J17" s="45"/>
      <c r="K17" s="46"/>
      <c r="L17" s="45"/>
      <c r="M17" s="46"/>
      <c r="N17" s="45"/>
      <c r="O17" s="45"/>
      <c r="P17" s="45"/>
      <c r="Q17" s="45"/>
      <c r="R17" s="45"/>
      <c r="S17" s="45"/>
      <c r="T17" s="45"/>
      <c r="U17" s="45"/>
      <c r="V17" s="46"/>
      <c r="W17" s="46"/>
      <c r="X17" s="47"/>
      <c r="Y17" s="47"/>
      <c r="Z17" s="47"/>
      <c r="AA17" s="47"/>
      <c r="AB17" s="48"/>
      <c r="AC17" s="49"/>
      <c r="AD17" s="49"/>
      <c r="AE17" s="50"/>
      <c r="AF17" s="50"/>
      <c r="AG17" s="50"/>
      <c r="AH17" s="50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50"/>
      <c r="AT17" s="50"/>
      <c r="AU17" s="50"/>
    </row>
    <row r="18" spans="1:47" hidden="1">
      <c r="D18" s="7"/>
      <c r="F18" s="25"/>
    </row>
    <row r="19" spans="1:47" hidden="1">
      <c r="D19" s="7"/>
      <c r="F19" s="25"/>
    </row>
    <row r="20" spans="1:47" hidden="1">
      <c r="D20" s="7"/>
      <c r="F20" s="25"/>
    </row>
    <row r="21" spans="1:47" hidden="1">
      <c r="D21" s="7"/>
      <c r="F21" s="25"/>
    </row>
    <row r="22" spans="1:47" hidden="1">
      <c r="D22" s="7"/>
      <c r="F22" s="25"/>
    </row>
    <row r="23" spans="1:47" hidden="1">
      <c r="C23" s="7"/>
      <c r="D23" s="7"/>
      <c r="F23" s="25"/>
    </row>
    <row r="24" spans="1:47" hidden="1">
      <c r="C24" s="7"/>
      <c r="D24" s="7"/>
      <c r="F24" s="25"/>
    </row>
    <row r="25" spans="1:47" hidden="1">
      <c r="C25" s="7"/>
      <c r="D25" s="7"/>
    </row>
    <row r="26" spans="1:47" hidden="1">
      <c r="D26" s="7"/>
    </row>
    <row r="27" spans="1:47" hidden="1">
      <c r="D27" s="7"/>
    </row>
    <row r="28" spans="1:47" hidden="1">
      <c r="D28" s="7"/>
    </row>
    <row r="29" spans="1:47" hidden="1">
      <c r="D29" s="7"/>
    </row>
    <row r="30" spans="1:47" hidden="1">
      <c r="D30" s="7"/>
    </row>
    <row r="31" spans="1:47" ht="12.75" hidden="1">
      <c r="C31" s="10"/>
      <c r="D31" s="7"/>
    </row>
    <row r="32" spans="1:47" hidden="1"/>
    <row r="33" hidden="1"/>
    <row r="34" hidden="1"/>
  </sheetData>
  <hyperlinks>
    <hyperlink ref="C12" location="'Calc|Opex Forecast'!A1" display="Calc | Opex Forecast"/>
    <hyperlink ref="C13" location="'Output|Models'!A1" display="Output | Models"/>
    <hyperlink ref="C14" location="'Lookup|Tables'!A1" display="Lookup | Tables"/>
    <hyperlink ref="C15" location="'Check|List'!A1" display="Check | List"/>
    <hyperlink ref="C7" location="'Input|General'!A1" display="Input | General"/>
    <hyperlink ref="C9" location="'Input|Reported opex'!A1" display="Input | Reported opex"/>
    <hyperlink ref="C10" location="'Input|Rate of change'!A1" display="Input | Rate of change"/>
    <hyperlink ref="C11" location="'Input|Step changes'!A1" display="Input | Step changes"/>
    <hyperlink ref="C8" location="'Input|Inflation'!A1" display="Input | Inflation"/>
  </hyperlinks>
  <pageMargins left="0.7" right="0.7" top="0.75" bottom="0.75" header="0.3" footer="0.3"/>
  <pageSetup paperSize="9" orientation="portrait" verticalDpi="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99"/>
  </sheetPr>
  <dimension ref="A1:AU24"/>
  <sheetViews>
    <sheetView showGridLines="0" workbookViewId="0">
      <selection activeCell="C13" sqref="C13"/>
    </sheetView>
  </sheetViews>
  <sheetFormatPr defaultColWidth="0" defaultRowHeight="11.25" zeroHeight="1"/>
  <cols>
    <col min="1" max="2" width="1.5" style="29" customWidth="1"/>
    <col min="3" max="3" width="42" style="29" customWidth="1"/>
    <col min="4" max="4" width="27.6640625" style="30" customWidth="1"/>
    <col min="5" max="5" width="15.83203125" style="30" customWidth="1"/>
    <col min="6" max="6" width="10.6640625" style="30" customWidth="1"/>
    <col min="7" max="7" width="16.1640625" style="30" bestFit="1" customWidth="1"/>
    <col min="8" max="9" width="3.33203125" style="30" customWidth="1"/>
    <col min="10" max="23" width="10.83203125" style="29" customWidth="1"/>
    <col min="24" max="38" width="10.5" style="29" hidden="1" customWidth="1"/>
    <col min="39" max="16384" width="10.5" style="29" hidden="1"/>
  </cols>
  <sheetData>
    <row r="1" spans="1:47" s="73" customFormat="1" ht="15.75">
      <c r="B1" s="74" t="str">
        <f>Index!$B$1</f>
        <v>AER opex model</v>
      </c>
      <c r="C1" s="74"/>
      <c r="D1" s="74"/>
      <c r="E1" s="74"/>
      <c r="F1" s="75"/>
      <c r="G1" s="75"/>
      <c r="H1" s="75"/>
      <c r="I1" s="75"/>
      <c r="J1" s="37" t="s">
        <v>2</v>
      </c>
      <c r="L1" s="76" t="s">
        <v>3</v>
      </c>
      <c r="M1" s="77" t="s">
        <v>4</v>
      </c>
      <c r="N1" s="78" t="s">
        <v>5</v>
      </c>
      <c r="O1" s="79" t="s">
        <v>6</v>
      </c>
      <c r="R1" s="76" t="s">
        <v>92</v>
      </c>
      <c r="S1" s="80" t="str">
        <f>IF(COUNTA($S$5:$S$13)=COUNTIF($S5:$S14,"OK"),"OK","Check")</f>
        <v>OK</v>
      </c>
      <c r="U1" s="183" t="s">
        <v>24</v>
      </c>
      <c r="V1" s="80" t="str">
        <f>'Check|List'!$S$1</f>
        <v>Ok</v>
      </c>
    </row>
    <row r="2" spans="1:47" s="81" customFormat="1" ht="13.5" thickBot="1">
      <c r="B2" s="82" t="str">
        <f>Index!$C$7</f>
        <v>Input | General</v>
      </c>
      <c r="C2" s="82"/>
      <c r="D2" s="82"/>
      <c r="E2" s="82"/>
      <c r="F2" s="83"/>
      <c r="G2" s="83"/>
      <c r="H2" s="83"/>
      <c r="I2" s="83"/>
    </row>
    <row r="3" spans="1:47" s="27" customFormat="1" ht="3" customHeight="1">
      <c r="D3" s="28"/>
      <c r="E3" s="28"/>
      <c r="F3" s="28"/>
      <c r="G3" s="28"/>
      <c r="H3" s="28"/>
      <c r="I3" s="28"/>
    </row>
    <row r="4" spans="1:47" s="108" customFormat="1" ht="12.75">
      <c r="A4" s="99"/>
      <c r="B4" s="100" t="s">
        <v>106</v>
      </c>
      <c r="C4" s="99"/>
      <c r="D4" s="99"/>
      <c r="E4" s="99"/>
      <c r="F4" s="101"/>
      <c r="G4" s="101"/>
      <c r="H4" s="101"/>
      <c r="I4" s="101"/>
      <c r="J4" s="102"/>
      <c r="K4" s="103"/>
      <c r="L4" s="102"/>
      <c r="M4" s="103"/>
      <c r="N4" s="102"/>
      <c r="O4" s="102"/>
      <c r="P4" s="102"/>
      <c r="Q4" s="102"/>
      <c r="R4" s="102"/>
      <c r="S4" s="102"/>
      <c r="T4" s="102"/>
      <c r="U4" s="102"/>
      <c r="V4" s="103"/>
      <c r="W4" s="103"/>
      <c r="X4" s="104"/>
      <c r="Y4" s="104"/>
      <c r="Z4" s="104"/>
      <c r="AA4" s="104"/>
      <c r="AB4" s="105"/>
      <c r="AC4" s="106"/>
      <c r="AD4" s="106"/>
      <c r="AE4" s="107"/>
      <c r="AF4" s="107"/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  <c r="AS4" s="107"/>
      <c r="AT4" s="107"/>
      <c r="AU4" s="107"/>
    </row>
    <row r="5" spans="1:47"/>
    <row r="6" spans="1:47">
      <c r="C6" s="31" t="s">
        <v>107</v>
      </c>
      <c r="D6" s="32" t="s">
        <v>7</v>
      </c>
      <c r="E6" s="32"/>
      <c r="F6" s="33"/>
      <c r="G6" s="33" t="s">
        <v>77</v>
      </c>
      <c r="H6" s="33"/>
      <c r="I6" s="29"/>
    </row>
    <row r="7" spans="1:47">
      <c r="C7" s="29" t="s">
        <v>72</v>
      </c>
      <c r="D7" s="30" t="s">
        <v>78</v>
      </c>
      <c r="E7" s="29"/>
      <c r="F7" s="29"/>
      <c r="G7" s="52" t="s">
        <v>142</v>
      </c>
      <c r="H7" s="29"/>
      <c r="I7" s="29"/>
      <c r="S7" s="140" t="str">
        <f>IF(COUNTBLANK($G7),"Check","Ok")</f>
        <v>Ok</v>
      </c>
    </row>
    <row r="8" spans="1:47">
      <c r="C8" s="29" t="s">
        <v>73</v>
      </c>
      <c r="D8" s="30" t="s">
        <v>78</v>
      </c>
      <c r="E8" s="29"/>
      <c r="F8" s="29"/>
      <c r="G8" s="170">
        <v>2013</v>
      </c>
      <c r="H8" s="29"/>
      <c r="I8" s="29"/>
      <c r="S8" s="140" t="str">
        <f t="shared" ref="S8:S12" si="0">IF(COUNTBLANK($G8),"Check","Ok")</f>
        <v>Ok</v>
      </c>
    </row>
    <row r="9" spans="1:47">
      <c r="C9" s="29" t="s">
        <v>81</v>
      </c>
      <c r="D9" s="30" t="s">
        <v>78</v>
      </c>
      <c r="E9" s="29"/>
      <c r="F9" s="29"/>
      <c r="G9" s="170">
        <v>2016</v>
      </c>
      <c r="H9" s="29"/>
      <c r="I9" s="29"/>
      <c r="S9" s="140" t="str">
        <f t="shared" si="0"/>
        <v>Ok</v>
      </c>
    </row>
    <row r="10" spans="1:47">
      <c r="C10" s="29" t="s">
        <v>74</v>
      </c>
      <c r="D10" s="30" t="s">
        <v>78</v>
      </c>
      <c r="E10" s="29"/>
      <c r="F10" s="29"/>
      <c r="G10" s="170">
        <v>2017</v>
      </c>
      <c r="H10" s="29"/>
      <c r="I10" s="29"/>
      <c r="S10" s="140" t="str">
        <f t="shared" si="0"/>
        <v>Ok</v>
      </c>
    </row>
    <row r="11" spans="1:47">
      <c r="C11" s="29" t="s">
        <v>75</v>
      </c>
      <c r="D11" s="30" t="s">
        <v>78</v>
      </c>
      <c r="E11" s="29"/>
      <c r="F11" s="29"/>
      <c r="G11" s="170">
        <v>2018</v>
      </c>
      <c r="H11" s="29"/>
      <c r="I11" s="29"/>
      <c r="S11" s="140" t="str">
        <f t="shared" si="0"/>
        <v>Ok</v>
      </c>
    </row>
    <row r="12" spans="1:47">
      <c r="C12" s="29" t="s">
        <v>76</v>
      </c>
      <c r="D12" s="30" t="s">
        <v>78</v>
      </c>
      <c r="E12" s="29"/>
      <c r="F12" s="29"/>
      <c r="G12" s="170">
        <v>2022</v>
      </c>
      <c r="H12" s="29"/>
      <c r="I12" s="29"/>
      <c r="S12" s="140" t="str">
        <f t="shared" si="0"/>
        <v>Ok</v>
      </c>
    </row>
    <row r="13" spans="1:47">
      <c r="D13" s="29"/>
      <c r="E13" s="29"/>
      <c r="F13" s="29"/>
      <c r="G13" s="29"/>
      <c r="H13" s="29"/>
      <c r="I13" s="29"/>
    </row>
    <row r="14" spans="1:47" s="108" customFormat="1" ht="12.75">
      <c r="A14" s="99"/>
      <c r="B14" s="100" t="s">
        <v>21</v>
      </c>
      <c r="C14" s="99"/>
      <c r="D14" s="99"/>
      <c r="E14" s="99"/>
      <c r="F14" s="101"/>
      <c r="G14" s="101"/>
      <c r="H14" s="101"/>
      <c r="I14" s="101"/>
      <c r="J14" s="102"/>
      <c r="K14" s="103"/>
      <c r="L14" s="102"/>
      <c r="M14" s="103"/>
      <c r="N14" s="102"/>
      <c r="O14" s="102"/>
      <c r="P14" s="102"/>
      <c r="Q14" s="102"/>
      <c r="R14" s="102"/>
      <c r="S14" s="102"/>
      <c r="T14" s="102"/>
      <c r="U14" s="102"/>
      <c r="V14" s="103"/>
      <c r="W14" s="103"/>
      <c r="X14" s="104"/>
      <c r="Y14" s="104"/>
      <c r="Z14" s="104"/>
      <c r="AA14" s="104"/>
      <c r="AB14" s="105"/>
      <c r="AC14" s="106"/>
      <c r="AD14" s="106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07"/>
      <c r="AQ14" s="107"/>
      <c r="AR14" s="107"/>
      <c r="AS14" s="107"/>
      <c r="AT14" s="107"/>
      <c r="AU14" s="107"/>
    </row>
    <row r="15" spans="1:47" hidden="1">
      <c r="G15" s="32"/>
      <c r="H15" s="32"/>
    </row>
    <row r="16" spans="1:47" hidden="1">
      <c r="G16" s="32"/>
      <c r="H16" s="32"/>
    </row>
    <row r="17" spans="7:8" hidden="1">
      <c r="G17" s="32"/>
      <c r="H17" s="32"/>
    </row>
    <row r="18" spans="7:8" hidden="1">
      <c r="G18" s="32"/>
      <c r="H18" s="32"/>
    </row>
    <row r="19" spans="7:8" hidden="1">
      <c r="G19" s="32"/>
      <c r="H19" s="32"/>
    </row>
    <row r="20" spans="7:8" hidden="1">
      <c r="G20" s="32"/>
      <c r="H20" s="32"/>
    </row>
    <row r="21" spans="7:8" hidden="1">
      <c r="G21" s="32"/>
      <c r="H21" s="32"/>
    </row>
    <row r="22" spans="7:8" hidden="1">
      <c r="G22" s="32"/>
      <c r="H22" s="32"/>
    </row>
    <row r="23" spans="7:8" hidden="1">
      <c r="G23" s="32"/>
      <c r="H23" s="32"/>
    </row>
    <row r="24" spans="7:8" hidden="1">
      <c r="G24" s="32"/>
      <c r="H24" s="32"/>
    </row>
  </sheetData>
  <conditionalFormatting sqref="W12:W13">
    <cfRule type="cellIs" dxfId="111" priority="13" operator="equal">
      <formula>"Check"</formula>
    </cfRule>
    <cfRule type="cellIs" dxfId="110" priority="14" operator="equal">
      <formula>"Ok"</formula>
    </cfRule>
  </conditionalFormatting>
  <conditionalFormatting sqref="V1">
    <cfRule type="cellIs" dxfId="109" priority="3" operator="equal">
      <formula>"Check"</formula>
    </cfRule>
    <cfRule type="cellIs" dxfId="108" priority="4" operator="equal">
      <formula>"Ok"</formula>
    </cfRule>
  </conditionalFormatting>
  <conditionalFormatting sqref="S7:S12">
    <cfRule type="cellIs" dxfId="107" priority="5" operator="equal">
      <formula>"Check"</formula>
    </cfRule>
    <cfRule type="cellIs" dxfId="106" priority="6" operator="equal">
      <formula>"Ok"</formula>
    </cfRule>
  </conditionalFormatting>
  <conditionalFormatting sqref="S1">
    <cfRule type="cellIs" dxfId="105" priority="1" operator="equal">
      <formula>"Check"</formula>
    </cfRule>
    <cfRule type="cellIs" dxfId="104" priority="2" operator="equal">
      <formula>"Ok"</formula>
    </cfRule>
  </conditionalFormatting>
  <dataValidations count="3">
    <dataValidation type="list" allowBlank="1" showInputMessage="1" showErrorMessage="1" sqref="F10:F11">
      <formula1>#REF!</formula1>
    </dataValidation>
    <dataValidation type="list" allowBlank="1" showInputMessage="1" showErrorMessage="1" sqref="F12:F13">
      <formula1>"Real 2010,Real 2011,Real 2012,Real 2013,Real 2014,Real 2015,Nominal"</formula1>
    </dataValidation>
    <dataValidation type="list" allowBlank="1" showInputMessage="1" showErrorMessage="1" sqref="I10:I13">
      <formula1>#REF!</formula1>
    </dataValidation>
  </dataValidations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'Lookup|Tables'!$G$28:$G$42</xm:f>
          </x14:formula1>
          <xm:sqref>G8:G12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99"/>
  </sheetPr>
  <dimension ref="A1:AU66"/>
  <sheetViews>
    <sheetView showGridLines="0" workbookViewId="0">
      <selection activeCell="G51" sqref="G51"/>
    </sheetView>
  </sheetViews>
  <sheetFormatPr defaultColWidth="0" defaultRowHeight="11.25" customHeight="1" zeroHeight="1"/>
  <cols>
    <col min="1" max="2" width="1.5" style="29" customWidth="1"/>
    <col min="3" max="3" width="11.6640625" style="29" bestFit="1" customWidth="1"/>
    <col min="4" max="4" width="21.5" style="30" bestFit="1" customWidth="1"/>
    <col min="5" max="8" width="15" style="30" customWidth="1"/>
    <col min="9" max="9" width="3.33203125" style="30" customWidth="1"/>
    <col min="10" max="23" width="10.83203125" style="29" customWidth="1"/>
    <col min="24" max="38" width="10.5" style="29" hidden="1" customWidth="1"/>
    <col min="39" max="16384" width="10.5" style="29" hidden="1"/>
  </cols>
  <sheetData>
    <row r="1" spans="1:47" s="73" customFormat="1" ht="15.75">
      <c r="B1" s="74" t="str">
        <f>Index!$B$1</f>
        <v>AER opex model</v>
      </c>
      <c r="C1" s="74"/>
      <c r="D1" s="74"/>
      <c r="E1" s="74"/>
      <c r="F1" s="75"/>
      <c r="G1" s="75"/>
      <c r="H1" s="75"/>
      <c r="I1" s="75"/>
      <c r="J1" s="37" t="s">
        <v>2</v>
      </c>
      <c r="L1" s="76" t="s">
        <v>3</v>
      </c>
      <c r="M1" s="77" t="s">
        <v>4</v>
      </c>
      <c r="N1" s="78" t="s">
        <v>5</v>
      </c>
      <c r="O1" s="79" t="s">
        <v>6</v>
      </c>
      <c r="R1" s="76" t="s">
        <v>92</v>
      </c>
      <c r="S1" s="80" t="str">
        <f>IF(COUNTA($S$5:$S$55)=COUNTIF($S5:$S56,"OK"),"OK","Check")</f>
        <v>OK</v>
      </c>
      <c r="U1" s="183" t="s">
        <v>24</v>
      </c>
      <c r="V1" s="80" t="str">
        <f>'Check|List'!$S$1</f>
        <v>Ok</v>
      </c>
    </row>
    <row r="2" spans="1:47" s="81" customFormat="1" ht="13.5" thickBot="1">
      <c r="B2" s="82" t="str">
        <f>Index!$C$7</f>
        <v>Input | General</v>
      </c>
      <c r="C2" s="82"/>
      <c r="D2" s="82"/>
      <c r="E2" s="82"/>
      <c r="F2" s="83"/>
      <c r="G2" s="83"/>
      <c r="H2" s="83"/>
      <c r="I2" s="83"/>
    </row>
    <row r="3" spans="1:47" s="27" customFormat="1" ht="3" customHeight="1">
      <c r="D3" s="28"/>
      <c r="E3" s="28"/>
      <c r="F3" s="28"/>
      <c r="G3" s="28"/>
      <c r="H3" s="28"/>
      <c r="I3" s="28"/>
    </row>
    <row r="4" spans="1:47" s="108" customFormat="1" ht="12.75">
      <c r="A4" s="99"/>
      <c r="B4" s="100" t="s">
        <v>106</v>
      </c>
      <c r="C4" s="99"/>
      <c r="D4" s="99"/>
      <c r="E4" s="99"/>
      <c r="F4" s="101"/>
      <c r="G4" s="101"/>
      <c r="H4" s="101"/>
      <c r="I4" s="101"/>
      <c r="J4" s="102"/>
      <c r="K4" s="103"/>
      <c r="L4" s="102"/>
      <c r="M4" s="103"/>
      <c r="N4" s="102"/>
      <c r="O4" s="102"/>
      <c r="P4" s="102"/>
      <c r="Q4" s="102"/>
      <c r="R4" s="102"/>
      <c r="S4" s="102"/>
      <c r="T4" s="102"/>
      <c r="U4" s="102"/>
      <c r="V4" s="103"/>
      <c r="W4" s="103"/>
      <c r="X4" s="104"/>
      <c r="Y4" s="104"/>
      <c r="Z4" s="104"/>
      <c r="AA4" s="104"/>
      <c r="AB4" s="105"/>
      <c r="AC4" s="106"/>
      <c r="AD4" s="106"/>
      <c r="AE4" s="107"/>
      <c r="AF4" s="107"/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  <c r="AS4" s="107"/>
      <c r="AT4" s="107"/>
      <c r="AU4" s="107"/>
    </row>
    <row r="5" spans="1:47" ht="11.25" customHeight="1"/>
    <row r="6" spans="1:47" ht="21.75">
      <c r="D6" s="65" t="s">
        <v>111</v>
      </c>
      <c r="E6" s="65" t="s">
        <v>112</v>
      </c>
      <c r="F6" s="65"/>
      <c r="G6" s="65"/>
      <c r="H6" s="29"/>
      <c r="I6" s="29"/>
    </row>
    <row r="7" spans="1:47">
      <c r="C7" s="70" t="s">
        <v>7</v>
      </c>
      <c r="D7" s="69" t="s">
        <v>109</v>
      </c>
      <c r="E7" s="69" t="s">
        <v>109</v>
      </c>
      <c r="F7" s="69"/>
      <c r="G7" s="69"/>
      <c r="H7" s="29"/>
      <c r="I7" s="29"/>
    </row>
    <row r="8" spans="1:47">
      <c r="C8" s="70" t="s">
        <v>8</v>
      </c>
      <c r="D8" s="69" t="s">
        <v>93</v>
      </c>
      <c r="E8" s="69" t="s">
        <v>93</v>
      </c>
      <c r="F8" s="69"/>
      <c r="G8" s="69"/>
      <c r="H8" s="29"/>
      <c r="I8" s="29"/>
    </row>
    <row r="9" spans="1:47">
      <c r="C9" s="67">
        <v>39172</v>
      </c>
      <c r="D9" s="66">
        <v>155.6</v>
      </c>
      <c r="E9" s="29"/>
      <c r="F9" s="29"/>
      <c r="G9" s="29"/>
      <c r="H9" s="29"/>
      <c r="I9" s="29"/>
      <c r="S9" s="140" t="str">
        <f t="shared" ref="S9:S20" si="0">IF(COUNTBLANK($D9),"Check","Ok")</f>
        <v>Ok</v>
      </c>
    </row>
    <row r="10" spans="1:47">
      <c r="C10" s="67">
        <v>39263</v>
      </c>
      <c r="D10" s="66">
        <v>157.5</v>
      </c>
      <c r="E10" s="29"/>
      <c r="F10" s="29"/>
      <c r="G10" s="29"/>
      <c r="H10" s="29"/>
      <c r="I10" s="29"/>
      <c r="S10" s="140" t="str">
        <f t="shared" si="0"/>
        <v>Ok</v>
      </c>
    </row>
    <row r="11" spans="1:47">
      <c r="C11" s="67">
        <v>39355</v>
      </c>
      <c r="D11" s="66">
        <v>158.6</v>
      </c>
      <c r="E11" s="29"/>
      <c r="F11" s="29"/>
      <c r="G11" s="29"/>
      <c r="H11" s="29"/>
      <c r="I11" s="29"/>
      <c r="S11" s="140" t="str">
        <f t="shared" si="0"/>
        <v>Ok</v>
      </c>
    </row>
    <row r="12" spans="1:47">
      <c r="C12" s="67">
        <v>39447</v>
      </c>
      <c r="D12" s="66">
        <v>160.1</v>
      </c>
      <c r="E12" s="29"/>
      <c r="F12" s="68"/>
      <c r="G12" s="29"/>
      <c r="H12" s="29"/>
      <c r="I12" s="29"/>
      <c r="S12" s="140" t="str">
        <f t="shared" si="0"/>
        <v>Ok</v>
      </c>
    </row>
    <row r="13" spans="1:47">
      <c r="C13" s="67">
        <v>39538</v>
      </c>
      <c r="D13" s="66">
        <v>162.19999999999999</v>
      </c>
      <c r="E13" s="29"/>
      <c r="F13" s="68"/>
      <c r="G13" s="29"/>
      <c r="H13" s="29"/>
      <c r="I13" s="29"/>
      <c r="S13" s="140" t="str">
        <f t="shared" si="0"/>
        <v>Ok</v>
      </c>
    </row>
    <row r="14" spans="1:47">
      <c r="C14" s="67">
        <v>39629</v>
      </c>
      <c r="D14" s="66">
        <v>164.6</v>
      </c>
      <c r="E14" s="29"/>
      <c r="F14" s="68"/>
      <c r="G14" s="29"/>
      <c r="H14" s="29"/>
      <c r="I14" s="29"/>
      <c r="S14" s="140" t="str">
        <f t="shared" si="0"/>
        <v>Ok</v>
      </c>
    </row>
    <row r="15" spans="1:47">
      <c r="C15" s="67">
        <v>39721</v>
      </c>
      <c r="D15" s="66">
        <v>166.5</v>
      </c>
      <c r="E15" s="29"/>
      <c r="F15" s="68"/>
      <c r="G15" s="29"/>
      <c r="H15" s="29"/>
      <c r="I15" s="29"/>
      <c r="S15" s="140" t="str">
        <f t="shared" si="0"/>
        <v>Ok</v>
      </c>
    </row>
    <row r="16" spans="1:47">
      <c r="C16" s="67">
        <v>39813</v>
      </c>
      <c r="D16" s="66">
        <v>166</v>
      </c>
      <c r="E16" s="29"/>
      <c r="F16" s="68"/>
      <c r="G16" s="29"/>
      <c r="H16" s="29"/>
      <c r="I16" s="29"/>
      <c r="S16" s="140" t="str">
        <f t="shared" si="0"/>
        <v>Ok</v>
      </c>
    </row>
    <row r="17" spans="3:19">
      <c r="C17" s="67">
        <v>39903</v>
      </c>
      <c r="D17" s="66">
        <v>166.2</v>
      </c>
      <c r="E17" s="29"/>
      <c r="F17" s="68"/>
      <c r="G17" s="29"/>
      <c r="H17" s="29"/>
      <c r="I17" s="29"/>
      <c r="S17" s="140" t="str">
        <f t="shared" si="0"/>
        <v>Ok</v>
      </c>
    </row>
    <row r="18" spans="3:19">
      <c r="C18" s="67">
        <v>39994</v>
      </c>
      <c r="D18" s="66">
        <v>167</v>
      </c>
      <c r="E18" s="29"/>
      <c r="F18" s="68"/>
      <c r="G18" s="29"/>
      <c r="H18" s="29"/>
      <c r="I18" s="29"/>
      <c r="S18" s="140" t="str">
        <f t="shared" si="0"/>
        <v>Ok</v>
      </c>
    </row>
    <row r="19" spans="3:19">
      <c r="C19" s="67">
        <v>40086</v>
      </c>
      <c r="D19" s="66">
        <v>168.6</v>
      </c>
      <c r="E19" s="29"/>
      <c r="F19" s="68"/>
      <c r="G19" s="29"/>
      <c r="H19" s="29"/>
      <c r="I19" s="29"/>
      <c r="S19" s="140" t="str">
        <f t="shared" si="0"/>
        <v>Ok</v>
      </c>
    </row>
    <row r="20" spans="3:19">
      <c r="C20" s="67">
        <v>40178</v>
      </c>
      <c r="D20" s="66">
        <v>169.5</v>
      </c>
      <c r="E20" s="29"/>
      <c r="F20" s="68"/>
      <c r="G20" s="29"/>
      <c r="H20" s="29"/>
      <c r="I20" s="29"/>
      <c r="S20" s="140" t="str">
        <f t="shared" si="0"/>
        <v>Ok</v>
      </c>
    </row>
    <row r="21" spans="3:19">
      <c r="C21" s="67">
        <v>40268</v>
      </c>
      <c r="D21" s="66">
        <v>171</v>
      </c>
      <c r="E21" s="66">
        <v>95.2</v>
      </c>
      <c r="F21" s="68"/>
      <c r="G21" s="68"/>
      <c r="H21" s="29"/>
      <c r="I21" s="29"/>
      <c r="S21" s="140" t="str">
        <f t="shared" ref="S21:S28" si="1">IF(COUNTBLANK($D21:$E21),"Check","Ok")</f>
        <v>Ok</v>
      </c>
    </row>
    <row r="22" spans="3:19">
      <c r="C22" s="67">
        <v>40359</v>
      </c>
      <c r="D22" s="66">
        <v>172.1</v>
      </c>
      <c r="E22" s="66">
        <v>95.8</v>
      </c>
      <c r="F22" s="68"/>
      <c r="G22" s="68"/>
      <c r="H22" s="29"/>
      <c r="I22" s="29"/>
      <c r="S22" s="140" t="str">
        <f t="shared" si="1"/>
        <v>Ok</v>
      </c>
    </row>
    <row r="23" spans="3:19">
      <c r="C23" s="67">
        <v>40451</v>
      </c>
      <c r="D23" s="66">
        <v>173.3</v>
      </c>
      <c r="E23" s="66">
        <v>96.5</v>
      </c>
      <c r="F23" s="68"/>
      <c r="G23" s="68"/>
      <c r="H23" s="29"/>
      <c r="I23" s="29"/>
      <c r="S23" s="140" t="str">
        <f t="shared" si="1"/>
        <v>Ok</v>
      </c>
    </row>
    <row r="24" spans="3:19">
      <c r="C24" s="67">
        <v>40543</v>
      </c>
      <c r="D24" s="66">
        <v>174</v>
      </c>
      <c r="E24" s="66">
        <v>96.9</v>
      </c>
      <c r="F24" s="68"/>
      <c r="G24" s="68"/>
      <c r="H24" s="29"/>
      <c r="I24" s="29"/>
      <c r="S24" s="140" t="str">
        <f t="shared" si="1"/>
        <v>Ok</v>
      </c>
    </row>
    <row r="25" spans="3:19">
      <c r="C25" s="67">
        <v>40633</v>
      </c>
      <c r="D25" s="66">
        <v>176.7</v>
      </c>
      <c r="E25" s="66">
        <v>98.3</v>
      </c>
      <c r="F25" s="68"/>
      <c r="G25" s="68"/>
      <c r="H25" s="29"/>
      <c r="I25" s="29"/>
      <c r="S25" s="140" t="str">
        <f t="shared" si="1"/>
        <v>Ok</v>
      </c>
    </row>
    <row r="26" spans="3:19">
      <c r="C26" s="67">
        <v>40724</v>
      </c>
      <c r="D26" s="66">
        <v>178.3</v>
      </c>
      <c r="E26" s="66">
        <v>99.2</v>
      </c>
      <c r="F26" s="68"/>
      <c r="G26" s="68"/>
      <c r="H26" s="29"/>
      <c r="I26" s="29"/>
      <c r="S26" s="140" t="str">
        <f t="shared" si="1"/>
        <v>Ok</v>
      </c>
    </row>
    <row r="27" spans="3:19">
      <c r="C27" s="67">
        <v>40816</v>
      </c>
      <c r="D27" s="66">
        <v>179.4</v>
      </c>
      <c r="E27" s="66">
        <v>99.8</v>
      </c>
      <c r="F27" s="68"/>
      <c r="G27" s="68"/>
      <c r="H27" s="29"/>
      <c r="I27" s="29"/>
      <c r="S27" s="140" t="str">
        <f t="shared" si="1"/>
        <v>Ok</v>
      </c>
    </row>
    <row r="28" spans="3:19">
      <c r="C28" s="67">
        <v>40908</v>
      </c>
      <c r="D28" s="66">
        <v>179.4</v>
      </c>
      <c r="E28" s="66">
        <v>99.8</v>
      </c>
      <c r="F28" s="68"/>
      <c r="G28" s="68"/>
      <c r="H28" s="29"/>
      <c r="I28" s="29"/>
      <c r="S28" s="140" t="str">
        <f t="shared" si="1"/>
        <v>Ok</v>
      </c>
    </row>
    <row r="29" spans="3:19">
      <c r="C29" s="67">
        <v>40999</v>
      </c>
      <c r="D29" s="66">
        <v>179.5</v>
      </c>
      <c r="E29" s="66">
        <v>99.9</v>
      </c>
      <c r="F29" s="68"/>
      <c r="G29" s="68"/>
      <c r="H29" s="29"/>
      <c r="I29" s="29"/>
      <c r="S29" s="140" t="str">
        <f>IF(COUNTBLANK($E29),"Check","Ok")</f>
        <v>Ok</v>
      </c>
    </row>
    <row r="30" spans="3:19">
      <c r="C30" s="67">
        <v>41090</v>
      </c>
      <c r="D30" s="29"/>
      <c r="E30" s="66">
        <v>100.4</v>
      </c>
      <c r="F30" s="68"/>
      <c r="G30" s="68"/>
      <c r="H30" s="29"/>
      <c r="I30" s="29"/>
      <c r="S30" s="140" t="str">
        <f>IF(COUNTBLANK($E30),"Check","Ok")</f>
        <v>Ok</v>
      </c>
    </row>
    <row r="31" spans="3:19">
      <c r="C31" s="67">
        <v>41182</v>
      </c>
      <c r="D31" s="29"/>
      <c r="E31" s="66">
        <v>101.8</v>
      </c>
      <c r="F31" s="68"/>
      <c r="G31" s="68"/>
      <c r="H31" s="29"/>
      <c r="I31" s="29"/>
      <c r="S31" s="140" t="str">
        <f>IF(COUNTBLANK($E31),"Check","Ok")</f>
        <v>Ok</v>
      </c>
    </row>
    <row r="32" spans="3:19">
      <c r="C32" s="67">
        <v>41274</v>
      </c>
      <c r="D32" s="29"/>
      <c r="E32" s="66">
        <v>102</v>
      </c>
      <c r="F32" s="68"/>
      <c r="G32" s="68"/>
      <c r="H32" s="29"/>
      <c r="I32" s="29"/>
      <c r="S32" s="140" t="str">
        <f>IF(COUNTBLANK($E32),"Check","Ok")</f>
        <v>Ok</v>
      </c>
    </row>
    <row r="33" spans="3:19">
      <c r="C33" s="67">
        <v>41364</v>
      </c>
      <c r="D33" s="29"/>
      <c r="E33" s="66">
        <v>102.4</v>
      </c>
      <c r="F33" s="68"/>
      <c r="G33" s="68"/>
      <c r="H33" s="29"/>
      <c r="I33" s="29"/>
      <c r="S33" s="140" t="str">
        <f t="shared" ref="S33:S54" si="2">IF(COUNTBLANK($E33),"Check","Ok")</f>
        <v>Ok</v>
      </c>
    </row>
    <row r="34" spans="3:19">
      <c r="C34" s="67">
        <v>41455</v>
      </c>
      <c r="D34" s="29"/>
      <c r="E34" s="66">
        <v>102.8</v>
      </c>
      <c r="F34" s="68"/>
      <c r="G34" s="68"/>
      <c r="H34" s="29"/>
      <c r="I34" s="29"/>
      <c r="S34" s="140" t="str">
        <f t="shared" si="2"/>
        <v>Ok</v>
      </c>
    </row>
    <row r="35" spans="3:19">
      <c r="C35" s="67">
        <v>41547</v>
      </c>
      <c r="D35" s="29"/>
      <c r="E35" s="66">
        <v>104</v>
      </c>
      <c r="F35" s="68"/>
      <c r="G35" s="68"/>
      <c r="H35" s="29"/>
      <c r="I35" s="29"/>
      <c r="S35" s="140" t="str">
        <f t="shared" si="2"/>
        <v>Ok</v>
      </c>
    </row>
    <row r="36" spans="3:19">
      <c r="C36" s="67">
        <v>41639</v>
      </c>
      <c r="D36" s="29"/>
      <c r="E36" s="66">
        <v>104.8</v>
      </c>
      <c r="F36" s="68"/>
      <c r="G36" s="68"/>
      <c r="H36" s="29"/>
      <c r="I36" s="29"/>
      <c r="S36" s="140" t="str">
        <f t="shared" si="2"/>
        <v>Ok</v>
      </c>
    </row>
    <row r="37" spans="3:19">
      <c r="C37" s="67">
        <v>41729</v>
      </c>
      <c r="D37" s="29"/>
      <c r="E37" s="66">
        <v>105.4</v>
      </c>
      <c r="F37" s="68"/>
      <c r="G37" s="68"/>
      <c r="H37" s="29"/>
      <c r="I37" s="29"/>
      <c r="S37" s="140" t="str">
        <f t="shared" si="2"/>
        <v>Ok</v>
      </c>
    </row>
    <row r="38" spans="3:19">
      <c r="C38" s="67">
        <v>41820</v>
      </c>
      <c r="D38" s="29"/>
      <c r="E38" s="66">
        <v>105.9</v>
      </c>
      <c r="F38" s="68"/>
      <c r="G38" s="68"/>
      <c r="H38" s="29"/>
      <c r="I38" s="29"/>
      <c r="S38" s="140" t="str">
        <f t="shared" si="2"/>
        <v>Ok</v>
      </c>
    </row>
    <row r="39" spans="3:19">
      <c r="C39" s="67">
        <v>41912</v>
      </c>
      <c r="D39" s="29"/>
      <c r="E39" s="66">
        <v>106.4</v>
      </c>
      <c r="F39" s="68"/>
      <c r="G39" s="68"/>
      <c r="H39" s="29"/>
      <c r="I39" s="29"/>
      <c r="S39" s="140" t="str">
        <f t="shared" si="2"/>
        <v>Ok</v>
      </c>
    </row>
    <row r="40" spans="3:19">
      <c r="C40" s="67">
        <v>42004</v>
      </c>
      <c r="D40" s="29"/>
      <c r="E40" s="66">
        <v>106.6</v>
      </c>
      <c r="F40" s="68"/>
      <c r="G40" s="68"/>
      <c r="H40" s="29"/>
      <c r="I40" s="29"/>
      <c r="S40" s="140" t="str">
        <f t="shared" si="2"/>
        <v>Ok</v>
      </c>
    </row>
    <row r="41" spans="3:19">
      <c r="C41" s="67">
        <v>42094</v>
      </c>
      <c r="D41" s="29"/>
      <c r="E41" s="66">
        <v>106.8</v>
      </c>
      <c r="F41" s="68"/>
      <c r="G41" s="68"/>
      <c r="H41" s="29"/>
      <c r="I41" s="29"/>
      <c r="S41" s="140" t="str">
        <f t="shared" si="2"/>
        <v>Ok</v>
      </c>
    </row>
    <row r="42" spans="3:19">
      <c r="C42" s="67">
        <v>42185</v>
      </c>
      <c r="D42" s="29"/>
      <c r="E42" s="66">
        <v>107.5</v>
      </c>
      <c r="F42" s="68"/>
      <c r="G42" s="68"/>
      <c r="H42" s="29"/>
      <c r="I42" s="29"/>
      <c r="S42" s="140" t="str">
        <f t="shared" si="2"/>
        <v>Ok</v>
      </c>
    </row>
    <row r="43" spans="3:19">
      <c r="C43" s="67">
        <v>42277</v>
      </c>
      <c r="D43" s="29"/>
      <c r="E43" s="66">
        <v>108</v>
      </c>
      <c r="F43" s="68"/>
      <c r="G43" s="68"/>
      <c r="H43" s="29"/>
      <c r="I43" s="29"/>
      <c r="S43" s="140" t="str">
        <f t="shared" si="2"/>
        <v>Ok</v>
      </c>
    </row>
    <row r="44" spans="3:19">
      <c r="C44" s="67">
        <v>42369</v>
      </c>
      <c r="D44" s="29"/>
      <c r="E44" s="66">
        <v>108.4</v>
      </c>
      <c r="F44" s="68"/>
      <c r="G44" s="68"/>
      <c r="H44" s="29"/>
      <c r="I44" s="29"/>
      <c r="S44" s="140" t="str">
        <f t="shared" si="2"/>
        <v>Ok</v>
      </c>
    </row>
    <row r="45" spans="3:19">
      <c r="C45" s="67">
        <v>42460</v>
      </c>
      <c r="D45" s="29"/>
      <c r="E45" s="66">
        <v>108.2</v>
      </c>
      <c r="F45" s="68"/>
      <c r="G45" s="68"/>
      <c r="H45" s="29"/>
      <c r="I45" s="29"/>
      <c r="S45" s="140" t="str">
        <f t="shared" si="2"/>
        <v>Ok</v>
      </c>
    </row>
    <row r="46" spans="3:19">
      <c r="C46" s="67">
        <v>42551</v>
      </c>
      <c r="D46" s="29"/>
      <c r="E46" s="66">
        <v>108.6</v>
      </c>
      <c r="F46" s="167"/>
      <c r="G46" s="68"/>
      <c r="H46" s="29"/>
      <c r="I46" s="29"/>
      <c r="S46" s="140" t="str">
        <f t="shared" si="2"/>
        <v>Ok</v>
      </c>
    </row>
    <row r="47" spans="3:19">
      <c r="C47" s="67">
        <v>42643</v>
      </c>
      <c r="D47" s="29"/>
      <c r="E47" s="66">
        <v>109.4</v>
      </c>
      <c r="F47" s="167"/>
      <c r="G47" s="68"/>
      <c r="H47" s="29"/>
      <c r="I47" s="29"/>
      <c r="S47" s="140" t="str">
        <f t="shared" si="2"/>
        <v>Ok</v>
      </c>
    </row>
    <row r="48" spans="3:19">
      <c r="C48" s="67">
        <v>42735</v>
      </c>
      <c r="D48" s="29"/>
      <c r="E48" s="66">
        <v>110</v>
      </c>
      <c r="F48" s="167"/>
      <c r="G48" s="68"/>
      <c r="H48" s="29"/>
      <c r="I48" s="29"/>
      <c r="S48" s="140" t="str">
        <f t="shared" si="2"/>
        <v>Ok</v>
      </c>
    </row>
    <row r="49" spans="1:47">
      <c r="C49" s="67">
        <v>42825</v>
      </c>
      <c r="D49" s="29"/>
      <c r="E49" s="66">
        <v>110.386</v>
      </c>
      <c r="F49" s="210" t="s">
        <v>143</v>
      </c>
      <c r="G49" s="211"/>
      <c r="H49" s="212"/>
      <c r="I49" s="29"/>
      <c r="S49" s="140" t="str">
        <f t="shared" si="2"/>
        <v>Ok</v>
      </c>
    </row>
    <row r="50" spans="1:47">
      <c r="C50" s="67">
        <v>42916</v>
      </c>
      <c r="D50" s="29"/>
      <c r="E50" s="66">
        <v>110.77199999999999</v>
      </c>
      <c r="F50" s="210" t="s">
        <v>144</v>
      </c>
      <c r="G50" s="211"/>
      <c r="H50" s="212"/>
      <c r="I50" s="29"/>
      <c r="S50" s="140" t="str">
        <f t="shared" si="2"/>
        <v>Ok</v>
      </c>
    </row>
    <row r="51" spans="1:47">
      <c r="C51" s="67">
        <v>43008</v>
      </c>
      <c r="D51" s="29"/>
      <c r="E51" s="66">
        <v>111.48599999999999</v>
      </c>
      <c r="F51" s="210" t="s">
        <v>143</v>
      </c>
      <c r="G51" s="211"/>
      <c r="H51" s="212"/>
      <c r="I51" s="29"/>
      <c r="S51" s="140" t="str">
        <f t="shared" si="2"/>
        <v>Ok</v>
      </c>
    </row>
    <row r="52" spans="1:47">
      <c r="C52" s="67">
        <v>43100</v>
      </c>
      <c r="D52" s="29"/>
      <c r="E52" s="66">
        <v>112.2</v>
      </c>
      <c r="F52" s="210" t="s">
        <v>144</v>
      </c>
      <c r="G52" s="211"/>
      <c r="H52" s="212"/>
      <c r="I52" s="29"/>
      <c r="S52" s="140" t="str">
        <f t="shared" si="2"/>
        <v>Ok</v>
      </c>
    </row>
    <row r="53" spans="1:47">
      <c r="C53" s="67">
        <v>43190</v>
      </c>
      <c r="D53" s="29"/>
      <c r="E53" s="66">
        <v>112.59371999999999</v>
      </c>
      <c r="F53" s="210" t="s">
        <v>143</v>
      </c>
      <c r="G53" s="211"/>
      <c r="H53" s="212"/>
      <c r="I53" s="29"/>
      <c r="S53" s="140" t="str">
        <f t="shared" si="2"/>
        <v>Ok</v>
      </c>
    </row>
    <row r="54" spans="1:47">
      <c r="C54" s="67">
        <v>43281</v>
      </c>
      <c r="D54" s="29"/>
      <c r="E54" s="66">
        <v>112.98743999999999</v>
      </c>
      <c r="F54" s="210" t="s">
        <v>144</v>
      </c>
      <c r="G54" s="211"/>
      <c r="H54" s="212"/>
      <c r="I54" s="29"/>
      <c r="S54" s="140" t="str">
        <f t="shared" si="2"/>
        <v>Ok</v>
      </c>
    </row>
    <row r="55" spans="1:47">
      <c r="E55" s="29"/>
      <c r="F55" s="29"/>
      <c r="G55" s="29"/>
      <c r="H55" s="29"/>
      <c r="I55" s="29"/>
      <c r="S55" s="141"/>
    </row>
    <row r="56" spans="1:47" s="108" customFormat="1" ht="12.75">
      <c r="A56" s="99"/>
      <c r="B56" s="100" t="s">
        <v>21</v>
      </c>
      <c r="C56" s="99"/>
      <c r="D56" s="99"/>
      <c r="E56" s="99"/>
      <c r="F56" s="101"/>
      <c r="G56" s="101"/>
      <c r="H56" s="101"/>
      <c r="I56" s="101"/>
      <c r="J56" s="102"/>
      <c r="K56" s="103"/>
      <c r="L56" s="102"/>
      <c r="M56" s="103"/>
      <c r="N56" s="102"/>
      <c r="O56" s="102"/>
      <c r="P56" s="102"/>
      <c r="Q56" s="102"/>
      <c r="R56" s="102"/>
      <c r="S56" s="102"/>
      <c r="T56" s="102"/>
      <c r="U56" s="102"/>
      <c r="V56" s="103"/>
      <c r="W56" s="103"/>
      <c r="X56" s="104"/>
      <c r="Y56" s="104"/>
      <c r="Z56" s="104"/>
      <c r="AA56" s="104"/>
      <c r="AB56" s="105"/>
      <c r="AC56" s="106"/>
      <c r="AD56" s="106"/>
      <c r="AE56" s="107"/>
      <c r="AF56" s="107"/>
      <c r="AG56" s="107"/>
      <c r="AH56" s="107"/>
      <c r="AI56" s="107"/>
      <c r="AJ56" s="107"/>
      <c r="AK56" s="107"/>
      <c r="AL56" s="107"/>
      <c r="AM56" s="107"/>
      <c r="AN56" s="107"/>
      <c r="AO56" s="107"/>
      <c r="AP56" s="107"/>
      <c r="AQ56" s="107"/>
      <c r="AR56" s="107"/>
      <c r="AS56" s="107"/>
      <c r="AT56" s="107"/>
      <c r="AU56" s="107"/>
    </row>
    <row r="57" spans="1:47" hidden="1">
      <c r="G57" s="32"/>
      <c r="H57" s="32"/>
    </row>
    <row r="58" spans="1:47" hidden="1">
      <c r="G58" s="32"/>
      <c r="H58" s="32"/>
    </row>
    <row r="59" spans="1:47" s="30" customFormat="1" hidden="1">
      <c r="A59" s="29"/>
      <c r="B59" s="29"/>
      <c r="C59" s="29"/>
      <c r="G59" s="32"/>
      <c r="H59" s="32"/>
      <c r="J59" s="29"/>
      <c r="K59" s="29"/>
      <c r="L59" s="29"/>
      <c r="M59" s="29"/>
      <c r="N59" s="29"/>
      <c r="O59" s="29"/>
      <c r="P59" s="29"/>
      <c r="Q59" s="29"/>
      <c r="R59" s="29"/>
      <c r="S59" s="29"/>
      <c r="T59" s="29"/>
      <c r="U59" s="29"/>
      <c r="V59" s="29"/>
      <c r="W59" s="29"/>
      <c r="X59" s="29"/>
      <c r="Y59" s="29"/>
      <c r="Z59" s="29"/>
      <c r="AA59" s="29"/>
      <c r="AB59" s="29"/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  <c r="AT59" s="29"/>
      <c r="AU59" s="29"/>
    </row>
    <row r="60" spans="1:47" s="30" customFormat="1" hidden="1">
      <c r="A60" s="29"/>
      <c r="B60" s="29"/>
      <c r="C60" s="29"/>
      <c r="G60" s="32"/>
      <c r="H60" s="32"/>
      <c r="J60" s="29"/>
      <c r="K60" s="29"/>
      <c r="L60" s="29"/>
      <c r="M60" s="29"/>
      <c r="N60" s="29"/>
      <c r="O60" s="29"/>
      <c r="P60" s="29"/>
      <c r="Q60" s="29"/>
      <c r="R60" s="29"/>
      <c r="S60" s="29"/>
      <c r="T60" s="29"/>
      <c r="U60" s="29"/>
      <c r="V60" s="29"/>
      <c r="W60" s="29"/>
      <c r="X60" s="29"/>
      <c r="Y60" s="29"/>
      <c r="Z60" s="29"/>
      <c r="AA60" s="29"/>
      <c r="AB60" s="29"/>
      <c r="AC60" s="29"/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  <c r="AT60" s="29"/>
      <c r="AU60" s="29"/>
    </row>
    <row r="61" spans="1:47" s="30" customFormat="1" hidden="1">
      <c r="A61" s="29"/>
      <c r="B61" s="29"/>
      <c r="C61" s="29"/>
      <c r="G61" s="32"/>
      <c r="H61" s="32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  <c r="AT61" s="29"/>
      <c r="AU61" s="29"/>
    </row>
    <row r="62" spans="1:47" s="30" customFormat="1" hidden="1">
      <c r="A62" s="29"/>
      <c r="B62" s="29"/>
      <c r="C62" s="29"/>
      <c r="G62" s="32"/>
      <c r="H62" s="32"/>
      <c r="J62" s="29"/>
      <c r="K62" s="29"/>
      <c r="L62" s="29"/>
      <c r="M62" s="29"/>
      <c r="N62" s="29"/>
      <c r="O62" s="29"/>
      <c r="P62" s="29"/>
      <c r="Q62" s="29"/>
      <c r="R62" s="29"/>
      <c r="S62" s="29"/>
      <c r="T62" s="29"/>
      <c r="U62" s="29"/>
      <c r="V62" s="29"/>
      <c r="W62" s="29"/>
      <c r="X62" s="29"/>
      <c r="Y62" s="29"/>
      <c r="Z62" s="29"/>
      <c r="AA62" s="29"/>
      <c r="AB62" s="29"/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  <c r="AT62" s="29"/>
      <c r="AU62" s="29"/>
    </row>
    <row r="63" spans="1:47" s="30" customFormat="1" hidden="1">
      <c r="A63" s="29"/>
      <c r="B63" s="29"/>
      <c r="C63" s="29"/>
      <c r="G63" s="32"/>
      <c r="H63" s="32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  <c r="Z63" s="29"/>
      <c r="AA63" s="29"/>
      <c r="AB63" s="29"/>
      <c r="AC63" s="29"/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  <c r="AT63" s="29"/>
      <c r="AU63" s="29"/>
    </row>
    <row r="64" spans="1:47" s="30" customFormat="1" hidden="1">
      <c r="A64" s="29"/>
      <c r="B64" s="29"/>
      <c r="C64" s="29"/>
      <c r="G64" s="32"/>
      <c r="H64" s="32"/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  <c r="AT64" s="29"/>
      <c r="AU64" s="29"/>
    </row>
    <row r="65" spans="1:47" s="30" customFormat="1" hidden="1">
      <c r="A65" s="29"/>
      <c r="B65" s="29"/>
      <c r="C65" s="29"/>
      <c r="G65" s="32"/>
      <c r="H65" s="32"/>
      <c r="J65" s="29"/>
      <c r="K65" s="29"/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  <c r="AT65" s="29"/>
      <c r="AU65" s="29"/>
    </row>
    <row r="66" spans="1:47" s="30" customFormat="1" hidden="1">
      <c r="A66" s="29"/>
      <c r="B66" s="29"/>
      <c r="C66" s="29"/>
      <c r="G66" s="32"/>
      <c r="H66" s="32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  <c r="AT66" s="29"/>
      <c r="AU66" s="29"/>
    </row>
  </sheetData>
  <conditionalFormatting sqref="W14:W55 S9:S55">
    <cfRule type="cellIs" dxfId="103" priority="7" operator="equal">
      <formula>"Check"</formula>
    </cfRule>
    <cfRule type="cellIs" dxfId="102" priority="8" operator="equal">
      <formula>"Ok"</formula>
    </cfRule>
  </conditionalFormatting>
  <conditionalFormatting sqref="V1">
    <cfRule type="cellIs" dxfId="101" priority="3" operator="equal">
      <formula>"Check"</formula>
    </cfRule>
    <cfRule type="cellIs" dxfId="100" priority="4" operator="equal">
      <formula>"Ok"</formula>
    </cfRule>
  </conditionalFormatting>
  <conditionalFormatting sqref="S1">
    <cfRule type="cellIs" dxfId="99" priority="1" operator="equal">
      <formula>"Check"</formula>
    </cfRule>
    <cfRule type="cellIs" dxfId="98" priority="2" operator="equal">
      <formula>"Ok"</formula>
    </cfRule>
  </conditionalFormatting>
  <dataValidations disablePrompts="1" count="2">
    <dataValidation type="list" allowBlank="1" showInputMessage="1" showErrorMessage="1" sqref="F55">
      <formula1>"Real 2010,Real 2011,Real 2012,Real 2013,Real 2014,Real 2015,Nominal"</formula1>
    </dataValidation>
    <dataValidation type="list" allowBlank="1" showInputMessage="1" showErrorMessage="1" sqref="I12:I55">
      <formula1>#REF!</formula1>
    </dataValidation>
  </dataValidations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W58"/>
  <sheetViews>
    <sheetView workbookViewId="0">
      <selection activeCell="M32" sqref="M32"/>
    </sheetView>
  </sheetViews>
  <sheetFormatPr defaultColWidth="0" defaultRowHeight="11.25" zeroHeight="1"/>
  <cols>
    <col min="1" max="2" width="1.5" customWidth="1"/>
    <col min="3" max="3" width="65" customWidth="1"/>
    <col min="4" max="4" width="27.6640625" customWidth="1"/>
    <col min="5" max="5" width="15.83203125" customWidth="1"/>
    <col min="6" max="6" width="10.6640625" customWidth="1"/>
    <col min="7" max="9" width="3.33203125" customWidth="1"/>
    <col min="10" max="23" width="10.83203125" customWidth="1"/>
    <col min="24" max="16384" width="9.33203125" hidden="1"/>
  </cols>
  <sheetData>
    <row r="1" spans="1:23" ht="15.75">
      <c r="A1" s="73"/>
      <c r="B1" s="74"/>
      <c r="C1" s="74" t="str">
        <f>Index!$B$1</f>
        <v>AER opex model</v>
      </c>
      <c r="D1" s="74"/>
      <c r="E1" s="74"/>
      <c r="F1" s="75"/>
      <c r="G1" s="75"/>
      <c r="H1" s="75"/>
      <c r="I1" s="75"/>
      <c r="J1" s="37" t="s">
        <v>2</v>
      </c>
      <c r="K1" s="73"/>
      <c r="L1" s="76" t="s">
        <v>3</v>
      </c>
      <c r="M1" s="77" t="s">
        <v>4</v>
      </c>
      <c r="N1" s="78" t="s">
        <v>5</v>
      </c>
      <c r="O1" s="79" t="s">
        <v>6</v>
      </c>
      <c r="P1" s="73"/>
      <c r="Q1" s="73"/>
      <c r="R1" s="76" t="s">
        <v>92</v>
      </c>
      <c r="S1" s="80" t="str">
        <f>IF(COUNTA($W$32:$W$251)=COUNTIF($W$32:$W$251,"OK"),"OK","Check")</f>
        <v>OK</v>
      </c>
      <c r="T1" s="73"/>
      <c r="U1" s="183" t="s">
        <v>24</v>
      </c>
      <c r="V1" s="80" t="str">
        <f>'Check|List'!$S$1</f>
        <v>Ok</v>
      </c>
      <c r="W1" s="73"/>
    </row>
    <row r="2" spans="1:23" ht="13.5" thickBot="1">
      <c r="A2" s="81"/>
      <c r="B2" s="82"/>
      <c r="C2" s="82" t="str">
        <f>Index!$C$9</f>
        <v>Input | Reported opex</v>
      </c>
      <c r="D2" s="82"/>
      <c r="E2" s="82"/>
      <c r="F2" s="83"/>
      <c r="G2" s="83"/>
      <c r="H2" s="83"/>
      <c r="I2" s="83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</row>
    <row r="3" spans="1:23">
      <c r="A3" s="142"/>
      <c r="B3" s="142"/>
      <c r="C3" s="143"/>
      <c r="D3" s="144"/>
      <c r="E3" s="144"/>
      <c r="F3" s="144"/>
      <c r="G3" s="144"/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5"/>
      <c r="U3" s="145"/>
      <c r="V3" s="145"/>
      <c r="W3" s="145"/>
    </row>
    <row r="4" spans="1:23">
      <c r="A4" s="88"/>
      <c r="B4" s="88"/>
      <c r="C4" s="88"/>
      <c r="D4" s="89" t="s">
        <v>7</v>
      </c>
      <c r="E4" s="89" t="s">
        <v>8</v>
      </c>
      <c r="F4" s="90" t="s">
        <v>22</v>
      </c>
      <c r="G4" s="91"/>
      <c r="H4" s="91"/>
      <c r="I4" s="91"/>
      <c r="J4" s="152">
        <f>'Input|General'!$G$8</f>
        <v>2013</v>
      </c>
      <c r="K4" s="152">
        <f ca="1">IF(OFFSET('Lookup|Tables'!$G$26:$G$43,MATCH('Input|General'!$G$8,'Lookup|Tables'!$G$26:$G$42,0),0,1,1)&lt;='Input|General'!$G$12,OFFSET('Lookup|Tables'!$G$26:$G$43,MATCH('Input|General'!$G$8,'Lookup|Tables'!$G$26:$G$42,0),0,1,1),"")</f>
        <v>2014</v>
      </c>
      <c r="L4" s="152">
        <f ca="1">IF(OFFSET('Lookup|Tables'!$G$28:$G$43,MATCH('Input|General'!$G$8,'Lookup|Tables'!$G$28:$G$42,0)+1,0,1,1)&lt;='Input|General'!$G$12,OFFSET('Lookup|Tables'!$G$28:$G$43,MATCH('Input|General'!$G$8,'Lookup|Tables'!$G$28:$G$42,0)+1,0,1,1),"")</f>
        <v>2015</v>
      </c>
      <c r="M4" s="152">
        <f ca="1">IF(OFFSET('Lookup|Tables'!$G$28:$G$43,MATCH('Input|General'!$G$8,'Lookup|Tables'!$G$28:$G$42,0)+2,0,1,1)&lt;='Input|General'!$G$12,OFFSET('Lookup|Tables'!$G$28:$G$43,MATCH('Input|General'!$G$8,'Lookup|Tables'!$G$28:$G$42,0)+2,0,1,1),"")</f>
        <v>2016</v>
      </c>
      <c r="N4" s="152">
        <f ca="1">IF(OFFSET('Lookup|Tables'!$G$28:$G$43,MATCH('Input|General'!$G$8,'Lookup|Tables'!$G$28:$G$42,0)+3,0,1,1)&lt;='Input|General'!$G$12,OFFSET('Lookup|Tables'!$G$28:$G$43,MATCH('Input|General'!$G$8,'Lookup|Tables'!$G$28:$G$42,0)+3,0,1,1),"")</f>
        <v>2017</v>
      </c>
      <c r="O4" s="152">
        <f ca="1">IF(OFFSET('Lookup|Tables'!$G$28:$G$43,MATCH('Input|General'!$G$8,'Lookup|Tables'!$G$28:$G$42,0)+4,0,1,1)&lt;='Input|General'!$G$12,OFFSET('Lookup|Tables'!$G$28:$G$43,MATCH('Input|General'!$G$8,'Lookup|Tables'!$G$28:$G$42,0)+4,0,1,1),"")</f>
        <v>2018</v>
      </c>
      <c r="P4" s="152">
        <f ca="1">IF(OFFSET('Lookup|Tables'!$G$28:$G$43,MATCH('Input|General'!$G$8,'Lookup|Tables'!$G$28:$G$42,0)+5,0,1,1)&lt;='Input|General'!$G$12,OFFSET('Lookup|Tables'!$G$28:$G$43,MATCH('Input|General'!$G$8,'Lookup|Tables'!$G$28:$G$42,0)+5,0,1,1),"")</f>
        <v>2019</v>
      </c>
      <c r="Q4" s="152">
        <f ca="1">IF(OFFSET('Lookup|Tables'!$G$28:$G$43,MATCH('Input|General'!$G$8,'Lookup|Tables'!$G$28:$G$42,0)+6,0,1,1)&lt;='Input|General'!$G$12,OFFSET('Lookup|Tables'!$G$28:$G$43,MATCH('Input|General'!$G$8,'Lookup|Tables'!$G$28:$G$42,0)+6,0,1,1),"")</f>
        <v>2020</v>
      </c>
      <c r="R4" s="152">
        <f ca="1">IF(OFFSET('Lookup|Tables'!$G$28:$G$43,MATCH('Input|General'!$G$8,'Lookup|Tables'!$G$28:$G$42,0)+7,0,1,1)&lt;='Input|General'!$G$12,OFFSET('Lookup|Tables'!$G$28:$G$43,MATCH('Input|General'!$G$8,'Lookup|Tables'!$G$28:$G$42,0)+7,0,1,1),"")</f>
        <v>2021</v>
      </c>
      <c r="S4" s="152">
        <f ca="1">IF(OFFSET('Lookup|Tables'!$G$28:$G$43,MATCH('Input|General'!$G$8,'Lookup|Tables'!$G$28:$G$42,0)+8,0,1,1)&lt;='Input|General'!$G$12,OFFSET('Lookup|Tables'!$G$28:$G$43,MATCH('Input|General'!$G$8,'Lookup|Tables'!$G$28:$G$42,0)+8,0,1,1),"")</f>
        <v>2022</v>
      </c>
      <c r="T4" s="92"/>
      <c r="U4" s="92"/>
      <c r="V4" s="93"/>
      <c r="W4" s="93"/>
    </row>
    <row r="5" spans="1:23">
      <c r="A5" s="27"/>
      <c r="B5" s="27"/>
      <c r="C5" s="27"/>
      <c r="D5" s="28"/>
      <c r="E5" s="28"/>
      <c r="F5" s="28"/>
      <c r="G5" s="28"/>
      <c r="H5" s="28"/>
      <c r="I5" s="28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</row>
    <row r="6" spans="1:23">
      <c r="A6" s="27"/>
      <c r="B6" s="27"/>
      <c r="C6" s="27"/>
      <c r="D6" s="28"/>
      <c r="E6" s="28"/>
      <c r="F6" s="28"/>
      <c r="G6" s="28"/>
      <c r="H6" s="28"/>
      <c r="I6" s="28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</row>
    <row r="7" spans="1:23">
      <c r="A7" s="27"/>
      <c r="B7" s="27"/>
      <c r="C7" s="27"/>
      <c r="D7" s="28"/>
      <c r="E7" s="28"/>
      <c r="F7" s="28"/>
      <c r="G7" s="28"/>
      <c r="H7" s="28"/>
      <c r="I7" s="28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</row>
    <row r="8" spans="1:23" ht="12.75">
      <c r="A8" s="99"/>
      <c r="B8" s="100" t="s">
        <v>46</v>
      </c>
      <c r="C8" s="99"/>
      <c r="D8" s="99"/>
      <c r="E8" s="99"/>
      <c r="F8" s="101"/>
      <c r="G8" s="101"/>
      <c r="H8" s="101"/>
      <c r="I8" s="101"/>
      <c r="J8" s="102"/>
      <c r="K8" s="103"/>
      <c r="L8" s="102"/>
      <c r="M8" s="103"/>
      <c r="N8" s="102"/>
      <c r="O8" s="102"/>
      <c r="P8" s="102"/>
      <c r="Q8" s="102"/>
      <c r="R8" s="102"/>
      <c r="S8" s="102"/>
      <c r="T8" s="102"/>
      <c r="U8" s="102"/>
      <c r="V8" s="103"/>
      <c r="W8" s="103"/>
    </row>
    <row r="9" spans="1:23">
      <c r="A9" s="29"/>
      <c r="B9" s="29"/>
      <c r="C9" s="29"/>
      <c r="D9" s="30"/>
      <c r="E9" s="30"/>
      <c r="F9" s="30"/>
      <c r="G9" s="32"/>
      <c r="H9" s="32"/>
      <c r="I9" s="30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</row>
    <row r="10" spans="1:23">
      <c r="A10" s="29"/>
      <c r="B10" s="29"/>
      <c r="C10" s="70" t="s">
        <v>86</v>
      </c>
      <c r="D10" s="32" t="s">
        <v>7</v>
      </c>
      <c r="E10" s="32" t="s">
        <v>8</v>
      </c>
      <c r="F10" s="32" t="s">
        <v>22</v>
      </c>
      <c r="G10" s="32"/>
      <c r="H10" s="32"/>
      <c r="I10" s="30"/>
      <c r="J10" s="173">
        <f>IF(RIGHT(J$4,2)&lt;=RIGHT('Input|General'!$G$10,2),'Input|Reported opex'!J$4,"")</f>
        <v>2013</v>
      </c>
      <c r="K10" s="173">
        <f ca="1">IF(RIGHT(K$4,2)&lt;=RIGHT('Input|General'!$G$10,2),'Input|Reported opex'!K$4,"")</f>
        <v>2014</v>
      </c>
      <c r="L10" s="173">
        <f ca="1">IF(RIGHT(L$4,2)&lt;=RIGHT('Input|General'!$G$10,2),'Input|Reported opex'!L$4,"")</f>
        <v>2015</v>
      </c>
      <c r="M10" s="173">
        <f ca="1">IF(RIGHT(M$4,2)&lt;=RIGHT('Input|General'!$G$10,2),'Input|Reported opex'!M$4,"")</f>
        <v>2016</v>
      </c>
      <c r="N10" s="173">
        <f ca="1">IF(RIGHT(N$4,2)&lt;=RIGHT('Input|General'!$G$10,2),'Input|Reported opex'!N$4,"")</f>
        <v>2017</v>
      </c>
      <c r="O10" s="111" t="str">
        <f ca="1">IF(RIGHT(O$4,2)&lt;=RIGHT('Input|General'!$G$10,2),'Input|Reported opex'!O$4,"")</f>
        <v/>
      </c>
      <c r="P10" s="111" t="str">
        <f ca="1">IF(RIGHT(P$4,2)&lt;=RIGHT('Input|General'!$G$10,2),'Input|Reported opex'!P$4,"")</f>
        <v/>
      </c>
      <c r="Q10" s="111" t="str">
        <f ca="1">IF(RIGHT(Q$4,2)&lt;=RIGHT('Input|General'!$G$10,2),'Input|Reported opex'!Q$4,"")</f>
        <v/>
      </c>
      <c r="R10" s="111" t="str">
        <f ca="1">IF(RIGHT(R$4,2)&lt;=RIGHT('Input|General'!$G$10,2),'Input|Reported opex'!R$4,"")</f>
        <v/>
      </c>
      <c r="S10" s="111" t="str">
        <f ca="1">IF(RIGHT(S$4,2)&lt;=RIGHT('Input|General'!$G$10,2),'Input|Reported opex'!S$4,"")</f>
        <v/>
      </c>
      <c r="T10" s="146" t="s">
        <v>59</v>
      </c>
      <c r="U10" s="147"/>
      <c r="V10" s="147"/>
      <c r="W10" s="29"/>
    </row>
    <row r="11" spans="1:23">
      <c r="A11" s="29"/>
      <c r="B11" s="29"/>
      <c r="C11" s="117"/>
      <c r="D11" s="30"/>
      <c r="E11" s="30"/>
      <c r="F11" s="30"/>
      <c r="G11" s="32"/>
      <c r="H11" s="32"/>
      <c r="I11" s="30"/>
      <c r="J11" s="23"/>
      <c r="K11" s="23"/>
      <c r="L11" s="23"/>
      <c r="M11" s="23"/>
      <c r="N11" s="23"/>
      <c r="O11" s="29"/>
      <c r="P11" s="29"/>
      <c r="Q11" s="29"/>
      <c r="R11" s="29"/>
      <c r="S11" s="29"/>
      <c r="T11" s="29"/>
      <c r="U11" s="29"/>
      <c r="V11" s="29"/>
      <c r="W11" s="29"/>
    </row>
    <row r="12" spans="1:23">
      <c r="A12" s="29"/>
      <c r="B12" s="29"/>
      <c r="C12" s="117"/>
      <c r="D12" s="30"/>
      <c r="E12" s="30"/>
      <c r="F12" s="30"/>
      <c r="G12" s="32"/>
      <c r="H12" s="32"/>
      <c r="I12" s="30"/>
      <c r="J12" s="23"/>
      <c r="K12" s="23"/>
      <c r="L12" s="23"/>
      <c r="M12" s="23"/>
      <c r="N12" s="23"/>
      <c r="O12" s="29"/>
      <c r="P12" s="29"/>
      <c r="Q12" s="29"/>
      <c r="R12" s="29"/>
      <c r="S12" s="29"/>
      <c r="T12" s="29"/>
      <c r="U12" s="29"/>
      <c r="V12" s="29"/>
      <c r="W12" s="29"/>
    </row>
    <row r="13" spans="1:23">
      <c r="A13" s="29"/>
      <c r="B13" s="29"/>
      <c r="C13" s="62" t="s">
        <v>83</v>
      </c>
      <c r="D13" s="30" t="s">
        <v>79</v>
      </c>
      <c r="E13" s="30" t="str">
        <f>$E$24</f>
        <v>$millions</v>
      </c>
      <c r="F13" s="172">
        <v>2012</v>
      </c>
      <c r="G13" s="32"/>
      <c r="H13" s="32"/>
      <c r="I13" s="30"/>
      <c r="J13" s="60">
        <v>63.242919650690332</v>
      </c>
      <c r="K13" s="60">
        <v>65.094385691299593</v>
      </c>
      <c r="L13" s="60">
        <v>66.395635057720398</v>
      </c>
      <c r="M13" s="60">
        <v>67.384432842594578</v>
      </c>
      <c r="N13" s="60">
        <v>68.41566569828953</v>
      </c>
      <c r="O13" s="29"/>
      <c r="P13" s="29"/>
      <c r="Q13" s="29"/>
      <c r="R13" s="29"/>
      <c r="S13" s="29"/>
      <c r="T13" s="166"/>
      <c r="U13" s="29"/>
      <c r="V13" s="29"/>
      <c r="W13" s="29"/>
    </row>
    <row r="14" spans="1:23">
      <c r="A14" s="29"/>
      <c r="B14" s="29"/>
      <c r="C14" s="62" t="s">
        <v>123</v>
      </c>
      <c r="D14" s="30" t="s">
        <v>79</v>
      </c>
      <c r="E14" s="30" t="str">
        <f t="shared" ref="E14:E22" si="0">$E$24</f>
        <v>$millions</v>
      </c>
      <c r="F14" s="172">
        <v>2012</v>
      </c>
      <c r="G14" s="32"/>
      <c r="H14" s="32"/>
      <c r="I14" s="30"/>
      <c r="J14" s="60">
        <v>-0.63686328752861199</v>
      </c>
      <c r="K14" s="60">
        <v>-0.66431194172742225</v>
      </c>
      <c r="L14" s="60">
        <v>-0.69102527177044004</v>
      </c>
      <c r="M14" s="60">
        <v>-0.70901616961646352</v>
      </c>
      <c r="N14" s="60">
        <v>-0.72912001457639364</v>
      </c>
      <c r="O14" s="29"/>
      <c r="P14" s="29"/>
      <c r="Q14" s="29"/>
      <c r="R14" s="29"/>
      <c r="S14" s="29"/>
      <c r="T14" s="166"/>
      <c r="U14" s="29"/>
      <c r="V14" s="29"/>
      <c r="W14" s="29"/>
    </row>
    <row r="15" spans="1:23">
      <c r="A15" s="29"/>
      <c r="B15" s="29"/>
      <c r="C15" s="62"/>
      <c r="D15" s="30" t="s">
        <v>79</v>
      </c>
      <c r="E15" s="30" t="str">
        <f t="shared" si="0"/>
        <v>$millions</v>
      </c>
      <c r="F15" s="172">
        <v>2012</v>
      </c>
      <c r="G15" s="32"/>
      <c r="H15" s="32"/>
      <c r="I15" s="30"/>
      <c r="J15" s="60"/>
      <c r="K15" s="60"/>
      <c r="L15" s="60"/>
      <c r="M15" s="60"/>
      <c r="N15" s="60"/>
      <c r="O15" s="29"/>
      <c r="P15" s="29"/>
      <c r="Q15" s="29"/>
      <c r="R15" s="29"/>
      <c r="S15" s="29"/>
      <c r="T15" s="166"/>
      <c r="U15" s="29"/>
      <c r="V15" s="29"/>
      <c r="W15" s="29"/>
    </row>
    <row r="16" spans="1:23">
      <c r="A16" s="29"/>
      <c r="B16" s="29"/>
      <c r="C16" s="62"/>
      <c r="D16" s="30" t="s">
        <v>79</v>
      </c>
      <c r="E16" s="30" t="str">
        <f t="shared" si="0"/>
        <v>$millions</v>
      </c>
      <c r="F16" s="172">
        <v>2012</v>
      </c>
      <c r="G16" s="32"/>
      <c r="H16" s="32"/>
      <c r="I16" s="30"/>
      <c r="J16" s="60"/>
      <c r="K16" s="60"/>
      <c r="L16" s="60"/>
      <c r="M16" s="60"/>
      <c r="N16" s="60"/>
      <c r="O16" s="29"/>
      <c r="P16" s="29"/>
      <c r="Q16" s="29"/>
      <c r="R16" s="29"/>
      <c r="S16" s="29"/>
      <c r="T16" s="166"/>
      <c r="U16" s="29"/>
      <c r="V16" s="29"/>
      <c r="W16" s="29"/>
    </row>
    <row r="17" spans="1:23">
      <c r="A17" s="29"/>
      <c r="B17" s="29"/>
      <c r="C17" s="62"/>
      <c r="D17" s="30" t="s">
        <v>79</v>
      </c>
      <c r="E17" s="30" t="str">
        <f t="shared" si="0"/>
        <v>$millions</v>
      </c>
      <c r="F17" s="172">
        <v>2012</v>
      </c>
      <c r="G17" s="32"/>
      <c r="H17" s="32"/>
      <c r="I17" s="30"/>
      <c r="J17" s="60"/>
      <c r="K17" s="60"/>
      <c r="L17" s="60"/>
      <c r="M17" s="60"/>
      <c r="N17" s="60"/>
      <c r="O17" s="29"/>
      <c r="P17" s="29"/>
      <c r="Q17" s="29"/>
      <c r="R17" s="29"/>
      <c r="S17" s="29"/>
      <c r="T17" s="166"/>
      <c r="U17" s="29"/>
      <c r="V17" s="29"/>
      <c r="W17" s="29"/>
    </row>
    <row r="18" spans="1:23">
      <c r="A18" s="29"/>
      <c r="B18" s="29"/>
      <c r="C18" s="62"/>
      <c r="D18" s="30" t="s">
        <v>79</v>
      </c>
      <c r="E18" s="30" t="str">
        <f t="shared" si="0"/>
        <v>$millions</v>
      </c>
      <c r="F18" s="172">
        <v>2012</v>
      </c>
      <c r="G18" s="32"/>
      <c r="H18" s="32"/>
      <c r="I18" s="30"/>
      <c r="J18" s="60"/>
      <c r="K18" s="60"/>
      <c r="L18" s="60"/>
      <c r="M18" s="60"/>
      <c r="N18" s="60"/>
      <c r="O18" s="29"/>
      <c r="P18" s="29"/>
      <c r="Q18" s="29"/>
      <c r="R18" s="29"/>
      <c r="S18" s="29"/>
      <c r="T18" s="166"/>
      <c r="U18" s="29"/>
      <c r="V18" s="29"/>
      <c r="W18" s="29"/>
    </row>
    <row r="19" spans="1:23">
      <c r="A19" s="29"/>
      <c r="B19" s="29"/>
      <c r="C19" s="62"/>
      <c r="D19" s="30" t="s">
        <v>79</v>
      </c>
      <c r="E19" s="30" t="str">
        <f t="shared" si="0"/>
        <v>$millions</v>
      </c>
      <c r="F19" s="172">
        <v>2012</v>
      </c>
      <c r="G19" s="32"/>
      <c r="H19" s="32"/>
      <c r="I19" s="30"/>
      <c r="J19" s="60"/>
      <c r="K19" s="60"/>
      <c r="L19" s="60"/>
      <c r="M19" s="60"/>
      <c r="N19" s="60"/>
      <c r="O19" s="29"/>
      <c r="P19" s="29"/>
      <c r="Q19" s="29"/>
      <c r="R19" s="29"/>
      <c r="S19" s="29"/>
      <c r="T19" s="166"/>
      <c r="U19" s="29"/>
      <c r="V19" s="29"/>
      <c r="W19" s="29"/>
    </row>
    <row r="20" spans="1:23">
      <c r="A20" s="29"/>
      <c r="B20" s="29"/>
      <c r="C20" s="62"/>
      <c r="D20" s="30" t="s">
        <v>79</v>
      </c>
      <c r="E20" s="30" t="str">
        <f t="shared" si="0"/>
        <v>$millions</v>
      </c>
      <c r="F20" s="172">
        <v>2012</v>
      </c>
      <c r="G20" s="32"/>
      <c r="H20" s="32"/>
      <c r="I20" s="30"/>
      <c r="J20" s="60"/>
      <c r="K20" s="60"/>
      <c r="L20" s="60"/>
      <c r="M20" s="60"/>
      <c r="N20" s="60"/>
      <c r="O20" s="29"/>
      <c r="P20" s="29"/>
      <c r="Q20" s="29"/>
      <c r="R20" s="29"/>
      <c r="S20" s="29"/>
      <c r="T20" s="166"/>
      <c r="U20" s="29"/>
      <c r="V20" s="29"/>
      <c r="W20" s="29"/>
    </row>
    <row r="21" spans="1:23">
      <c r="A21" s="29"/>
      <c r="B21" s="29"/>
      <c r="C21" s="62"/>
      <c r="D21" s="30" t="s">
        <v>79</v>
      </c>
      <c r="E21" s="30" t="str">
        <f t="shared" si="0"/>
        <v>$millions</v>
      </c>
      <c r="F21" s="172">
        <v>2012</v>
      </c>
      <c r="G21" s="32"/>
      <c r="H21" s="32"/>
      <c r="I21" s="30"/>
      <c r="J21" s="60"/>
      <c r="K21" s="60"/>
      <c r="L21" s="60"/>
      <c r="M21" s="60"/>
      <c r="N21" s="60"/>
      <c r="O21" s="29"/>
      <c r="P21" s="29"/>
      <c r="Q21" s="29"/>
      <c r="R21" s="29"/>
      <c r="S21" s="29"/>
      <c r="T21" s="166"/>
      <c r="U21" s="29"/>
      <c r="V21" s="29"/>
      <c r="W21" s="29"/>
    </row>
    <row r="22" spans="1:23">
      <c r="A22" s="29"/>
      <c r="B22" s="29"/>
      <c r="C22" s="62"/>
      <c r="D22" s="30" t="s">
        <v>79</v>
      </c>
      <c r="E22" s="30" t="str">
        <f t="shared" si="0"/>
        <v>$millions</v>
      </c>
      <c r="F22" s="172">
        <v>2012</v>
      </c>
      <c r="G22" s="32"/>
      <c r="H22" s="32"/>
      <c r="I22" s="30"/>
      <c r="J22" s="60"/>
      <c r="K22" s="60"/>
      <c r="L22" s="60"/>
      <c r="M22" s="60"/>
      <c r="N22" s="60"/>
      <c r="O22" s="29"/>
      <c r="P22" s="29"/>
      <c r="Q22" s="29"/>
      <c r="R22" s="29"/>
      <c r="S22" s="29"/>
      <c r="T22" s="166"/>
      <c r="U22" s="29"/>
      <c r="V22" s="29"/>
      <c r="W22" s="29"/>
    </row>
    <row r="23" spans="1:23">
      <c r="A23" s="29"/>
      <c r="B23" s="29"/>
      <c r="C23" s="117"/>
      <c r="D23" s="30"/>
      <c r="E23" s="30"/>
      <c r="F23" s="30"/>
      <c r="G23" s="32"/>
      <c r="H23" s="32"/>
      <c r="I23" s="30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9"/>
      <c r="U23" s="29"/>
      <c r="V23" s="29"/>
      <c r="W23" s="29"/>
    </row>
    <row r="24" spans="1:23">
      <c r="A24" s="29"/>
      <c r="B24" s="29"/>
      <c r="C24" s="148" t="s">
        <v>83</v>
      </c>
      <c r="D24" s="149" t="s">
        <v>30</v>
      </c>
      <c r="E24" s="139" t="s">
        <v>15</v>
      </c>
      <c r="F24" s="139">
        <v>2012</v>
      </c>
      <c r="G24" s="32"/>
      <c r="H24" s="32"/>
      <c r="I24" s="30"/>
      <c r="J24" s="138">
        <f t="shared" ref="J24:S24" si="1">SUM(J13:J22)</f>
        <v>62.60605636316172</v>
      </c>
      <c r="K24" s="138">
        <f t="shared" si="1"/>
        <v>64.430073749572173</v>
      </c>
      <c r="L24" s="138">
        <f t="shared" si="1"/>
        <v>65.704609785949955</v>
      </c>
      <c r="M24" s="138">
        <f t="shared" si="1"/>
        <v>66.675416672978116</v>
      </c>
      <c r="N24" s="138">
        <f t="shared" si="1"/>
        <v>67.686545683713135</v>
      </c>
      <c r="O24" s="138">
        <f t="shared" si="1"/>
        <v>0</v>
      </c>
      <c r="P24" s="138">
        <f t="shared" si="1"/>
        <v>0</v>
      </c>
      <c r="Q24" s="138">
        <f t="shared" si="1"/>
        <v>0</v>
      </c>
      <c r="R24" s="138">
        <f t="shared" si="1"/>
        <v>0</v>
      </c>
      <c r="S24" s="138">
        <f t="shared" si="1"/>
        <v>0</v>
      </c>
      <c r="T24" s="29"/>
      <c r="U24" s="29"/>
      <c r="V24" s="29"/>
      <c r="W24" s="29"/>
    </row>
    <row r="25" spans="1:23">
      <c r="A25" s="29"/>
      <c r="B25" s="29"/>
      <c r="C25" s="29"/>
      <c r="D25" s="30"/>
      <c r="E25" s="30"/>
      <c r="F25" s="30"/>
      <c r="G25" s="32"/>
      <c r="H25" s="32"/>
      <c r="I25" s="30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</row>
    <row r="26" spans="1:23" ht="12.75">
      <c r="A26" s="99"/>
      <c r="B26" s="100" t="s">
        <v>64</v>
      </c>
      <c r="C26" s="99"/>
      <c r="D26" s="99"/>
      <c r="E26" s="99"/>
      <c r="F26" s="101"/>
      <c r="G26" s="101"/>
      <c r="H26" s="101"/>
      <c r="I26" s="101"/>
      <c r="J26" s="102"/>
      <c r="K26" s="103"/>
      <c r="L26" s="102"/>
      <c r="M26" s="103"/>
      <c r="N26" s="102"/>
      <c r="O26" s="102"/>
      <c r="P26" s="102"/>
      <c r="Q26" s="102"/>
      <c r="R26" s="102"/>
      <c r="S26" s="102"/>
      <c r="T26" s="102"/>
      <c r="U26" s="102"/>
      <c r="V26" s="103"/>
      <c r="W26" s="103"/>
    </row>
    <row r="27" spans="1:23">
      <c r="A27" s="29"/>
      <c r="B27" s="29"/>
      <c r="C27" s="29"/>
      <c r="D27" s="30"/>
      <c r="E27" s="30"/>
      <c r="F27" s="30"/>
      <c r="G27" s="30"/>
      <c r="H27" s="30"/>
      <c r="I27" s="30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</row>
    <row r="28" spans="1:23">
      <c r="A28" s="29"/>
      <c r="B28" s="29"/>
      <c r="C28" s="29"/>
      <c r="D28" s="30"/>
      <c r="E28" s="30"/>
      <c r="F28" s="30"/>
      <c r="G28" s="30"/>
      <c r="H28" s="30"/>
      <c r="I28" s="30"/>
      <c r="J28" s="52" t="s">
        <v>23</v>
      </c>
      <c r="K28" s="52" t="s">
        <v>23</v>
      </c>
      <c r="L28" s="52" t="s">
        <v>23</v>
      </c>
      <c r="M28" s="52" t="s">
        <v>23</v>
      </c>
      <c r="N28" s="52" t="s">
        <v>84</v>
      </c>
      <c r="O28" s="29"/>
      <c r="P28" s="29"/>
      <c r="Q28" s="29"/>
      <c r="R28" s="29"/>
      <c r="S28" s="29"/>
      <c r="T28" s="29"/>
      <c r="U28" s="29"/>
      <c r="V28" s="29"/>
      <c r="W28" s="29"/>
    </row>
    <row r="29" spans="1:23">
      <c r="A29" s="29"/>
      <c r="B29" s="29"/>
      <c r="C29" s="70" t="s">
        <v>86</v>
      </c>
      <c r="D29" s="32" t="s">
        <v>7</v>
      </c>
      <c r="E29" s="32" t="s">
        <v>8</v>
      </c>
      <c r="F29" s="32" t="s">
        <v>22</v>
      </c>
      <c r="G29" s="32"/>
      <c r="H29" s="32"/>
      <c r="I29" s="32"/>
      <c r="J29" s="173">
        <f>IF(RIGHT(J4,2)&lt;=RIGHT('Input|General'!$G$10,2),'Input|Reported opex'!J4,"")</f>
        <v>2013</v>
      </c>
      <c r="K29" s="173">
        <f ca="1">IF(RIGHT(K4,2)&lt;=RIGHT('Input|General'!$G$10,2),'Input|Reported opex'!K4,"")</f>
        <v>2014</v>
      </c>
      <c r="L29" s="173">
        <f ca="1">IF(RIGHT(L4,2)&lt;=RIGHT('Input|General'!$G$10,2),'Input|Reported opex'!L4,"")</f>
        <v>2015</v>
      </c>
      <c r="M29" s="173">
        <f ca="1">IF(RIGHT(M4,2)&lt;=RIGHT('Input|General'!$G$10,2),'Input|Reported opex'!M4,"")</f>
        <v>2016</v>
      </c>
      <c r="N29" s="173">
        <f ca="1">IF(RIGHT(N4,2)&lt;=RIGHT('Input|General'!$G$10,2),'Input|Reported opex'!N4,"")</f>
        <v>2017</v>
      </c>
      <c r="O29" s="111" t="str">
        <f ca="1">IF(RIGHT(O4,2)&lt;=RIGHT('Input|General'!$G$10,2),'Input|Reported opex'!O4,"")</f>
        <v/>
      </c>
      <c r="P29" s="111" t="str">
        <f ca="1">IF(RIGHT(P4,2)&lt;=RIGHT('Input|General'!$G$10,2),'Input|Reported opex'!P4,"")</f>
        <v/>
      </c>
      <c r="Q29" s="111" t="str">
        <f ca="1">IF(RIGHT(Q4,2)&lt;=RIGHT('Input|General'!$G$10,2),'Input|Reported opex'!Q4,"")</f>
        <v/>
      </c>
      <c r="R29" s="111" t="str">
        <f ca="1">IF(RIGHT(R4,2)&lt;=RIGHT('Input|General'!$G$10,2),'Input|Reported opex'!R4,"")</f>
        <v/>
      </c>
      <c r="S29" s="111" t="str">
        <f ca="1">IF(RIGHT(S4,2)&lt;=RIGHT('Input|General'!$G$10,2),'Input|Reported opex'!S4,"")</f>
        <v/>
      </c>
      <c r="T29" s="146" t="s">
        <v>59</v>
      </c>
      <c r="U29" s="147"/>
      <c r="V29" s="147"/>
      <c r="W29" s="29"/>
    </row>
    <row r="30" spans="1:23">
      <c r="A30" s="29"/>
      <c r="B30" s="29"/>
      <c r="C30" s="117"/>
      <c r="D30" s="30"/>
      <c r="E30" s="30"/>
      <c r="F30" s="30"/>
      <c r="G30" s="32"/>
      <c r="H30" s="32"/>
      <c r="I30" s="30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</row>
    <row r="31" spans="1:23">
      <c r="A31" s="29"/>
      <c r="B31" s="29"/>
      <c r="C31" s="117"/>
      <c r="D31" s="30"/>
      <c r="E31" s="30"/>
      <c r="F31" s="30"/>
      <c r="G31" s="32"/>
      <c r="H31" s="32"/>
      <c r="I31" s="30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166"/>
      <c r="U31" s="29"/>
      <c r="V31" s="29"/>
      <c r="W31" s="29"/>
    </row>
    <row r="32" spans="1:23">
      <c r="A32" s="29"/>
      <c r="B32" s="29"/>
      <c r="C32" s="62" t="s">
        <v>145</v>
      </c>
      <c r="D32" s="30" t="s">
        <v>85</v>
      </c>
      <c r="E32" s="30" t="str">
        <f t="shared" ref="E32:E37" si="2">$E$46</f>
        <v>$millions</v>
      </c>
      <c r="F32" s="30" t="str">
        <f t="shared" ref="F32:F37" si="3">$F$46</f>
        <v>nominal</v>
      </c>
      <c r="G32" s="32"/>
      <c r="H32" s="32"/>
      <c r="I32" s="30"/>
      <c r="J32" s="60"/>
      <c r="K32" s="60"/>
      <c r="L32" s="60"/>
      <c r="M32" s="60">
        <v>63.203317110000008</v>
      </c>
      <c r="N32" s="60"/>
      <c r="O32" s="29"/>
      <c r="P32" s="29"/>
      <c r="Q32" s="29"/>
      <c r="R32" s="29"/>
      <c r="S32" s="29"/>
      <c r="T32" s="166"/>
      <c r="U32" s="29"/>
      <c r="V32" s="29"/>
      <c r="W32" s="29"/>
    </row>
    <row r="33" spans="1:23">
      <c r="A33" s="29"/>
      <c r="B33" s="29"/>
      <c r="C33" s="62"/>
      <c r="D33" s="30" t="s">
        <v>85</v>
      </c>
      <c r="E33" s="30" t="str">
        <f t="shared" si="2"/>
        <v>$millions</v>
      </c>
      <c r="F33" s="30" t="str">
        <f t="shared" si="3"/>
        <v>nominal</v>
      </c>
      <c r="G33" s="32"/>
      <c r="H33" s="32"/>
      <c r="I33" s="30"/>
      <c r="J33" s="60"/>
      <c r="K33" s="60"/>
      <c r="L33" s="60"/>
      <c r="M33" s="60"/>
      <c r="N33" s="60"/>
      <c r="O33" s="29"/>
      <c r="P33" s="29"/>
      <c r="Q33" s="29"/>
      <c r="R33" s="29"/>
      <c r="S33" s="29"/>
      <c r="T33" s="166"/>
      <c r="U33" s="29"/>
      <c r="V33" s="29"/>
      <c r="W33" s="29"/>
    </row>
    <row r="34" spans="1:23">
      <c r="A34" s="29"/>
      <c r="B34" s="29"/>
      <c r="C34" s="62"/>
      <c r="D34" s="30" t="s">
        <v>85</v>
      </c>
      <c r="E34" s="30" t="str">
        <f t="shared" si="2"/>
        <v>$millions</v>
      </c>
      <c r="F34" s="30" t="str">
        <f t="shared" si="3"/>
        <v>nominal</v>
      </c>
      <c r="G34" s="32"/>
      <c r="H34" s="32"/>
      <c r="I34" s="30"/>
      <c r="J34" s="60"/>
      <c r="K34" s="60"/>
      <c r="L34" s="60"/>
      <c r="M34" s="60"/>
      <c r="N34" s="60"/>
      <c r="O34" s="29"/>
      <c r="P34" s="29"/>
      <c r="Q34" s="29"/>
      <c r="R34" s="29"/>
      <c r="S34" s="29"/>
      <c r="T34" s="166"/>
      <c r="U34" s="29"/>
      <c r="V34" s="29"/>
      <c r="W34" s="29"/>
    </row>
    <row r="35" spans="1:23">
      <c r="A35" s="29"/>
      <c r="B35" s="29"/>
      <c r="C35" s="62"/>
      <c r="D35" s="30" t="s">
        <v>85</v>
      </c>
      <c r="E35" s="30" t="str">
        <f t="shared" si="2"/>
        <v>$millions</v>
      </c>
      <c r="F35" s="30" t="str">
        <f t="shared" si="3"/>
        <v>nominal</v>
      </c>
      <c r="G35" s="32"/>
      <c r="H35" s="32"/>
      <c r="I35" s="30"/>
      <c r="J35" s="60"/>
      <c r="K35" s="60"/>
      <c r="L35" s="60"/>
      <c r="M35" s="60"/>
      <c r="N35" s="60"/>
      <c r="O35" s="29"/>
      <c r="P35" s="29"/>
      <c r="Q35" s="29"/>
      <c r="R35" s="29"/>
      <c r="S35" s="29"/>
      <c r="T35" s="166"/>
      <c r="U35" s="29"/>
      <c r="V35" s="29"/>
      <c r="W35" s="29"/>
    </row>
    <row r="36" spans="1:23">
      <c r="A36" s="29"/>
      <c r="B36" s="29"/>
      <c r="C36" s="62"/>
      <c r="D36" s="30" t="s">
        <v>85</v>
      </c>
      <c r="E36" s="30" t="str">
        <f t="shared" si="2"/>
        <v>$millions</v>
      </c>
      <c r="F36" s="30" t="str">
        <f t="shared" si="3"/>
        <v>nominal</v>
      </c>
      <c r="G36" s="32"/>
      <c r="H36" s="32"/>
      <c r="I36" s="30"/>
      <c r="J36" s="60"/>
      <c r="K36" s="60"/>
      <c r="L36" s="60"/>
      <c r="M36" s="60"/>
      <c r="N36" s="60"/>
      <c r="O36" s="29"/>
      <c r="P36" s="29"/>
      <c r="Q36" s="29"/>
      <c r="R36" s="29"/>
      <c r="S36" s="29"/>
      <c r="T36" s="166"/>
      <c r="U36" s="29"/>
      <c r="V36" s="29"/>
      <c r="W36" s="29"/>
    </row>
    <row r="37" spans="1:23">
      <c r="A37" s="29"/>
      <c r="B37" s="29"/>
      <c r="C37" s="62" t="s">
        <v>129</v>
      </c>
      <c r="D37" s="30" t="s">
        <v>85</v>
      </c>
      <c r="E37" s="30" t="str">
        <f t="shared" si="2"/>
        <v>$millions</v>
      </c>
      <c r="F37" s="30" t="str">
        <f t="shared" si="3"/>
        <v>nominal</v>
      </c>
      <c r="G37" s="32"/>
      <c r="H37" s="32"/>
      <c r="I37" s="30"/>
      <c r="J37" s="60"/>
      <c r="K37" s="60"/>
      <c r="L37" s="60"/>
      <c r="M37" s="60">
        <v>0</v>
      </c>
      <c r="N37" s="60"/>
      <c r="O37" s="29"/>
      <c r="P37" s="29"/>
      <c r="Q37" s="29"/>
      <c r="R37" s="29"/>
      <c r="S37" s="29"/>
      <c r="T37" s="166"/>
      <c r="U37" s="29"/>
      <c r="V37" s="29"/>
      <c r="W37" s="29"/>
    </row>
    <row r="38" spans="1:23">
      <c r="A38" s="29"/>
      <c r="B38" s="29"/>
      <c r="C38" s="29"/>
      <c r="D38" s="30"/>
      <c r="E38" s="30"/>
      <c r="F38" s="30"/>
      <c r="G38" s="30"/>
      <c r="H38" s="30"/>
      <c r="I38" s="30"/>
      <c r="J38" s="29"/>
      <c r="K38" s="29"/>
      <c r="L38" s="29"/>
      <c r="M38" s="29"/>
      <c r="N38" s="29"/>
      <c r="O38" s="29"/>
      <c r="P38" s="29"/>
      <c r="Q38" s="29"/>
      <c r="R38" s="29"/>
      <c r="S38" s="29"/>
      <c r="T38" s="166"/>
      <c r="U38" s="29"/>
      <c r="V38" s="29"/>
      <c r="W38" s="29"/>
    </row>
    <row r="39" spans="1:23">
      <c r="A39" s="29"/>
      <c r="B39" s="29"/>
      <c r="C39" s="70" t="s">
        <v>130</v>
      </c>
      <c r="D39" s="30"/>
      <c r="E39" s="30"/>
      <c r="F39" s="30"/>
      <c r="G39" s="30"/>
      <c r="H39" s="30"/>
      <c r="I39" s="30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166"/>
      <c r="U39" s="29"/>
      <c r="V39" s="29"/>
      <c r="W39" s="29"/>
    </row>
    <row r="40" spans="1:23">
      <c r="A40" s="29"/>
      <c r="B40" s="29"/>
      <c r="C40" s="29"/>
      <c r="D40" s="30"/>
      <c r="E40" s="30"/>
      <c r="F40" s="30"/>
      <c r="G40" s="30"/>
      <c r="H40" s="30"/>
      <c r="I40" s="30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166"/>
      <c r="U40" s="29"/>
      <c r="V40" s="29"/>
      <c r="W40" s="29"/>
    </row>
    <row r="41" spans="1:23">
      <c r="A41" s="29"/>
      <c r="B41" s="29"/>
      <c r="C41" s="62" t="s">
        <v>123</v>
      </c>
      <c r="D41" s="30" t="s">
        <v>85</v>
      </c>
      <c r="E41" s="30" t="str">
        <f>$E$46</f>
        <v>$millions</v>
      </c>
      <c r="F41" s="30" t="str">
        <f>$F$46</f>
        <v>nominal</v>
      </c>
      <c r="G41" s="32"/>
      <c r="H41" s="32"/>
      <c r="I41" s="30"/>
      <c r="J41" s="60"/>
      <c r="K41" s="60"/>
      <c r="L41" s="60"/>
      <c r="M41" s="60">
        <v>0</v>
      </c>
      <c r="N41" s="60"/>
      <c r="O41" s="29"/>
      <c r="P41" s="29"/>
      <c r="Q41" s="29"/>
      <c r="R41" s="29"/>
      <c r="S41" s="29"/>
      <c r="T41" s="166"/>
      <c r="U41" s="29"/>
      <c r="V41" s="29"/>
      <c r="W41" s="29"/>
    </row>
    <row r="42" spans="1:23">
      <c r="A42" s="29"/>
      <c r="B42" s="29"/>
      <c r="C42" s="62"/>
      <c r="D42" s="30" t="s">
        <v>85</v>
      </c>
      <c r="E42" s="30" t="str">
        <f>$E$46</f>
        <v>$millions</v>
      </c>
      <c r="F42" s="30" t="str">
        <f>$F$46</f>
        <v>nominal</v>
      </c>
      <c r="G42" s="32"/>
      <c r="H42" s="32"/>
      <c r="I42" s="30"/>
      <c r="J42" s="60"/>
      <c r="K42" s="60"/>
      <c r="L42" s="60"/>
      <c r="M42" s="60"/>
      <c r="N42" s="60"/>
      <c r="O42" s="29"/>
      <c r="P42" s="29"/>
      <c r="Q42" s="29"/>
      <c r="R42" s="29"/>
      <c r="S42" s="29"/>
      <c r="T42" s="166"/>
      <c r="U42" s="29"/>
      <c r="V42" s="29"/>
      <c r="W42" s="29"/>
    </row>
    <row r="43" spans="1:23">
      <c r="A43" s="29"/>
      <c r="B43" s="29"/>
      <c r="C43" s="62"/>
      <c r="D43" s="30" t="s">
        <v>85</v>
      </c>
      <c r="E43" s="30" t="str">
        <f>$E$46</f>
        <v>$millions</v>
      </c>
      <c r="F43" s="30" t="str">
        <f>$F$46</f>
        <v>nominal</v>
      </c>
      <c r="G43" s="32"/>
      <c r="H43" s="32"/>
      <c r="I43" s="30"/>
      <c r="J43" s="60"/>
      <c r="K43" s="60"/>
      <c r="L43" s="60"/>
      <c r="M43" s="60"/>
      <c r="N43" s="60"/>
      <c r="O43" s="29"/>
      <c r="P43" s="29"/>
      <c r="Q43" s="29"/>
      <c r="R43" s="29"/>
      <c r="S43" s="29"/>
      <c r="T43" s="166"/>
      <c r="U43" s="29"/>
      <c r="V43" s="29"/>
      <c r="W43" s="29"/>
    </row>
    <row r="44" spans="1:23">
      <c r="A44" s="29"/>
      <c r="B44" s="29"/>
      <c r="C44" s="62"/>
      <c r="D44" s="30" t="s">
        <v>85</v>
      </c>
      <c r="E44" s="30" t="str">
        <f>$E$46</f>
        <v>$millions</v>
      </c>
      <c r="F44" s="30" t="str">
        <f>$F$46</f>
        <v>nominal</v>
      </c>
      <c r="G44" s="32"/>
      <c r="H44" s="32"/>
      <c r="I44" s="30"/>
      <c r="J44" s="60"/>
      <c r="K44" s="60"/>
      <c r="L44" s="60"/>
      <c r="M44" s="60"/>
      <c r="N44" s="60"/>
      <c r="O44" s="29"/>
      <c r="P44" s="29"/>
      <c r="Q44" s="29"/>
      <c r="R44" s="29"/>
      <c r="S44" s="29"/>
      <c r="T44" s="166"/>
      <c r="U44" s="29"/>
      <c r="V44" s="29"/>
      <c r="W44" s="29"/>
    </row>
    <row r="45" spans="1:23">
      <c r="A45" s="29"/>
      <c r="B45" s="29"/>
      <c r="C45" s="117"/>
      <c r="D45" s="30"/>
      <c r="E45" s="30"/>
      <c r="F45" s="30"/>
      <c r="G45" s="32"/>
      <c r="H45" s="32"/>
      <c r="I45" s="30"/>
      <c r="J45" s="29"/>
      <c r="K45" s="29"/>
      <c r="L45" s="29"/>
      <c r="M45" s="29"/>
      <c r="N45" s="150"/>
      <c r="O45" s="29"/>
      <c r="P45" s="29"/>
      <c r="Q45" s="29"/>
      <c r="R45" s="29"/>
      <c r="S45" s="29"/>
      <c r="T45" s="29"/>
      <c r="U45" s="29"/>
      <c r="V45" s="29"/>
      <c r="W45" s="29"/>
    </row>
    <row r="46" spans="1:23">
      <c r="A46" s="29"/>
      <c r="B46" s="29"/>
      <c r="C46" s="148" t="s">
        <v>83</v>
      </c>
      <c r="D46" s="149" t="s">
        <v>30</v>
      </c>
      <c r="E46" s="139" t="s">
        <v>15</v>
      </c>
      <c r="F46" s="139" t="s">
        <v>115</v>
      </c>
      <c r="G46" s="32"/>
      <c r="H46" s="32"/>
      <c r="I46" s="30"/>
      <c r="J46" s="138">
        <f>SUM(J32:J44)</f>
        <v>0</v>
      </c>
      <c r="K46" s="138">
        <f t="shared" ref="K46:S46" si="4">SUM(K32:K44)</f>
        <v>0</v>
      </c>
      <c r="L46" s="138">
        <f t="shared" si="4"/>
        <v>0</v>
      </c>
      <c r="M46" s="138">
        <f t="shared" si="4"/>
        <v>63.203317110000008</v>
      </c>
      <c r="N46" s="138">
        <f t="shared" si="4"/>
        <v>0</v>
      </c>
      <c r="O46" s="138">
        <f t="shared" si="4"/>
        <v>0</v>
      </c>
      <c r="P46" s="138">
        <f t="shared" si="4"/>
        <v>0</v>
      </c>
      <c r="Q46" s="138">
        <f t="shared" si="4"/>
        <v>0</v>
      </c>
      <c r="R46" s="138">
        <f t="shared" si="4"/>
        <v>0</v>
      </c>
      <c r="S46" s="138">
        <f t="shared" si="4"/>
        <v>0</v>
      </c>
      <c r="T46" s="29"/>
      <c r="U46" s="29"/>
      <c r="V46" s="29"/>
      <c r="W46" s="29"/>
    </row>
    <row r="47" spans="1:23">
      <c r="A47" s="29"/>
      <c r="B47" s="29"/>
      <c r="C47" s="29"/>
      <c r="D47" s="30"/>
      <c r="E47" s="30"/>
      <c r="F47" s="30"/>
      <c r="G47" s="32"/>
      <c r="H47" s="32"/>
      <c r="I47" s="30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</row>
    <row r="48" spans="1:23" ht="12.75">
      <c r="A48" s="99"/>
      <c r="B48" s="100" t="s">
        <v>131</v>
      </c>
      <c r="C48" s="99"/>
      <c r="D48" s="99"/>
      <c r="E48" s="99"/>
      <c r="F48" s="101"/>
      <c r="G48" s="101"/>
      <c r="H48" s="101"/>
      <c r="I48" s="101"/>
      <c r="J48" s="102"/>
      <c r="K48" s="103"/>
      <c r="L48" s="102"/>
      <c r="M48" s="103"/>
      <c r="N48" s="102"/>
      <c r="O48" s="102"/>
      <c r="P48" s="102"/>
      <c r="Q48" s="102"/>
      <c r="R48" s="102"/>
      <c r="S48" s="102"/>
      <c r="T48" s="102"/>
      <c r="U48" s="102"/>
      <c r="V48" s="103"/>
      <c r="W48" s="103"/>
    </row>
    <row r="49" spans="1:23">
      <c r="A49" s="29"/>
      <c r="B49" s="29"/>
      <c r="C49" s="29"/>
      <c r="D49" s="30"/>
      <c r="E49" s="30"/>
      <c r="F49" s="30"/>
      <c r="G49" s="30"/>
      <c r="H49" s="30"/>
      <c r="I49" s="30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</row>
    <row r="50" spans="1:23">
      <c r="A50" s="29"/>
      <c r="B50" s="29"/>
      <c r="C50" s="70" t="s">
        <v>132</v>
      </c>
      <c r="D50" s="32" t="s">
        <v>7</v>
      </c>
      <c r="E50" s="32" t="s">
        <v>8</v>
      </c>
      <c r="F50" s="32" t="s">
        <v>22</v>
      </c>
      <c r="G50" s="32"/>
      <c r="H50" s="32"/>
      <c r="I50" s="32"/>
      <c r="J50" s="111" t="str">
        <f>IF(RIGHT(J4,2)=RIGHT('Input|General'!$G$10,2),'Input|Reported opex'!J4,"")</f>
        <v/>
      </c>
      <c r="K50" s="111" t="str">
        <f ca="1">IF(RIGHT(K4,2)=RIGHT('Input|General'!$G$10,2),'Input|Reported opex'!K4,"")</f>
        <v/>
      </c>
      <c r="L50" s="111" t="str">
        <f ca="1">IF(RIGHT(L4,2)=RIGHT('Input|General'!$G$10,2),'Input|Reported opex'!L4,"")</f>
        <v/>
      </c>
      <c r="M50" s="111" t="str">
        <f ca="1">IF(RIGHT(M4,2)=RIGHT('Input|General'!$G$10,2),'Input|Reported opex'!M4,"")</f>
        <v/>
      </c>
      <c r="N50" s="173">
        <f ca="1">IF(RIGHT(N$4,2)=RIGHT('Input|General'!$G$10,2),N$4,"")</f>
        <v>2017</v>
      </c>
      <c r="O50" s="29"/>
      <c r="P50" s="29"/>
      <c r="Q50" s="29"/>
      <c r="R50" s="29"/>
      <c r="S50" s="29"/>
      <c r="T50" s="29"/>
      <c r="U50" s="29"/>
      <c r="V50" s="29"/>
      <c r="W50" s="29"/>
    </row>
    <row r="51" spans="1:23">
      <c r="A51" s="29"/>
      <c r="B51" s="29"/>
      <c r="C51" s="62" t="s">
        <v>133</v>
      </c>
      <c r="D51" s="30" t="s">
        <v>34</v>
      </c>
      <c r="E51" s="30" t="str">
        <f>$E$46</f>
        <v>$millions</v>
      </c>
      <c r="F51" s="172">
        <v>2016</v>
      </c>
      <c r="G51" s="32"/>
      <c r="H51" s="32"/>
      <c r="I51" s="32"/>
      <c r="J51" s="127"/>
      <c r="K51" s="127"/>
      <c r="L51" s="127"/>
      <c r="M51" s="127"/>
      <c r="N51" s="60"/>
      <c r="O51" s="127"/>
      <c r="P51" s="127"/>
      <c r="Q51" s="127"/>
      <c r="R51" s="127"/>
      <c r="S51" s="127"/>
      <c r="T51" s="131"/>
      <c r="U51" s="151"/>
      <c r="V51" s="151"/>
      <c r="W51" s="29"/>
    </row>
    <row r="52" spans="1:23">
      <c r="A52" s="29"/>
      <c r="B52" s="29"/>
      <c r="C52" s="62" t="s">
        <v>134</v>
      </c>
      <c r="D52" s="30" t="s">
        <v>34</v>
      </c>
      <c r="E52" s="30" t="str">
        <f t="shared" ref="E52:E55" si="5">$E$46</f>
        <v>$millions</v>
      </c>
      <c r="F52" s="172">
        <v>2016</v>
      </c>
      <c r="G52" s="32"/>
      <c r="H52" s="32"/>
      <c r="I52" s="32"/>
      <c r="J52" s="127"/>
      <c r="K52" s="127"/>
      <c r="L52" s="127"/>
      <c r="M52" s="127"/>
      <c r="N52" s="60"/>
      <c r="O52" s="127"/>
      <c r="P52" s="127"/>
      <c r="Q52" s="127"/>
      <c r="R52" s="127"/>
      <c r="S52" s="127"/>
      <c r="T52" s="131"/>
      <c r="U52" s="151"/>
      <c r="V52" s="151"/>
      <c r="W52" s="29"/>
    </row>
    <row r="53" spans="1:23">
      <c r="A53" s="29"/>
      <c r="B53" s="29"/>
      <c r="C53" s="62" t="s">
        <v>135</v>
      </c>
      <c r="D53" s="30" t="s">
        <v>34</v>
      </c>
      <c r="E53" s="30" t="str">
        <f t="shared" si="5"/>
        <v>$millions</v>
      </c>
      <c r="F53" s="172">
        <v>2016</v>
      </c>
      <c r="G53" s="32"/>
      <c r="H53" s="32"/>
      <c r="I53" s="32"/>
      <c r="J53" s="127"/>
      <c r="K53" s="127"/>
      <c r="L53" s="127"/>
      <c r="M53" s="127"/>
      <c r="N53" s="60"/>
      <c r="O53" s="127"/>
      <c r="P53" s="127"/>
      <c r="Q53" s="127"/>
      <c r="R53" s="127"/>
      <c r="S53" s="127"/>
      <c r="T53" s="131"/>
      <c r="U53" s="151"/>
      <c r="V53" s="151"/>
      <c r="W53" s="29"/>
    </row>
    <row r="54" spans="1:23">
      <c r="A54" s="29"/>
      <c r="B54" s="29"/>
      <c r="C54" s="62" t="s">
        <v>136</v>
      </c>
      <c r="D54" s="30" t="s">
        <v>34</v>
      </c>
      <c r="E54" s="30" t="str">
        <f t="shared" si="5"/>
        <v>$millions</v>
      </c>
      <c r="F54" s="172">
        <v>2016</v>
      </c>
      <c r="G54" s="32"/>
      <c r="H54" s="32"/>
      <c r="I54" s="32"/>
      <c r="J54" s="127"/>
      <c r="K54" s="127"/>
      <c r="L54" s="127"/>
      <c r="M54" s="127"/>
      <c r="N54" s="60"/>
      <c r="O54" s="127"/>
      <c r="P54" s="127"/>
      <c r="Q54" s="127"/>
      <c r="R54" s="127"/>
      <c r="S54" s="127"/>
      <c r="T54" s="131"/>
      <c r="U54" s="151"/>
      <c r="V54" s="151"/>
      <c r="W54" s="29"/>
    </row>
    <row r="55" spans="1:23">
      <c r="A55" s="29"/>
      <c r="B55" s="29"/>
      <c r="C55" s="62" t="s">
        <v>137</v>
      </c>
      <c r="D55" s="30" t="s">
        <v>34</v>
      </c>
      <c r="E55" s="30" t="str">
        <f t="shared" si="5"/>
        <v>$millions</v>
      </c>
      <c r="F55" s="172">
        <v>2016</v>
      </c>
      <c r="G55" s="32"/>
      <c r="H55" s="32"/>
      <c r="I55" s="32"/>
      <c r="J55" s="127"/>
      <c r="K55" s="127"/>
      <c r="L55" s="127"/>
      <c r="M55" s="127"/>
      <c r="N55" s="60"/>
      <c r="O55" s="127"/>
      <c r="P55" s="127"/>
      <c r="Q55" s="127"/>
      <c r="R55" s="127"/>
      <c r="S55" s="127"/>
      <c r="T55" s="131"/>
      <c r="U55" s="151"/>
      <c r="V55" s="151"/>
      <c r="W55" s="29"/>
    </row>
    <row r="56" spans="1:23">
      <c r="A56" s="29"/>
      <c r="B56" s="29"/>
      <c r="C56" s="62" t="s">
        <v>99</v>
      </c>
      <c r="D56" s="30" t="s">
        <v>34</v>
      </c>
      <c r="E56" s="30" t="s">
        <v>31</v>
      </c>
      <c r="F56" s="32"/>
      <c r="G56" s="32"/>
      <c r="H56" s="32"/>
      <c r="I56" s="32"/>
      <c r="J56" s="29"/>
      <c r="K56" s="127"/>
      <c r="L56" s="127"/>
      <c r="M56" s="127"/>
      <c r="N56" s="165">
        <v>0</v>
      </c>
      <c r="O56" s="168"/>
      <c r="P56" s="127"/>
      <c r="Q56" s="127"/>
      <c r="R56" s="127"/>
      <c r="S56" s="127"/>
      <c r="T56" s="131"/>
      <c r="U56" s="151"/>
      <c r="V56" s="151"/>
      <c r="W56" s="29"/>
    </row>
    <row r="57" spans="1:23">
      <c r="A57" s="29"/>
      <c r="B57" s="29"/>
      <c r="C57" s="117"/>
      <c r="D57" s="30"/>
      <c r="E57" s="30"/>
      <c r="F57" s="30"/>
      <c r="G57" s="32"/>
      <c r="H57" s="32"/>
      <c r="I57" s="30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</row>
    <row r="58" spans="1:23" ht="12.75">
      <c r="A58" s="99"/>
      <c r="B58" s="100" t="s">
        <v>21</v>
      </c>
      <c r="C58" s="99"/>
      <c r="D58" s="99"/>
      <c r="E58" s="99"/>
      <c r="F58" s="101"/>
      <c r="G58" s="101"/>
      <c r="H58" s="101"/>
      <c r="I58" s="101"/>
      <c r="J58" s="102"/>
      <c r="K58" s="103"/>
      <c r="L58" s="102"/>
      <c r="M58" s="103"/>
      <c r="N58" s="102"/>
      <c r="O58" s="102"/>
      <c r="P58" s="102"/>
      <c r="Q58" s="102"/>
      <c r="R58" s="102"/>
      <c r="S58" s="102"/>
      <c r="T58" s="102"/>
      <c r="U58" s="102"/>
      <c r="V58" s="103"/>
      <c r="W58" s="103"/>
    </row>
  </sheetData>
  <conditionalFormatting sqref="W32:W37 W41:W44">
    <cfRule type="cellIs" dxfId="97" priority="13" operator="equal">
      <formula>"Check"</formula>
    </cfRule>
    <cfRule type="cellIs" dxfId="96" priority="14" operator="equal">
      <formula>"Ok"</formula>
    </cfRule>
  </conditionalFormatting>
  <conditionalFormatting sqref="W46">
    <cfRule type="cellIs" dxfId="95" priority="11" operator="equal">
      <formula>"Check"</formula>
    </cfRule>
    <cfRule type="cellIs" dxfId="94" priority="12" operator="equal">
      <formula>"Ok"</formula>
    </cfRule>
  </conditionalFormatting>
  <conditionalFormatting sqref="W24">
    <cfRule type="cellIs" dxfId="93" priority="9" operator="equal">
      <formula>"Check"</formula>
    </cfRule>
    <cfRule type="cellIs" dxfId="92" priority="10" operator="equal">
      <formula>"Ok"</formula>
    </cfRule>
  </conditionalFormatting>
  <conditionalFormatting sqref="V1">
    <cfRule type="cellIs" dxfId="91" priority="7" operator="equal">
      <formula>"Check"</formula>
    </cfRule>
    <cfRule type="cellIs" dxfId="90" priority="8" operator="equal">
      <formula>"Ok"</formula>
    </cfRule>
  </conditionalFormatting>
  <conditionalFormatting sqref="S1">
    <cfRule type="cellIs" dxfId="89" priority="5" operator="equal">
      <formula>"Check"</formula>
    </cfRule>
    <cfRule type="cellIs" dxfId="88" priority="6" operator="equal">
      <formula>"Ok"</formula>
    </cfRule>
  </conditionalFormatting>
  <conditionalFormatting sqref="J24:S24">
    <cfRule type="cellIs" dxfId="87" priority="4" operator="equal">
      <formula>0</formula>
    </cfRule>
  </conditionalFormatting>
  <conditionalFormatting sqref="J46:S46">
    <cfRule type="cellIs" dxfId="86" priority="3" operator="equal">
      <formula>0</formula>
    </cfRule>
  </conditionalFormatting>
  <conditionalFormatting sqref="W38:W40">
    <cfRule type="cellIs" dxfId="85" priority="1" operator="equal">
      <formula>"Check"</formula>
    </cfRule>
    <cfRule type="cellIs" dxfId="84" priority="2" operator="equal">
      <formula>"Ok"</formula>
    </cfRule>
  </conditionalFormatting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99"/>
  </sheetPr>
  <dimension ref="A1:AX157"/>
  <sheetViews>
    <sheetView showGridLines="0" workbookViewId="0">
      <selection activeCell="F25" sqref="F25"/>
    </sheetView>
  </sheetViews>
  <sheetFormatPr defaultColWidth="0" defaultRowHeight="11.25" zeroHeight="1" outlineLevelRow="1"/>
  <cols>
    <col min="1" max="2" width="1.5" style="29" customWidth="1"/>
    <col min="3" max="3" width="57.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10" width="10.83203125" style="30" customWidth="1"/>
    <col min="11" max="23" width="10.83203125" style="29" customWidth="1"/>
    <col min="24" max="16384" width="10.5" style="29" hidden="1"/>
  </cols>
  <sheetData>
    <row r="1" spans="1:50" s="73" customFormat="1" ht="15.75">
      <c r="B1" s="74" t="str">
        <f>Index!$B$1</f>
        <v>AER opex model</v>
      </c>
      <c r="C1" s="74"/>
      <c r="D1" s="74"/>
      <c r="E1" s="74"/>
      <c r="F1" s="75"/>
      <c r="G1" s="75"/>
      <c r="H1" s="75"/>
      <c r="I1" s="75"/>
      <c r="J1" s="75"/>
      <c r="K1" s="37" t="s">
        <v>2</v>
      </c>
      <c r="M1" s="76" t="s">
        <v>3</v>
      </c>
      <c r="N1" s="77" t="s">
        <v>4</v>
      </c>
      <c r="O1" s="78" t="s">
        <v>5</v>
      </c>
      <c r="P1" s="79" t="s">
        <v>6</v>
      </c>
      <c r="S1" s="76" t="s">
        <v>92</v>
      </c>
      <c r="T1" s="80" t="str">
        <f>IF(COUNTIF(W5:W94,"Check")=0,"Ok","Check")</f>
        <v>Ok</v>
      </c>
      <c r="V1" s="183" t="s">
        <v>24</v>
      </c>
      <c r="W1" s="80" t="str">
        <f>'Check|List'!$S$1</f>
        <v>Ok</v>
      </c>
    </row>
    <row r="2" spans="1:50" s="81" customFormat="1" ht="13.5" thickBot="1">
      <c r="B2" s="82" t="str">
        <f>Index!$C$10</f>
        <v>Input | Rate of change</v>
      </c>
      <c r="C2" s="82"/>
      <c r="D2" s="82"/>
      <c r="E2" s="82"/>
      <c r="F2" s="83"/>
      <c r="G2" s="83"/>
      <c r="H2" s="83"/>
      <c r="I2" s="83"/>
      <c r="J2" s="83"/>
    </row>
    <row r="3" spans="1:50" s="84" customFormat="1">
      <c r="C3" s="85"/>
      <c r="D3" s="86"/>
      <c r="E3" s="86"/>
      <c r="F3" s="86"/>
      <c r="G3" s="86"/>
      <c r="H3" s="86"/>
      <c r="I3" s="86"/>
      <c r="J3" s="161"/>
      <c r="K3" s="213"/>
      <c r="L3" s="213"/>
      <c r="M3" s="213"/>
      <c r="N3" s="86"/>
      <c r="O3" s="213"/>
      <c r="P3" s="213"/>
      <c r="Q3" s="213"/>
      <c r="R3" s="213"/>
      <c r="S3" s="213"/>
      <c r="T3" s="213"/>
      <c r="U3" s="87"/>
      <c r="V3" s="87"/>
      <c r="W3" s="87"/>
      <c r="X3" s="87"/>
      <c r="Y3" s="87"/>
      <c r="Z3" s="87"/>
      <c r="AA3" s="87"/>
      <c r="AB3" s="87"/>
      <c r="AC3" s="87"/>
    </row>
    <row r="4" spans="1:50" s="98" customFormat="1" ht="10.5">
      <c r="A4" s="88"/>
      <c r="B4" s="88"/>
      <c r="C4" s="88"/>
      <c r="D4" s="89" t="s">
        <v>7</v>
      </c>
      <c r="E4" s="89" t="s">
        <v>8</v>
      </c>
      <c r="F4" s="90" t="s">
        <v>22</v>
      </c>
      <c r="G4" s="91"/>
      <c r="H4" s="91"/>
      <c r="I4" s="91"/>
      <c r="J4" s="92">
        <f ca="1">IF(OFFSET('Lookup|Tables'!$G$26:$G$43,MATCH('Input|General'!$G$8,'Lookup|Tables'!$G$26:$G$42,0)-2,0,1,1)&lt;='Input|General'!$G$12,OFFSET('Lookup|Tables'!$G$26:$G$43,MATCH('Input|General'!$G$8,'Lookup|Tables'!$G$26:$G$42,0)-2,0,1,1),"")</f>
        <v>2012</v>
      </c>
      <c r="K4" s="92">
        <f>'Input|General'!$G$8</f>
        <v>2013</v>
      </c>
      <c r="L4" s="92">
        <f ca="1">IF(OFFSET('Lookup|Tables'!$G$26:$G$43,MATCH('Input|General'!$G$8,'Lookup|Tables'!$G$26:$G$42,0),0,1,1)&lt;='Input|General'!$G$12,OFFSET('Lookup|Tables'!$G$26:$G$43,MATCH('Input|General'!$G$8,'Lookup|Tables'!$G$26:$G$42,0),0,1,1),"")</f>
        <v>2014</v>
      </c>
      <c r="M4" s="92">
        <f ca="1">IF(OFFSET('Lookup|Tables'!$G$26:$G$43,MATCH('Input|General'!$G$8,'Lookup|Tables'!$G$26:$G$42,0)+1,0,1,1)&lt;='Input|General'!$G$12,OFFSET('Lookup|Tables'!$G$26:$G$43,MATCH('Input|General'!$G$8,'Lookup|Tables'!$G$26:$G$42,0)+1,0,1,1),"")</f>
        <v>2015</v>
      </c>
      <c r="N4" s="92">
        <f ca="1">IF(OFFSET('Lookup|Tables'!$G$26:$G$43,MATCH('Input|General'!$G$8,'Lookup|Tables'!$G$26:$G$42,0)+2,0,1,1)&lt;='Input|General'!$G$12,OFFSET('Lookup|Tables'!$G$26:$G$43,MATCH('Input|General'!$G$8,'Lookup|Tables'!$G$26:$G$42,0)+2,0,1,1),"")</f>
        <v>2016</v>
      </c>
      <c r="O4" s="92">
        <f ca="1">IF(OFFSET('Lookup|Tables'!$G$26:$G$43,MATCH('Input|General'!$G$8,'Lookup|Tables'!$G$26:$G$42,0)+3,0,1,1)&lt;='Input|General'!$G$12,OFFSET('Lookup|Tables'!$G$26:$G$43,MATCH('Input|General'!$G$8,'Lookup|Tables'!$G$26:$G$42,0)+3,0,1,1),"")</f>
        <v>2017</v>
      </c>
      <c r="P4" s="92">
        <f ca="1">IF(OFFSET('Lookup|Tables'!$G$26:$G$43,MATCH('Input|General'!$G$8,'Lookup|Tables'!$G$26:$G$42,0)+4,0,1,1)&lt;='Input|General'!$G$12,OFFSET('Lookup|Tables'!$G$26:$G$43,MATCH('Input|General'!$G$8,'Lookup|Tables'!$G$26:$G$42,0)+4,0,1,1),"")</f>
        <v>2018</v>
      </c>
      <c r="Q4" s="92">
        <f ca="1">IF(OFFSET('Lookup|Tables'!$G$26:$G$43,MATCH('Input|General'!$G$8,'Lookup|Tables'!$G$26:$G$42,0)+5,0,1,1)&lt;='Input|General'!$G$12,OFFSET('Lookup|Tables'!$G$26:$G$43,MATCH('Input|General'!$G$8,'Lookup|Tables'!$G$26:$G$42,0)+5,0,1,1),"")</f>
        <v>2019</v>
      </c>
      <c r="R4" s="92">
        <f ca="1">IF(OFFSET('Lookup|Tables'!$G$26:$G$43,MATCH('Input|General'!$G$8,'Lookup|Tables'!$G$26:$G$42,0)+6,0,1,1)&lt;='Input|General'!$G$12,OFFSET('Lookup|Tables'!$G$26:$G$43,MATCH('Input|General'!$G$8,'Lookup|Tables'!$G$26:$G$42,0)+6,0,1,1),"")</f>
        <v>2020</v>
      </c>
      <c r="S4" s="92">
        <f ca="1">IF(OFFSET('Lookup|Tables'!$G$26:$G$43,MATCH('Input|General'!$G$8,'Lookup|Tables'!$G$26:$G$42,0)+7,0,1,1)&lt;='Input|General'!$G$12,OFFSET('Lookup|Tables'!$G$26:$G$43,MATCH('Input|General'!$G$8,'Lookup|Tables'!$G$26:$G$42,0)+7,0,1,1),"")</f>
        <v>2021</v>
      </c>
      <c r="T4" s="92">
        <f ca="1">IF(OFFSET('Lookup|Tables'!$G$28:$G$43,MATCH('Input|General'!$G$8,'Lookup|Tables'!$G$28:$G$42,0)+8,0,1,1)&lt;='Input|General'!$G$12,OFFSET('Lookup|Tables'!$G$28:$G$43,MATCH('Input|General'!$G$8,'Lookup|Tables'!$G$28:$G$42,0)+8,0,1,1),"")</f>
        <v>2022</v>
      </c>
      <c r="U4" s="92"/>
      <c r="V4" s="92"/>
      <c r="W4" s="93"/>
      <c r="X4" s="94"/>
      <c r="Y4" s="94"/>
      <c r="Z4" s="94"/>
      <c r="AA4" s="94"/>
      <c r="AB4" s="94"/>
      <c r="AC4" s="94"/>
      <c r="AD4" s="94"/>
      <c r="AE4" s="95"/>
      <c r="AF4" s="96"/>
      <c r="AG4" s="96"/>
      <c r="AH4" s="97"/>
      <c r="AI4" s="97"/>
      <c r="AJ4" s="97"/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  <c r="AV4" s="97"/>
      <c r="AW4" s="97"/>
      <c r="AX4" s="97"/>
    </row>
    <row r="5" spans="1:50" s="27" customFormat="1" ht="3" customHeight="1">
      <c r="D5" s="28"/>
      <c r="E5" s="28"/>
      <c r="F5" s="28"/>
      <c r="G5" s="28"/>
      <c r="H5" s="28"/>
      <c r="I5" s="28"/>
      <c r="J5" s="28"/>
    </row>
    <row r="6" spans="1:50" s="27" customFormat="1" ht="9" customHeight="1">
      <c r="D6" s="28"/>
      <c r="E6" s="28"/>
      <c r="F6" s="28"/>
      <c r="G6" s="28"/>
      <c r="H6" s="28"/>
      <c r="I6" s="28"/>
      <c r="J6" s="28"/>
    </row>
    <row r="7" spans="1:50" s="27" customFormat="1" ht="3" customHeight="1">
      <c r="D7" s="28"/>
      <c r="E7" s="28"/>
      <c r="F7" s="28"/>
      <c r="G7" s="28"/>
      <c r="H7" s="28"/>
      <c r="I7" s="28"/>
      <c r="J7" s="28"/>
    </row>
    <row r="8" spans="1:50" s="108" customFormat="1" ht="12.75">
      <c r="A8" s="99"/>
      <c r="B8" s="100" t="s">
        <v>35</v>
      </c>
      <c r="C8" s="99"/>
      <c r="D8" s="99"/>
      <c r="E8" s="99"/>
      <c r="F8" s="101"/>
      <c r="G8" s="101"/>
      <c r="H8" s="101"/>
      <c r="I8" s="101"/>
      <c r="J8" s="101"/>
      <c r="K8" s="102"/>
      <c r="L8" s="103"/>
      <c r="M8" s="102"/>
      <c r="N8" s="103"/>
      <c r="O8" s="102"/>
      <c r="P8" s="102"/>
      <c r="Q8" s="102"/>
      <c r="R8" s="102"/>
      <c r="S8" s="102"/>
      <c r="T8" s="102"/>
      <c r="U8" s="102"/>
      <c r="V8" s="102"/>
      <c r="W8" s="103"/>
      <c r="X8" s="104"/>
      <c r="Y8" s="104"/>
      <c r="Z8" s="104"/>
      <c r="AA8" s="104"/>
      <c r="AB8" s="104"/>
      <c r="AC8" s="104"/>
      <c r="AD8" s="104"/>
      <c r="AE8" s="105"/>
      <c r="AF8" s="106"/>
      <c r="AG8" s="106"/>
      <c r="AH8" s="107"/>
      <c r="AI8" s="107"/>
      <c r="AJ8" s="107"/>
      <c r="AK8" s="107"/>
      <c r="AL8" s="107"/>
      <c r="AM8" s="107"/>
      <c r="AN8" s="107"/>
      <c r="AO8" s="107"/>
      <c r="AP8" s="107"/>
      <c r="AQ8" s="107"/>
      <c r="AR8" s="107"/>
      <c r="AS8" s="107"/>
      <c r="AT8" s="107"/>
      <c r="AU8" s="107"/>
      <c r="AV8" s="107"/>
      <c r="AW8" s="107"/>
      <c r="AX8" s="107"/>
    </row>
    <row r="9" spans="1:50" ht="11.25" customHeight="1" outlineLevel="1"/>
    <row r="10" spans="1:50" ht="11.25" customHeight="1" outlineLevel="1">
      <c r="C10" s="70" t="s">
        <v>33</v>
      </c>
      <c r="J10" s="173">
        <f ca="1">J$4</f>
        <v>2012</v>
      </c>
      <c r="K10" s="173">
        <f>K$4</f>
        <v>2013</v>
      </c>
      <c r="L10" s="173">
        <f t="shared" ref="L10:T10" ca="1" si="0">L$4</f>
        <v>2014</v>
      </c>
      <c r="M10" s="173">
        <f t="shared" ca="1" si="0"/>
        <v>2015</v>
      </c>
      <c r="N10" s="173">
        <f t="shared" ca="1" si="0"/>
        <v>2016</v>
      </c>
      <c r="O10" s="173">
        <f t="shared" ca="1" si="0"/>
        <v>2017</v>
      </c>
      <c r="P10" s="173">
        <f t="shared" ca="1" si="0"/>
        <v>2018</v>
      </c>
      <c r="Q10" s="173">
        <f t="shared" ca="1" si="0"/>
        <v>2019</v>
      </c>
      <c r="R10" s="173">
        <f t="shared" ca="1" si="0"/>
        <v>2020</v>
      </c>
      <c r="S10" s="173">
        <f t="shared" ca="1" si="0"/>
        <v>2021</v>
      </c>
      <c r="T10" s="173">
        <f t="shared" ca="1" si="0"/>
        <v>2022</v>
      </c>
    </row>
    <row r="11" spans="1:50" ht="11.25" customHeight="1" outlineLevel="1">
      <c r="C11" s="70"/>
      <c r="J11" s="29"/>
      <c r="P11" s="153"/>
      <c r="Q11" s="153"/>
      <c r="R11" s="153"/>
      <c r="S11" s="153"/>
      <c r="T11" s="153"/>
      <c r="U11" s="127"/>
      <c r="V11" s="127"/>
      <c r="W11" s="127"/>
    </row>
    <row r="12" spans="1:50" ht="11.25" customHeight="1" outlineLevel="1">
      <c r="C12" s="117" t="s">
        <v>33</v>
      </c>
      <c r="D12" s="154" t="s">
        <v>113</v>
      </c>
      <c r="E12" s="30" t="str">
        <f>percent</f>
        <v>Per cent</v>
      </c>
      <c r="J12" s="153">
        <f>'Input|Inflation'!E30/'Input|Inflation'!E26-1</f>
        <v>1.2096774193548487E-2</v>
      </c>
      <c r="K12" s="153">
        <f>'Input|Inflation'!$E34/'Input|Inflation'!$E30-1</f>
        <v>2.3904382470119501E-2</v>
      </c>
      <c r="L12" s="153">
        <f>'Input|Inflation'!E38/'Input|Inflation'!E34-1</f>
        <v>3.0155642023346418E-2</v>
      </c>
      <c r="M12" s="153">
        <f>'Input|Inflation'!E42/'Input|Inflation'!E38-1</f>
        <v>1.5108593012275628E-2</v>
      </c>
      <c r="N12" s="153">
        <f>'Input|Inflation'!E46/'Input|Inflation'!E42-1</f>
        <v>1.0232558139534831E-2</v>
      </c>
      <c r="O12" s="153">
        <f>'Input|Inflation'!E50/'Input|Inflation'!E46-1</f>
        <v>2.0000000000000018E-2</v>
      </c>
      <c r="P12" s="153"/>
      <c r="Q12" s="153"/>
      <c r="R12" s="153"/>
      <c r="S12" s="153"/>
      <c r="T12" s="153"/>
      <c r="U12" s="155"/>
    </row>
    <row r="13" spans="1:50" ht="11.25" customHeight="1" outlineLevel="1">
      <c r="D13" s="29"/>
      <c r="E13" s="29"/>
      <c r="F13" s="29"/>
      <c r="G13" s="29"/>
      <c r="H13" s="29"/>
      <c r="I13" s="29"/>
      <c r="J13" s="29"/>
    </row>
    <row r="14" spans="1:50" ht="11.25" customHeight="1" outlineLevel="1">
      <c r="C14" s="70" t="s">
        <v>114</v>
      </c>
      <c r="I14" s="29"/>
      <c r="J14" s="173">
        <f ca="1">J$4</f>
        <v>2012</v>
      </c>
      <c r="K14" s="173">
        <f>K$4</f>
        <v>2013</v>
      </c>
      <c r="L14" s="173">
        <f ca="1">L4</f>
        <v>2014</v>
      </c>
      <c r="M14" s="173">
        <f ca="1">M4</f>
        <v>2015</v>
      </c>
      <c r="N14" s="173">
        <f ca="1">N4</f>
        <v>2016</v>
      </c>
      <c r="O14" s="173">
        <f ca="1">O4</f>
        <v>2017</v>
      </c>
      <c r="P14" s="26"/>
      <c r="Q14" s="26"/>
      <c r="R14" s="26"/>
      <c r="S14" s="26"/>
      <c r="T14" s="26"/>
    </row>
    <row r="15" spans="1:50" ht="11.25" customHeight="1" outlineLevel="1">
      <c r="C15" s="70"/>
      <c r="I15" s="29"/>
      <c r="J15" s="127"/>
      <c r="K15" s="127"/>
      <c r="L15" s="127"/>
      <c r="M15" s="127"/>
      <c r="N15" s="127"/>
      <c r="O15" s="127"/>
      <c r="P15" s="26"/>
      <c r="Q15" s="26"/>
      <c r="R15" s="26"/>
      <c r="S15" s="26"/>
      <c r="T15" s="26"/>
    </row>
    <row r="16" spans="1:50" ht="11.25" customHeight="1" outlineLevel="1">
      <c r="C16" s="179">
        <f t="array" ref="C16:C21" ca="1">TRANSPOSE(J10:O10)</f>
        <v>2012</v>
      </c>
      <c r="D16" s="154" t="s">
        <v>113</v>
      </c>
      <c r="E16" s="30" t="s">
        <v>93</v>
      </c>
      <c r="J16" s="22">
        <v>1</v>
      </c>
      <c r="K16" s="22">
        <f t="shared" ref="K16:N16" si="1">J16*(1+K$12)</f>
        <v>1.0239043824701195</v>
      </c>
      <c r="L16" s="22">
        <f t="shared" si="1"/>
        <v>1.0547808764940241</v>
      </c>
      <c r="M16" s="22">
        <f t="shared" si="1"/>
        <v>1.0707171314741037</v>
      </c>
      <c r="N16" s="22">
        <f t="shared" si="1"/>
        <v>1.0816733067729085</v>
      </c>
      <c r="O16" s="22">
        <f>N16*(1+O$12)</f>
        <v>1.1033067729083668</v>
      </c>
      <c r="P16" s="151"/>
    </row>
    <row r="17" spans="1:50" ht="11.25" customHeight="1" outlineLevel="1">
      <c r="C17" s="179">
        <v>2013</v>
      </c>
      <c r="D17" s="154" t="s">
        <v>113</v>
      </c>
      <c r="E17" s="30" t="s">
        <v>93</v>
      </c>
      <c r="I17" s="22"/>
      <c r="J17" s="22">
        <f>K17/(1+K$12)</f>
        <v>0.97665369649805445</v>
      </c>
      <c r="K17" s="22">
        <v>1</v>
      </c>
      <c r="L17" s="22">
        <f>K17*(1+L$12)</f>
        <v>1.0301556420233464</v>
      </c>
      <c r="M17" s="22">
        <f t="shared" ref="M17:O17" si="2">L17*(1+M$12)</f>
        <v>1.0457198443579767</v>
      </c>
      <c r="N17" s="22">
        <f t="shared" si="2"/>
        <v>1.056420233463035</v>
      </c>
      <c r="O17" s="22">
        <f t="shared" si="2"/>
        <v>1.0775486381322958</v>
      </c>
      <c r="P17" s="151"/>
    </row>
    <row r="18" spans="1:50" ht="11.25" customHeight="1" outlineLevel="1">
      <c r="C18" s="179">
        <f ca="1"/>
        <v>2014</v>
      </c>
      <c r="D18" s="154" t="s">
        <v>113</v>
      </c>
      <c r="E18" s="30" t="s">
        <v>93</v>
      </c>
      <c r="I18" s="22"/>
      <c r="J18" s="22">
        <f>K18/(1+K$12)</f>
        <v>0.94806421152030207</v>
      </c>
      <c r="K18" s="22">
        <f>L18/(1+L$12)</f>
        <v>0.97072710103871562</v>
      </c>
      <c r="L18" s="22">
        <v>1</v>
      </c>
      <c r="M18" s="22">
        <f t="shared" ref="M18:O18" si="3">L18*(1+M$12)</f>
        <v>1.0151085930122756</v>
      </c>
      <c r="N18" s="22">
        <f t="shared" si="3"/>
        <v>1.0254957507082152</v>
      </c>
      <c r="O18" s="22">
        <f t="shared" si="3"/>
        <v>1.0460056657223795</v>
      </c>
      <c r="P18" s="151"/>
    </row>
    <row r="19" spans="1:50" ht="11.25" customHeight="1" outlineLevel="1">
      <c r="C19" s="179">
        <f ca="1"/>
        <v>2015</v>
      </c>
      <c r="D19" s="154" t="s">
        <v>113</v>
      </c>
      <c r="E19" s="30" t="s">
        <v>93</v>
      </c>
      <c r="I19" s="22"/>
      <c r="J19" s="22">
        <f t="shared" ref="J19:N21" si="4">K19/(1+K$12)</f>
        <v>0.93395348837209302</v>
      </c>
      <c r="K19" s="22">
        <f t="shared" si="4"/>
        <v>0.95627906976744181</v>
      </c>
      <c r="L19" s="22">
        <f t="shared" si="4"/>
        <v>0.98511627906976751</v>
      </c>
      <c r="M19" s="22">
        <v>1</v>
      </c>
      <c r="N19" s="22">
        <f t="shared" ref="N19:O19" si="5">M19*(1+N$12)</f>
        <v>1.0102325581395348</v>
      </c>
      <c r="O19" s="22">
        <f t="shared" si="5"/>
        <v>1.0304372093023255</v>
      </c>
      <c r="P19" s="151"/>
    </row>
    <row r="20" spans="1:50" ht="11.25" customHeight="1" outlineLevel="1">
      <c r="C20" s="179">
        <f ca="1"/>
        <v>2016</v>
      </c>
      <c r="D20" s="154" t="s">
        <v>113</v>
      </c>
      <c r="E20" s="30" t="s">
        <v>93</v>
      </c>
      <c r="I20" s="22"/>
      <c r="J20" s="22">
        <f t="shared" si="4"/>
        <v>0.92449355432780866</v>
      </c>
      <c r="K20" s="22">
        <f t="shared" si="4"/>
        <v>0.94659300184162076</v>
      </c>
      <c r="L20" s="22">
        <f t="shared" si="4"/>
        <v>0.97513812154696156</v>
      </c>
      <c r="M20" s="22">
        <f t="shared" si="4"/>
        <v>0.98987108655616951</v>
      </c>
      <c r="N20" s="22">
        <v>1</v>
      </c>
      <c r="O20" s="22">
        <f t="shared" ref="O20" si="6">N20*(1+O$12)</f>
        <v>1.02</v>
      </c>
      <c r="P20" s="151"/>
      <c r="Q20" s="156"/>
    </row>
    <row r="21" spans="1:50" ht="11.25" customHeight="1" outlineLevel="1">
      <c r="C21" s="179">
        <f ca="1"/>
        <v>2017</v>
      </c>
      <c r="D21" s="154" t="s">
        <v>113</v>
      </c>
      <c r="E21" s="30" t="s">
        <v>93</v>
      </c>
      <c r="I21" s="22"/>
      <c r="J21" s="22">
        <f t="shared" si="4"/>
        <v>0.90636622973314562</v>
      </c>
      <c r="K21" s="22">
        <f t="shared" si="4"/>
        <v>0.92803235474668688</v>
      </c>
      <c r="L21" s="22">
        <f t="shared" si="4"/>
        <v>0.95601776622251122</v>
      </c>
      <c r="M21" s="22">
        <f t="shared" si="4"/>
        <v>0.97046184956487203</v>
      </c>
      <c r="N21" s="22">
        <f t="shared" si="4"/>
        <v>0.98039215686274506</v>
      </c>
      <c r="O21" s="22">
        <v>1</v>
      </c>
    </row>
    <row r="22" spans="1:50" ht="11.25" customHeight="1" outlineLevel="1">
      <c r="C22" s="117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</row>
    <row r="23" spans="1:50" ht="11.25" customHeight="1" outlineLevel="1">
      <c r="C23" s="70" t="s">
        <v>48</v>
      </c>
      <c r="J23" s="173">
        <f t="shared" ref="J23:O23" ca="1" si="7">J10</f>
        <v>2012</v>
      </c>
      <c r="K23" s="173">
        <f t="shared" si="7"/>
        <v>2013</v>
      </c>
      <c r="L23" s="173">
        <f t="shared" ca="1" si="7"/>
        <v>2014</v>
      </c>
      <c r="M23" s="173">
        <f t="shared" ca="1" si="7"/>
        <v>2015</v>
      </c>
      <c r="N23" s="173">
        <f t="shared" ca="1" si="7"/>
        <v>2016</v>
      </c>
      <c r="O23" s="173">
        <f t="shared" ca="1" si="7"/>
        <v>2017</v>
      </c>
      <c r="P23" s="22"/>
      <c r="Q23" s="22"/>
      <c r="R23" s="22"/>
      <c r="S23" s="22"/>
      <c r="T23" s="22"/>
    </row>
    <row r="24" spans="1:50" ht="11.25" customHeight="1" outlineLevel="1">
      <c r="C24" s="117"/>
      <c r="J24" s="29"/>
      <c r="P24" s="151"/>
      <c r="Q24" s="22"/>
      <c r="R24" s="22"/>
      <c r="S24" s="22"/>
      <c r="T24" s="22"/>
    </row>
    <row r="25" spans="1:50" ht="11.25" customHeight="1" outlineLevel="1">
      <c r="C25" s="179">
        <f t="array" ref="C25:C30" ca="1">TRANSPOSE(J10:O10)</f>
        <v>2012</v>
      </c>
      <c r="D25" s="154" t="s">
        <v>113</v>
      </c>
      <c r="E25" s="30" t="s">
        <v>93</v>
      </c>
      <c r="I25" s="22"/>
      <c r="J25" s="22">
        <f t="shared" ref="J25:O30" si="8">1/J16*(1+J$12)^0.5</f>
        <v>1.006030205408142</v>
      </c>
      <c r="K25" s="22">
        <f t="shared" si="8"/>
        <v>0.98825790990917683</v>
      </c>
      <c r="L25" s="22">
        <f t="shared" si="8"/>
        <v>0.9622527821205904</v>
      </c>
      <c r="M25" s="22">
        <f t="shared" si="8"/>
        <v>0.94098240023399149</v>
      </c>
      <c r="N25" s="22">
        <f t="shared" si="8"/>
        <v>0.92921148294775802</v>
      </c>
      <c r="O25" s="22">
        <f t="shared" si="8"/>
        <v>0.91538502131545196</v>
      </c>
      <c r="P25" s="151"/>
      <c r="Q25" s="156"/>
      <c r="R25" s="156"/>
      <c r="S25" s="156"/>
      <c r="T25" s="156"/>
      <c r="U25" s="156"/>
      <c r="V25" s="156"/>
    </row>
    <row r="26" spans="1:50" ht="11.25" customHeight="1" outlineLevel="1">
      <c r="C26" s="179">
        <v>2013</v>
      </c>
      <c r="D26" s="154" t="s">
        <v>113</v>
      </c>
      <c r="E26" s="30" t="s">
        <v>93</v>
      </c>
      <c r="I26" s="22"/>
      <c r="J26" s="22">
        <f t="shared" si="8"/>
        <v>1.0300787362147112</v>
      </c>
      <c r="K26" s="22">
        <f t="shared" si="8"/>
        <v>1.0118816049667667</v>
      </c>
      <c r="L26" s="22">
        <f t="shared" si="8"/>
        <v>0.98525484065733759</v>
      </c>
      <c r="M26" s="22">
        <f t="shared" si="8"/>
        <v>0.96347600342683604</v>
      </c>
      <c r="N26" s="22">
        <f t="shared" si="8"/>
        <v>0.95142370963176837</v>
      </c>
      <c r="O26" s="22">
        <f t="shared" si="8"/>
        <v>0.9372667349723951</v>
      </c>
      <c r="P26" s="151"/>
      <c r="Q26" s="156"/>
      <c r="R26" s="156"/>
      <c r="S26" s="156"/>
      <c r="T26" s="156"/>
      <c r="U26" s="156"/>
      <c r="V26" s="156"/>
    </row>
    <row r="27" spans="1:50" ht="11.25" customHeight="1" outlineLevel="1">
      <c r="C27" s="179">
        <f ca="1"/>
        <v>2014</v>
      </c>
      <c r="D27" s="154" t="s">
        <v>113</v>
      </c>
      <c r="E27" s="30" t="s">
        <v>93</v>
      </c>
      <c r="I27" s="22"/>
      <c r="J27" s="22">
        <f t="shared" si="8"/>
        <v>1.0611414218398632</v>
      </c>
      <c r="K27" s="22">
        <f t="shared" si="8"/>
        <v>1.0423955444161537</v>
      </c>
      <c r="L27" s="22">
        <f t="shared" si="8"/>
        <v>1.0149658329339695</v>
      </c>
      <c r="M27" s="22">
        <f t="shared" si="8"/>
        <v>0.99253024088426012</v>
      </c>
      <c r="N27" s="22">
        <f t="shared" si="8"/>
        <v>0.98011450243194831</v>
      </c>
      <c r="O27" s="22">
        <f t="shared" si="8"/>
        <v>0.96553061511261351</v>
      </c>
      <c r="P27" s="151"/>
      <c r="Q27" s="156"/>
      <c r="R27" s="156"/>
      <c r="S27" s="156"/>
      <c r="T27" s="156"/>
      <c r="U27" s="156"/>
      <c r="V27" s="156"/>
    </row>
    <row r="28" spans="1:50" ht="11.25" customHeight="1" outlineLevel="1">
      <c r="C28" s="179">
        <f ca="1"/>
        <v>2015</v>
      </c>
      <c r="D28" s="154" t="s">
        <v>113</v>
      </c>
      <c r="E28" s="30" t="s">
        <v>93</v>
      </c>
      <c r="I28" s="22"/>
      <c r="J28" s="22">
        <f t="shared" si="8"/>
        <v>1.077173775710909</v>
      </c>
      <c r="K28" s="22">
        <f t="shared" si="8"/>
        <v>1.0581446744545469</v>
      </c>
      <c r="L28" s="22">
        <f t="shared" si="8"/>
        <v>1.030300538625134</v>
      </c>
      <c r="M28" s="22">
        <f t="shared" si="8"/>
        <v>1.0075259763461564</v>
      </c>
      <c r="N28" s="22">
        <f t="shared" si="8"/>
        <v>0.99492265355462162</v>
      </c>
      <c r="O28" s="22">
        <f t="shared" si="8"/>
        <v>0.98011842421724216</v>
      </c>
      <c r="P28" s="151"/>
      <c r="Q28" s="156"/>
      <c r="R28" s="156"/>
      <c r="S28" s="156"/>
      <c r="T28" s="156"/>
      <c r="U28" s="156"/>
      <c r="V28" s="156"/>
    </row>
    <row r="29" spans="1:50" ht="11.25" customHeight="1" outlineLevel="1">
      <c r="C29" s="179">
        <f ca="1"/>
        <v>2016</v>
      </c>
      <c r="D29" s="154" t="s">
        <v>113</v>
      </c>
      <c r="E29" s="30" t="s">
        <v>93</v>
      </c>
      <c r="I29" s="22"/>
      <c r="J29" s="22">
        <f t="shared" si="8"/>
        <v>1.088196018997253</v>
      </c>
      <c r="K29" s="22">
        <f t="shared" si="8"/>
        <v>1.068972201355942</v>
      </c>
      <c r="L29" s="22">
        <f t="shared" si="8"/>
        <v>1.0408431487878098</v>
      </c>
      <c r="M29" s="22">
        <f t="shared" si="8"/>
        <v>1.0178355444762099</v>
      </c>
      <c r="N29" s="22">
        <f t="shared" si="8"/>
        <v>1.0051032574514596</v>
      </c>
      <c r="O29" s="22">
        <f t="shared" si="8"/>
        <v>0.99014754297667429</v>
      </c>
      <c r="Q29" s="156"/>
      <c r="R29" s="156"/>
      <c r="S29" s="156"/>
      <c r="T29" s="156"/>
      <c r="U29" s="156"/>
      <c r="V29" s="156"/>
    </row>
    <row r="30" spans="1:50" ht="11.25" customHeight="1" outlineLevel="1">
      <c r="C30" s="179">
        <f ca="1"/>
        <v>2017</v>
      </c>
      <c r="D30" s="154" t="s">
        <v>113</v>
      </c>
      <c r="E30" s="30" t="s">
        <v>93</v>
      </c>
      <c r="I30" s="22"/>
      <c r="J30" s="22">
        <f t="shared" si="8"/>
        <v>1.1099599393771984</v>
      </c>
      <c r="K30" s="22">
        <f t="shared" si="8"/>
        <v>1.0903516453830611</v>
      </c>
      <c r="L30" s="22">
        <f t="shared" si="8"/>
        <v>1.0616600117635662</v>
      </c>
      <c r="M30" s="22">
        <f t="shared" si="8"/>
        <v>1.0381922553657341</v>
      </c>
      <c r="N30" s="22">
        <f t="shared" si="8"/>
        <v>1.0252053226004887</v>
      </c>
      <c r="O30" s="22">
        <f t="shared" si="8"/>
        <v>1.0099504938362078</v>
      </c>
      <c r="P30" s="151"/>
      <c r="Q30" s="156"/>
      <c r="R30" s="156"/>
      <c r="S30" s="156"/>
      <c r="T30" s="156"/>
      <c r="U30" s="156"/>
      <c r="V30" s="156"/>
    </row>
    <row r="31" spans="1:50">
      <c r="C31" s="117"/>
      <c r="K31" s="22"/>
      <c r="L31" s="22"/>
      <c r="M31" s="22"/>
      <c r="N31" s="22"/>
      <c r="O31" s="22"/>
      <c r="P31" s="26"/>
      <c r="Q31" s="22"/>
      <c r="R31" s="22"/>
      <c r="S31" s="22"/>
      <c r="T31" s="22"/>
    </row>
    <row r="32" spans="1:50" s="108" customFormat="1" ht="12.75">
      <c r="A32" s="99"/>
      <c r="B32" s="100" t="s">
        <v>87</v>
      </c>
      <c r="C32" s="99"/>
      <c r="D32" s="99"/>
      <c r="E32" s="99"/>
      <c r="F32" s="101"/>
      <c r="G32" s="101"/>
      <c r="H32" s="101"/>
      <c r="I32" s="101"/>
      <c r="J32" s="101"/>
      <c r="K32" s="102"/>
      <c r="L32" s="103"/>
      <c r="M32" s="102"/>
      <c r="N32" s="103"/>
      <c r="O32" s="102"/>
      <c r="P32" s="102"/>
      <c r="Q32" s="102"/>
      <c r="R32" s="102"/>
      <c r="S32" s="102"/>
      <c r="T32" s="102"/>
      <c r="U32" s="102"/>
      <c r="V32" s="102"/>
      <c r="W32" s="103"/>
      <c r="X32" s="104"/>
      <c r="Y32" s="104"/>
      <c r="Z32" s="104"/>
      <c r="AA32" s="104"/>
      <c r="AB32" s="104"/>
      <c r="AC32" s="104"/>
      <c r="AD32" s="104"/>
      <c r="AE32" s="105"/>
      <c r="AF32" s="106"/>
      <c r="AG32" s="106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</row>
    <row r="33" spans="3:21" ht="11.25" customHeight="1" outlineLevel="1">
      <c r="K33" s="30"/>
      <c r="L33" s="30"/>
      <c r="M33" s="30"/>
      <c r="N33" s="30"/>
      <c r="O33" s="30"/>
      <c r="P33" s="30"/>
      <c r="Q33" s="30"/>
      <c r="R33" s="30"/>
      <c r="S33" s="30"/>
      <c r="T33" s="30"/>
    </row>
    <row r="34" spans="3:21" ht="11.25" customHeight="1" outlineLevel="1">
      <c r="C34" s="70" t="s">
        <v>90</v>
      </c>
      <c r="D34" s="32" t="s">
        <v>7</v>
      </c>
      <c r="E34" s="32" t="s">
        <v>8</v>
      </c>
      <c r="K34" s="111" t="str">
        <f>IF(RIGHT(K$4,2)&gt;=RIGHT('Input|General'!$G$11,2),IF(RIGHT(K$4,2)&lt;=RIGHT('Input|General'!$G$12,2),K$4,""),"")</f>
        <v/>
      </c>
      <c r="L34" s="111" t="str">
        <f ca="1">IF(RIGHT(L$4,2)&gt;=RIGHT('Input|General'!$G$11,2),IF(RIGHT(L$4,2)&lt;=RIGHT('Input|General'!$G$12,2),L$4,""),"")</f>
        <v/>
      </c>
      <c r="M34" s="111" t="str">
        <f ca="1">IF(RIGHT(M$4,2)&gt;=RIGHT('Input|General'!$G$11,2),IF(RIGHT(M$4,2)&lt;=RIGHT('Input|General'!$G$12,2),M$4,""),"")</f>
        <v/>
      </c>
      <c r="N34" s="111" t="str">
        <f ca="1">IF(RIGHT(N$4,2)&gt;=RIGHT('Input|General'!$G$11,2),IF(RIGHT(N$4,2)&lt;=RIGHT('Input|General'!$G$12,2),N$4,""),"")</f>
        <v/>
      </c>
      <c r="O34" s="111" t="str">
        <f ca="1">IF(RIGHT(O$4,2)&gt;=RIGHT('Input|General'!$G$11,2),IF(RIGHT(O$4,2)&lt;=RIGHT('Input|General'!$G$12,2),O$4,""),"")</f>
        <v/>
      </c>
      <c r="P34" s="173">
        <f ca="1">IF(RIGHT(P$4,2)&gt;=RIGHT('Input|General'!$G$11,2),IF(RIGHT(P$4,2)&lt;=RIGHT('Input|General'!$G$12,2),P$4,""),"")</f>
        <v>2018</v>
      </c>
      <c r="Q34" s="173">
        <f ca="1">IF(RIGHT(Q$4,2)&gt;=RIGHT('Input|General'!$G$11,2),IF(RIGHT(Q$4,2)&lt;=RIGHT('Input|General'!$G$12,2),Q$4,""),"")</f>
        <v>2019</v>
      </c>
      <c r="R34" s="173">
        <f ca="1">IF(RIGHT(R$4,2)&gt;=RIGHT('Input|General'!$G$11,2),IF(RIGHT(R$4,2)&lt;=RIGHT('Input|General'!$G$12,2),R$4,""),"")</f>
        <v>2020</v>
      </c>
      <c r="S34" s="173">
        <f ca="1">IF(RIGHT(S$4,2)&gt;=RIGHT('Input|General'!$G$11,2),IF(RIGHT(S$4,2)&lt;=RIGHT('Input|General'!$G$12,2),S$4,""),"")</f>
        <v>2021</v>
      </c>
      <c r="T34" s="173">
        <f ca="1">IF(RIGHT(T$4,2)&gt;=RIGHT('Input|General'!$G$11,2),IF(RIGHT(T$4,2)&lt;=RIGHT('Input|General'!$G$12,2),T$4,""),"")</f>
        <v>2022</v>
      </c>
    </row>
    <row r="35" spans="3:21" ht="11.25" customHeight="1" outlineLevel="1"/>
    <row r="36" spans="3:21" ht="11.25" customHeight="1" outlineLevel="1">
      <c r="C36" s="62" t="s">
        <v>141</v>
      </c>
      <c r="D36" s="30" t="s">
        <v>116</v>
      </c>
      <c r="E36" s="30" t="str">
        <f t="shared" ref="E36:E43" si="9">percent</f>
        <v>Per cent</v>
      </c>
      <c r="P36" s="61">
        <v>5.8358704105689885E-3</v>
      </c>
      <c r="Q36" s="61">
        <v>9.7821692511312897E-3</v>
      </c>
      <c r="R36" s="61">
        <v>9.3131476250294387E-3</v>
      </c>
      <c r="S36" s="61">
        <v>9.0758405201420977E-3</v>
      </c>
      <c r="T36" s="61">
        <v>8.6489774698599309E-3</v>
      </c>
    </row>
    <row r="37" spans="3:21" ht="11.25" customHeight="1" outlineLevel="1">
      <c r="C37" s="62" t="s">
        <v>149</v>
      </c>
      <c r="D37" s="30" t="s">
        <v>116</v>
      </c>
      <c r="E37" s="30" t="str">
        <f t="shared" si="9"/>
        <v>Per cent</v>
      </c>
      <c r="P37" s="61">
        <v>1.0999999999999999E-2</v>
      </c>
      <c r="Q37" s="61">
        <v>8.9999999999999993E-3</v>
      </c>
      <c r="R37" s="61">
        <v>1.2E-2</v>
      </c>
      <c r="S37" s="61">
        <v>1.7000000000000001E-2</v>
      </c>
      <c r="T37" s="61">
        <v>0.02</v>
      </c>
    </row>
    <row r="38" spans="3:21" ht="11.25" customHeight="1" outlineLevel="1">
      <c r="C38" s="62" t="s">
        <v>150</v>
      </c>
      <c r="D38" s="30" t="s">
        <v>116</v>
      </c>
      <c r="E38" s="30" t="str">
        <f t="shared" si="9"/>
        <v>Per cent</v>
      </c>
      <c r="P38" s="61">
        <f>AVERAGE(P36:P37)</f>
        <v>8.4179352052844939E-3</v>
      </c>
      <c r="Q38" s="61">
        <f t="shared" ref="Q38:T38" si="10">AVERAGE(Q36:Q37)</f>
        <v>9.3910846255656454E-3</v>
      </c>
      <c r="R38" s="61">
        <f t="shared" si="10"/>
        <v>1.0656573812514719E-2</v>
      </c>
      <c r="S38" s="61">
        <f t="shared" si="10"/>
        <v>1.3037920260071049E-2</v>
      </c>
      <c r="T38" s="61">
        <f t="shared" si="10"/>
        <v>1.4324488734929966E-2</v>
      </c>
    </row>
    <row r="39" spans="3:21" ht="11.25" customHeight="1" outlineLevel="1">
      <c r="C39" s="62"/>
      <c r="D39" s="30" t="s">
        <v>116</v>
      </c>
      <c r="E39" s="30" t="str">
        <f t="shared" si="9"/>
        <v>Per cent</v>
      </c>
      <c r="P39" s="61"/>
      <c r="Q39" s="61"/>
      <c r="R39" s="61"/>
      <c r="S39" s="61"/>
      <c r="T39" s="61"/>
      <c r="U39" s="157"/>
    </row>
    <row r="40" spans="3:21" ht="11.25" customHeight="1" outlineLevel="1">
      <c r="C40" s="62"/>
      <c r="D40" s="30" t="s">
        <v>116</v>
      </c>
      <c r="E40" s="30" t="str">
        <f t="shared" si="9"/>
        <v>Per cent</v>
      </c>
      <c r="P40" s="61"/>
      <c r="Q40" s="61"/>
      <c r="R40" s="61"/>
      <c r="S40" s="61"/>
      <c r="T40" s="61"/>
    </row>
    <row r="41" spans="3:21" ht="11.25" customHeight="1" outlineLevel="1">
      <c r="C41" s="62"/>
      <c r="D41" s="30" t="s">
        <v>116</v>
      </c>
      <c r="E41" s="30" t="str">
        <f t="shared" si="9"/>
        <v>Per cent</v>
      </c>
      <c r="P41" s="61"/>
      <c r="Q41" s="61"/>
      <c r="R41" s="61"/>
      <c r="S41" s="61"/>
      <c r="T41" s="61"/>
    </row>
    <row r="42" spans="3:21" ht="11.25" customHeight="1" outlineLevel="1">
      <c r="C42" s="62"/>
      <c r="D42" s="30" t="s">
        <v>116</v>
      </c>
      <c r="E42" s="30" t="str">
        <f t="shared" si="9"/>
        <v>Per cent</v>
      </c>
      <c r="P42" s="61"/>
      <c r="Q42" s="61"/>
      <c r="R42" s="61"/>
      <c r="S42" s="61"/>
      <c r="T42" s="61"/>
    </row>
    <row r="43" spans="3:21" ht="11.25" customHeight="1" outlineLevel="1">
      <c r="C43" s="62" t="s">
        <v>91</v>
      </c>
      <c r="D43" s="30" t="s">
        <v>116</v>
      </c>
      <c r="E43" s="30" t="str">
        <f t="shared" si="9"/>
        <v>Per cent</v>
      </c>
      <c r="P43" s="61">
        <v>0</v>
      </c>
      <c r="Q43" s="61">
        <v>0</v>
      </c>
      <c r="R43" s="61">
        <v>0</v>
      </c>
      <c r="S43" s="61">
        <v>0</v>
      </c>
      <c r="T43" s="61">
        <v>0</v>
      </c>
    </row>
    <row r="44" spans="3:21" ht="11.25" customHeight="1" outlineLevel="1"/>
    <row r="45" spans="3:21" ht="11.25" customHeight="1" outlineLevel="1">
      <c r="C45" s="70" t="s">
        <v>44</v>
      </c>
      <c r="D45" s="32" t="s">
        <v>7</v>
      </c>
      <c r="E45" s="32" t="s">
        <v>8</v>
      </c>
      <c r="K45" s="111" t="str">
        <f>IF(RIGHT(K$4,2)&gt;=RIGHT('Input|General'!$G$11,2),IF(RIGHT(K$4,2)&lt;=RIGHT('Input|General'!$G$12,2),K$4,""),"")</f>
        <v/>
      </c>
      <c r="L45" s="111" t="str">
        <f ca="1">IF(RIGHT(L$4,2)&gt;=RIGHT('Input|General'!$G$11,2),IF(RIGHT(L$4,2)&lt;=RIGHT('Input|General'!$G$12,2),L$4,""),"")</f>
        <v/>
      </c>
      <c r="M45" s="111" t="str">
        <f ca="1">IF(RIGHT(M$4,2)&gt;=RIGHT('Input|General'!$G$11,2),IF(RIGHT(M$4,2)&lt;=RIGHT('Input|General'!$G$12,2),M$4,""),"")</f>
        <v/>
      </c>
      <c r="N45" s="111" t="str">
        <f ca="1">IF(RIGHT(N$4,2)&gt;=RIGHT('Input|General'!$G$11,2),IF(RIGHT(N$4,2)&lt;=RIGHT('Input|General'!$G$12,2),N$4,""),"")</f>
        <v/>
      </c>
      <c r="O45" s="111" t="str">
        <f ca="1">IF(RIGHT(O$4,2)&gt;=RIGHT('Input|General'!$G$11,2),IF(RIGHT(O$4,2)&lt;=RIGHT('Input|General'!$G$12,2),O$4,""),"")</f>
        <v/>
      </c>
      <c r="P45" s="173">
        <f ca="1">IF(RIGHT(P$4,2)&gt;=RIGHT('Input|General'!$G$11,2),IF(RIGHT(P$4,2)&lt;=RIGHT('Input|General'!$G$12,2),P$4,""),"")</f>
        <v>2018</v>
      </c>
      <c r="Q45" s="173">
        <f ca="1">IF(RIGHT(Q$4,2)&gt;=RIGHT('Input|General'!$G$11,2),IF(RIGHT(Q$4,2)&lt;=RIGHT('Input|General'!$G$12,2),Q$4,""),"")</f>
        <v>2019</v>
      </c>
      <c r="R45" s="173">
        <f ca="1">IF(RIGHT(R$4,2)&gt;=RIGHT('Input|General'!$G$11,2),IF(RIGHT(R$4,2)&lt;=RIGHT('Input|General'!$G$12,2),R$4,""),"")</f>
        <v>2020</v>
      </c>
      <c r="S45" s="173">
        <f ca="1">IF(RIGHT(S$4,2)&gt;=RIGHT('Input|General'!$G$11,2),IF(RIGHT(S$4,2)&lt;=RIGHT('Input|General'!$G$12,2),S$4,""),"")</f>
        <v>2021</v>
      </c>
      <c r="T45" s="173">
        <f ca="1">IF(RIGHT(T$4,2)&gt;=RIGHT('Input|General'!$G$11,2),IF(RIGHT(T$4,2)&lt;=RIGHT('Input|General'!$G$12,2),T$4,""),"")</f>
        <v>2022</v>
      </c>
    </row>
    <row r="46" spans="3:21" ht="11.25" customHeight="1" outlineLevel="1"/>
    <row r="47" spans="3:21" ht="11.25" customHeight="1" outlineLevel="1">
      <c r="C47" s="158" t="str">
        <f>C36</f>
        <v>WPI - DAE</v>
      </c>
      <c r="D47" s="30" t="s">
        <v>116</v>
      </c>
      <c r="E47" s="30" t="str">
        <f t="shared" ref="E47:E54" si="11">percent</f>
        <v>Per cent</v>
      </c>
      <c r="P47" s="61">
        <v>0</v>
      </c>
      <c r="Q47" s="61">
        <v>0</v>
      </c>
      <c r="R47" s="61">
        <v>0</v>
      </c>
      <c r="S47" s="61">
        <v>0</v>
      </c>
      <c r="T47" s="61">
        <v>0</v>
      </c>
    </row>
    <row r="48" spans="3:21" ht="11.25" customHeight="1" outlineLevel="1">
      <c r="C48" s="158" t="str">
        <f t="shared" ref="C48:C54" si="12">C37</f>
        <v>WPI - BIS Schrapnel (october 2016)</v>
      </c>
      <c r="D48" s="30" t="s">
        <v>116</v>
      </c>
      <c r="E48" s="30" t="str">
        <f t="shared" si="11"/>
        <v>Per cent</v>
      </c>
      <c r="P48" s="61">
        <v>0</v>
      </c>
      <c r="Q48" s="61">
        <v>0</v>
      </c>
      <c r="R48" s="61">
        <v>0</v>
      </c>
      <c r="S48" s="61">
        <v>0</v>
      </c>
      <c r="T48" s="61">
        <v>0</v>
      </c>
    </row>
    <row r="49" spans="1:50" ht="11.25" customHeight="1" outlineLevel="1">
      <c r="C49" s="158" t="str">
        <f t="shared" si="12"/>
        <v>WPI - average of DAE and BIS Schrapnel</v>
      </c>
      <c r="D49" s="30" t="s">
        <v>116</v>
      </c>
      <c r="E49" s="30" t="str">
        <f t="shared" si="11"/>
        <v>Per cent</v>
      </c>
      <c r="P49" s="61">
        <v>0.62</v>
      </c>
      <c r="Q49" s="61">
        <v>0.62</v>
      </c>
      <c r="R49" s="61">
        <v>0.62</v>
      </c>
      <c r="S49" s="61">
        <v>0.62</v>
      </c>
      <c r="T49" s="61">
        <v>0.62</v>
      </c>
    </row>
    <row r="50" spans="1:50" ht="11.25" customHeight="1" outlineLevel="1">
      <c r="C50" s="158">
        <f t="shared" si="12"/>
        <v>0</v>
      </c>
      <c r="D50" s="30" t="s">
        <v>116</v>
      </c>
      <c r="E50" s="30" t="str">
        <f t="shared" si="11"/>
        <v>Per cent</v>
      </c>
      <c r="P50" s="61"/>
      <c r="Q50" s="61"/>
      <c r="R50" s="61"/>
      <c r="S50" s="61"/>
      <c r="T50" s="61"/>
      <c r="U50" s="157"/>
    </row>
    <row r="51" spans="1:50" ht="11.25" customHeight="1" outlineLevel="1">
      <c r="C51" s="158">
        <f t="shared" si="12"/>
        <v>0</v>
      </c>
      <c r="D51" s="30" t="s">
        <v>116</v>
      </c>
      <c r="E51" s="30" t="str">
        <f t="shared" si="11"/>
        <v>Per cent</v>
      </c>
      <c r="P51" s="61"/>
      <c r="Q51" s="61"/>
      <c r="R51" s="61"/>
      <c r="S51" s="61"/>
      <c r="T51" s="61"/>
    </row>
    <row r="52" spans="1:50" ht="11.25" customHeight="1" outlineLevel="1">
      <c r="C52" s="158">
        <f t="shared" si="12"/>
        <v>0</v>
      </c>
      <c r="D52" s="30" t="s">
        <v>116</v>
      </c>
      <c r="E52" s="30" t="str">
        <f t="shared" si="11"/>
        <v>Per cent</v>
      </c>
      <c r="P52" s="61"/>
      <c r="Q52" s="61"/>
      <c r="R52" s="61"/>
      <c r="S52" s="61"/>
      <c r="T52" s="61"/>
    </row>
    <row r="53" spans="1:50" ht="11.25" customHeight="1" outlineLevel="1">
      <c r="C53" s="158">
        <f t="shared" si="12"/>
        <v>0</v>
      </c>
      <c r="D53" s="30" t="s">
        <v>116</v>
      </c>
      <c r="E53" s="30" t="str">
        <f t="shared" si="11"/>
        <v>Per cent</v>
      </c>
      <c r="P53" s="61"/>
      <c r="Q53" s="61"/>
      <c r="R53" s="61"/>
      <c r="S53" s="61"/>
      <c r="T53" s="61"/>
    </row>
    <row r="54" spans="1:50" ht="11.25" customHeight="1" outlineLevel="1">
      <c r="C54" s="158" t="str">
        <f t="shared" si="12"/>
        <v>CPI</v>
      </c>
      <c r="D54" s="30" t="s">
        <v>116</v>
      </c>
      <c r="E54" s="30" t="str">
        <f t="shared" si="11"/>
        <v>Per cent</v>
      </c>
      <c r="P54" s="61">
        <v>0.38</v>
      </c>
      <c r="Q54" s="61">
        <v>0.38</v>
      </c>
      <c r="R54" s="61">
        <v>0.38</v>
      </c>
      <c r="S54" s="61">
        <v>0.38</v>
      </c>
      <c r="T54" s="61">
        <v>0.38</v>
      </c>
    </row>
    <row r="55" spans="1:50" ht="11.25" customHeight="1" outlineLevel="1"/>
    <row r="56" spans="1:50" outlineLevel="1">
      <c r="C56" s="29" t="s">
        <v>40</v>
      </c>
      <c r="D56" s="30" t="s">
        <v>113</v>
      </c>
      <c r="E56" s="30" t="s">
        <v>28</v>
      </c>
      <c r="F56" s="30" t="s">
        <v>36</v>
      </c>
      <c r="N56" s="24"/>
      <c r="O56" s="24"/>
      <c r="P56" s="140" t="str">
        <f>IF(SUM(P47:P54)=1,"Ok","Check")</f>
        <v>Ok</v>
      </c>
      <c r="Q56" s="140" t="str">
        <f t="shared" ref="Q56:T56" si="13">IF(SUM(Q47:Q54)=1,"Ok","Check")</f>
        <v>Ok</v>
      </c>
      <c r="R56" s="140" t="str">
        <f t="shared" si="13"/>
        <v>Ok</v>
      </c>
      <c r="S56" s="140" t="str">
        <f t="shared" si="13"/>
        <v>Ok</v>
      </c>
      <c r="T56" s="140" t="str">
        <f t="shared" si="13"/>
        <v>Ok</v>
      </c>
      <c r="U56" s="24"/>
      <c r="W56" s="140" t="str">
        <f>IF(COUNTIF(K56:T56,"Check")=0,"Ok","Check")</f>
        <v>Ok</v>
      </c>
    </row>
    <row r="57" spans="1:50"/>
    <row r="58" spans="1:50" s="108" customFormat="1" ht="12.75">
      <c r="A58" s="99"/>
      <c r="B58" s="100" t="s">
        <v>94</v>
      </c>
      <c r="C58" s="99"/>
      <c r="D58" s="99"/>
      <c r="E58" s="99"/>
      <c r="F58" s="101"/>
      <c r="G58" s="101"/>
      <c r="H58" s="101"/>
      <c r="I58" s="101"/>
      <c r="J58" s="101"/>
      <c r="K58" s="102"/>
      <c r="L58" s="103"/>
      <c r="M58" s="102"/>
      <c r="N58" s="103"/>
      <c r="O58" s="102"/>
      <c r="P58" s="102"/>
      <c r="Q58" s="102"/>
      <c r="R58" s="102"/>
      <c r="S58" s="102"/>
      <c r="T58" s="102"/>
      <c r="U58" s="102"/>
      <c r="V58" s="102"/>
      <c r="W58" s="103"/>
      <c r="X58" s="104"/>
      <c r="Y58" s="104"/>
      <c r="Z58" s="104"/>
      <c r="AA58" s="104"/>
      <c r="AB58" s="104"/>
      <c r="AC58" s="104"/>
      <c r="AD58" s="104"/>
      <c r="AE58" s="105"/>
      <c r="AF58" s="106"/>
      <c r="AG58" s="106"/>
      <c r="AH58" s="107"/>
      <c r="AI58" s="107"/>
      <c r="AJ58" s="107"/>
      <c r="AK58" s="107"/>
      <c r="AL58" s="107"/>
      <c r="AM58" s="107"/>
      <c r="AN58" s="107"/>
      <c r="AO58" s="107"/>
      <c r="AP58" s="107"/>
      <c r="AQ58" s="107"/>
      <c r="AR58" s="107"/>
      <c r="AS58" s="107"/>
      <c r="AT58" s="107"/>
      <c r="AU58" s="107"/>
      <c r="AV58" s="107"/>
      <c r="AW58" s="107"/>
      <c r="AX58" s="107"/>
    </row>
    <row r="59" spans="1:50" outlineLevel="1">
      <c r="G59" s="32"/>
      <c r="H59" s="32"/>
    </row>
    <row r="60" spans="1:50" outlineLevel="1">
      <c r="C60" s="70" t="s">
        <v>95</v>
      </c>
      <c r="D60" s="32" t="s">
        <v>7</v>
      </c>
      <c r="E60" s="32" t="s">
        <v>8</v>
      </c>
      <c r="F60" s="32" t="s">
        <v>22</v>
      </c>
      <c r="G60" s="32"/>
      <c r="H60" s="32"/>
      <c r="K60" s="111" t="str">
        <f>IF(RIGHT(K$4,2)&gt;=RIGHT('Input|General'!$G$10,2),IF(RIGHT(K$4,2)&lt;=RIGHT('Input|General'!$G$12,2),K$4,""),"")</f>
        <v/>
      </c>
      <c r="L60" s="111" t="str">
        <f ca="1">IF(RIGHT(L$4,2)&gt;=RIGHT('Input|General'!$G$10,2),IF(RIGHT(L$4,2)&lt;=RIGHT('Input|General'!$G$12,2),L$4,""),"")</f>
        <v/>
      </c>
      <c r="M60" s="111" t="str">
        <f ca="1">IF(RIGHT(M$4,2)&gt;=RIGHT('Input|General'!$G$10,2),IF(RIGHT(M$4,2)&lt;=RIGHT('Input|General'!$G$12,2),M$4,""),"")</f>
        <v/>
      </c>
      <c r="N60" s="111" t="str">
        <f ca="1">IF(RIGHT(N$4,2)&gt;=RIGHT('Input|General'!$G$10,2),IF(RIGHT(N$4,2)&lt;=RIGHT('Input|General'!$G$12,2),N$4,""),"")</f>
        <v/>
      </c>
      <c r="O60" s="173">
        <f ca="1">IF(RIGHT(O$4,2)&gt;=RIGHT('Input|General'!$G$10,2),IF(RIGHT(O$4,2)&lt;=RIGHT('Input|General'!$G$12,2),O$4,""),"")</f>
        <v>2017</v>
      </c>
      <c r="P60" s="173">
        <f ca="1">IF(RIGHT(P$4,2)&gt;=RIGHT('Input|General'!$G$10,2),IF(RIGHT(P$4,2)&lt;=RIGHT('Input|General'!$G$12,2),P$4,""),"")</f>
        <v>2018</v>
      </c>
      <c r="Q60" s="173">
        <f ca="1">IF(RIGHT(Q$4,2)&gt;=RIGHT('Input|General'!$G$10,2),IF(RIGHT(Q$4,2)&lt;=RIGHT('Input|General'!$G$12,2),Q$4,""),"")</f>
        <v>2019</v>
      </c>
      <c r="R60" s="173">
        <f ca="1">IF(RIGHT(R$4,2)&gt;=RIGHT('Input|General'!$G$10,2),IF(RIGHT(R$4,2)&lt;=RIGHT('Input|General'!$G$12,2),R$4,""),"")</f>
        <v>2020</v>
      </c>
      <c r="S60" s="173">
        <f ca="1">IF(RIGHT(S$4,2)&gt;=RIGHT('Input|General'!$G$10,2),IF(RIGHT(S$4,2)&lt;=RIGHT('Input|General'!$G$12,2),S$4,""),"")</f>
        <v>2021</v>
      </c>
      <c r="T60" s="173">
        <f ca="1">IF(RIGHT(T$4,2)&gt;=RIGHT('Input|General'!$G$10,2),IF(RIGHT(T$4,2)&lt;=RIGHT('Input|General'!$G$12,2),T$4,""),"")</f>
        <v>2022</v>
      </c>
    </row>
    <row r="61" spans="1:50" outlineLevel="1">
      <c r="C61" s="117"/>
      <c r="G61" s="32"/>
      <c r="H61" s="32"/>
      <c r="K61" s="23"/>
      <c r="L61" s="23"/>
      <c r="M61" s="23"/>
      <c r="N61" s="23"/>
      <c r="O61" s="23"/>
    </row>
    <row r="62" spans="1:50" outlineLevel="1">
      <c r="C62" s="62"/>
      <c r="D62" s="30" t="s">
        <v>116</v>
      </c>
      <c r="E62" s="30" t="s">
        <v>18</v>
      </c>
      <c r="F62" s="30" t="s">
        <v>36</v>
      </c>
      <c r="G62" s="32"/>
      <c r="H62" s="32"/>
      <c r="K62" s="23" t="s">
        <v>147</v>
      </c>
      <c r="L62" s="23"/>
      <c r="M62" s="23"/>
      <c r="N62" s="23"/>
      <c r="O62" s="63"/>
      <c r="P62" s="181"/>
      <c r="Q62" s="181"/>
      <c r="R62" s="181"/>
      <c r="S62" s="181"/>
      <c r="T62" s="181"/>
    </row>
    <row r="63" spans="1:50" outlineLevel="1">
      <c r="C63" s="62"/>
      <c r="D63" s="30" t="s">
        <v>116</v>
      </c>
      <c r="E63" s="30" t="s">
        <v>18</v>
      </c>
      <c r="F63" s="30" t="s">
        <v>36</v>
      </c>
      <c r="G63" s="32"/>
      <c r="H63" s="32"/>
      <c r="K63" s="23"/>
      <c r="L63" s="23"/>
      <c r="M63" s="23"/>
      <c r="N63" s="23"/>
      <c r="O63" s="63"/>
      <c r="P63" s="63"/>
      <c r="Q63" s="63"/>
      <c r="R63" s="63"/>
      <c r="S63" s="63"/>
      <c r="T63" s="63"/>
    </row>
    <row r="64" spans="1:50" outlineLevel="1">
      <c r="C64" s="62"/>
      <c r="D64" s="30" t="s">
        <v>116</v>
      </c>
      <c r="E64" s="30" t="s">
        <v>18</v>
      </c>
      <c r="F64" s="30" t="s">
        <v>36</v>
      </c>
      <c r="G64" s="32"/>
      <c r="H64" s="32"/>
      <c r="K64" s="23"/>
      <c r="L64" s="23"/>
      <c r="M64" s="23"/>
      <c r="N64" s="23"/>
      <c r="O64" s="63"/>
      <c r="P64" s="63"/>
      <c r="Q64" s="63"/>
      <c r="R64" s="63"/>
      <c r="S64" s="63"/>
      <c r="T64" s="63"/>
    </row>
    <row r="65" spans="3:21" outlineLevel="1">
      <c r="C65" s="62"/>
      <c r="D65" s="30" t="s">
        <v>116</v>
      </c>
      <c r="E65" s="30" t="s">
        <v>18</v>
      </c>
      <c r="F65" s="30" t="s">
        <v>36</v>
      </c>
      <c r="G65" s="32"/>
      <c r="H65" s="32"/>
      <c r="K65" s="23"/>
      <c r="L65" s="23"/>
      <c r="M65" s="23"/>
      <c r="N65" s="23"/>
      <c r="O65" s="63"/>
      <c r="P65" s="63"/>
      <c r="Q65" s="63"/>
      <c r="R65" s="63"/>
      <c r="S65" s="63"/>
      <c r="T65" s="63"/>
    </row>
    <row r="66" spans="3:21" outlineLevel="1">
      <c r="C66" s="62"/>
      <c r="D66" s="30" t="s">
        <v>116</v>
      </c>
      <c r="E66" s="30" t="s">
        <v>18</v>
      </c>
      <c r="F66" s="30" t="s">
        <v>36</v>
      </c>
      <c r="G66" s="32"/>
      <c r="H66" s="32"/>
      <c r="K66" s="23"/>
      <c r="L66" s="23"/>
      <c r="M66" s="23"/>
      <c r="N66" s="23"/>
      <c r="O66" s="63"/>
      <c r="P66" s="63"/>
      <c r="Q66" s="63"/>
      <c r="R66" s="63"/>
      <c r="S66" s="63"/>
      <c r="T66" s="63"/>
    </row>
    <row r="67" spans="3:21" outlineLevel="1">
      <c r="C67" s="62"/>
      <c r="D67" s="30" t="s">
        <v>116</v>
      </c>
      <c r="E67" s="30" t="s">
        <v>18</v>
      </c>
      <c r="F67" s="30" t="s">
        <v>36</v>
      </c>
      <c r="G67" s="32"/>
      <c r="H67" s="32"/>
      <c r="K67" s="23"/>
      <c r="L67" s="23"/>
      <c r="M67" s="23"/>
      <c r="N67" s="23"/>
      <c r="O67" s="63"/>
      <c r="P67" s="63"/>
      <c r="Q67" s="63"/>
      <c r="R67" s="63"/>
      <c r="S67" s="63"/>
      <c r="T67" s="63"/>
    </row>
    <row r="68" spans="3:21" outlineLevel="1">
      <c r="C68" s="117"/>
      <c r="G68" s="32"/>
      <c r="H68" s="32"/>
      <c r="K68" s="23"/>
      <c r="L68" s="23"/>
      <c r="M68" s="23"/>
      <c r="N68" s="23"/>
      <c r="O68" s="23"/>
    </row>
    <row r="69" spans="3:21" outlineLevel="1">
      <c r="C69" s="70" t="s">
        <v>98</v>
      </c>
      <c r="D69" s="32" t="s">
        <v>7</v>
      </c>
      <c r="E69" s="32" t="s">
        <v>8</v>
      </c>
      <c r="F69" s="32" t="s">
        <v>22</v>
      </c>
      <c r="G69" s="32"/>
      <c r="H69" s="32"/>
      <c r="K69" s="111" t="str">
        <f>IF(RIGHT(K$4,2)&gt;=RIGHT('Input|General'!$G$11,2),IF(RIGHT(K$4,2)&lt;=RIGHT('Input|General'!$G$12,2),K$4,""),"")</f>
        <v/>
      </c>
      <c r="L69" s="111" t="str">
        <f ca="1">IF(RIGHT(L$4,2)&gt;=RIGHT('Input|General'!$G$11,2),IF(RIGHT(L$4,2)&lt;=RIGHT('Input|General'!$G$12,2),L$4,""),"")</f>
        <v/>
      </c>
      <c r="M69" s="111" t="str">
        <f ca="1">IF(RIGHT(M$4,2)&gt;=RIGHT('Input|General'!$G$11,2),IF(RIGHT(M$4,2)&lt;=RIGHT('Input|General'!$G$12,2),M$4,""),"")</f>
        <v/>
      </c>
      <c r="N69" s="111" t="str">
        <f ca="1">IF(RIGHT(N$4,2)&gt;=RIGHT('Input|General'!$G$11,2),IF(RIGHT(N$4,2)&lt;=RIGHT('Input|General'!$G$12,2),N$4,""),"")</f>
        <v/>
      </c>
      <c r="O69" s="111" t="str">
        <f ca="1">IF(RIGHT(O$4,2)&gt;=RIGHT('Input|General'!$G$11,2),IF(RIGHT(O$4,2)&lt;=RIGHT('Input|General'!$G$12,2),O$4,""),"")</f>
        <v/>
      </c>
      <c r="P69" s="173">
        <f ca="1">IF(RIGHT(P$4,2)&gt;=RIGHT('Input|General'!$G$11,2),IF(RIGHT(P$4,2)&lt;=RIGHT('Input|General'!$G$12,2),P$4,""),"")</f>
        <v>2018</v>
      </c>
      <c r="Q69" s="173">
        <f ca="1">IF(RIGHT(Q$4,2)&gt;=RIGHT('Input|General'!$G$11,2),IF(RIGHT(Q$4,2)&lt;=RIGHT('Input|General'!$G$12,2),Q$4,""),"")</f>
        <v>2019</v>
      </c>
      <c r="R69" s="173">
        <f ca="1">IF(RIGHT(R$4,2)&gt;=RIGHT('Input|General'!$G$11,2),IF(RIGHT(R$4,2)&lt;=RIGHT('Input|General'!$G$12,2),R$4,""),"")</f>
        <v>2020</v>
      </c>
      <c r="S69" s="173">
        <f ca="1">IF(RIGHT(S$4,2)&gt;=RIGHT('Input|General'!$G$11,2),IF(RIGHT(S$4,2)&lt;=RIGHT('Input|General'!$G$12,2),S$4,""),"")</f>
        <v>2021</v>
      </c>
      <c r="T69" s="173">
        <f ca="1">IF(RIGHT(T$4,2)&gt;=RIGHT('Input|General'!$G$11,2),IF(RIGHT(T$4,2)&lt;=RIGHT('Input|General'!$G$12,2),T$4,""),"")</f>
        <v>2022</v>
      </c>
      <c r="U69" s="29" t="str">
        <f>IF(RIGHT(U$4,2)&gt;=RIGHT('Input|General'!$G$11,2),IF(RIGHT(U$4,2)&lt;='Input|General'!$G$12,'Input|Reported opex'!T$4,""),"")</f>
        <v/>
      </c>
    </row>
    <row r="70" spans="3:21" outlineLevel="1">
      <c r="C70" s="117"/>
      <c r="G70" s="32"/>
      <c r="H70" s="32"/>
      <c r="K70" s="23"/>
      <c r="L70" s="23"/>
      <c r="M70" s="23"/>
      <c r="N70" s="23"/>
      <c r="O70" s="23"/>
    </row>
    <row r="71" spans="3:21" outlineLevel="1">
      <c r="C71" s="158" t="s">
        <v>146</v>
      </c>
      <c r="D71" s="30" t="s">
        <v>113</v>
      </c>
      <c r="E71" s="30" t="s">
        <v>18</v>
      </c>
      <c r="F71" s="30" t="s">
        <v>36</v>
      </c>
      <c r="G71" s="32"/>
      <c r="H71" s="32"/>
      <c r="K71" s="23"/>
      <c r="L71" s="23"/>
      <c r="M71" s="23"/>
      <c r="N71" s="23"/>
      <c r="O71" s="23"/>
      <c r="P71" s="124"/>
      <c r="Q71" s="124"/>
      <c r="R71" s="124"/>
      <c r="S71" s="124"/>
      <c r="T71" s="124"/>
    </row>
    <row r="72" spans="3:21" outlineLevel="1">
      <c r="C72" s="158">
        <f t="shared" ref="C72:C76" si="14">C63</f>
        <v>0</v>
      </c>
      <c r="D72" s="30" t="s">
        <v>113</v>
      </c>
      <c r="E72" s="30" t="s">
        <v>18</v>
      </c>
      <c r="F72" s="30" t="s">
        <v>36</v>
      </c>
      <c r="G72" s="32"/>
      <c r="H72" s="32"/>
      <c r="K72" s="23"/>
      <c r="L72" s="23"/>
      <c r="M72" s="23"/>
      <c r="N72" s="23"/>
      <c r="O72" s="23"/>
      <c r="P72" s="124"/>
      <c r="Q72" s="124"/>
      <c r="R72" s="124"/>
      <c r="S72" s="124"/>
      <c r="T72" s="124"/>
    </row>
    <row r="73" spans="3:21" outlineLevel="1">
      <c r="C73" s="158">
        <f t="shared" si="14"/>
        <v>0</v>
      </c>
      <c r="D73" s="30" t="s">
        <v>113</v>
      </c>
      <c r="E73" s="30" t="s">
        <v>18</v>
      </c>
      <c r="F73" s="30" t="s">
        <v>36</v>
      </c>
      <c r="G73" s="32"/>
      <c r="H73" s="32"/>
      <c r="K73" s="23"/>
      <c r="L73" s="23"/>
      <c r="M73" s="23"/>
      <c r="N73" s="23"/>
      <c r="O73" s="23"/>
      <c r="P73" s="124" t="str">
        <f t="shared" ref="P73:T73" si="15">IF(ISBLANK(P64),"",LN(P64)-LN(O64))</f>
        <v/>
      </c>
      <c r="Q73" s="124" t="str">
        <f t="shared" si="15"/>
        <v/>
      </c>
      <c r="R73" s="124" t="str">
        <f t="shared" si="15"/>
        <v/>
      </c>
      <c r="S73" s="124" t="str">
        <f t="shared" si="15"/>
        <v/>
      </c>
      <c r="T73" s="124" t="str">
        <f t="shared" si="15"/>
        <v/>
      </c>
    </row>
    <row r="74" spans="3:21" outlineLevel="1">
      <c r="C74" s="158">
        <f t="shared" si="14"/>
        <v>0</v>
      </c>
      <c r="D74" s="30" t="s">
        <v>113</v>
      </c>
      <c r="E74" s="30" t="s">
        <v>18</v>
      </c>
      <c r="F74" s="30" t="s">
        <v>36</v>
      </c>
      <c r="G74" s="32"/>
      <c r="H74" s="32"/>
      <c r="K74" s="23"/>
      <c r="L74" s="23"/>
      <c r="M74" s="23"/>
      <c r="N74" s="23"/>
      <c r="O74" s="23"/>
      <c r="P74" s="124" t="str">
        <f t="shared" ref="P74:T74" si="16">IF(ISBLANK(P65),"",LN(P65)-LN(O65))</f>
        <v/>
      </c>
      <c r="Q74" s="124" t="str">
        <f t="shared" si="16"/>
        <v/>
      </c>
      <c r="R74" s="124" t="str">
        <f t="shared" si="16"/>
        <v/>
      </c>
      <c r="S74" s="124" t="str">
        <f t="shared" si="16"/>
        <v/>
      </c>
      <c r="T74" s="124" t="str">
        <f t="shared" si="16"/>
        <v/>
      </c>
    </row>
    <row r="75" spans="3:21" outlineLevel="1">
      <c r="C75" s="158">
        <f t="shared" si="14"/>
        <v>0</v>
      </c>
      <c r="D75" s="30" t="s">
        <v>113</v>
      </c>
      <c r="E75" s="30" t="s">
        <v>18</v>
      </c>
      <c r="F75" s="30" t="s">
        <v>36</v>
      </c>
      <c r="G75" s="32"/>
      <c r="H75" s="32"/>
      <c r="K75" s="23"/>
      <c r="L75" s="23"/>
      <c r="M75" s="23"/>
      <c r="N75" s="23"/>
      <c r="O75" s="23"/>
      <c r="P75" s="124" t="str">
        <f t="shared" ref="P75:T75" si="17">IF(ISBLANK(P66),"",LN(P66)-LN(O66))</f>
        <v/>
      </c>
      <c r="Q75" s="124" t="str">
        <f t="shared" si="17"/>
        <v/>
      </c>
      <c r="R75" s="124" t="str">
        <f t="shared" si="17"/>
        <v/>
      </c>
      <c r="S75" s="124" t="str">
        <f t="shared" si="17"/>
        <v/>
      </c>
      <c r="T75" s="124" t="str">
        <f t="shared" si="17"/>
        <v/>
      </c>
    </row>
    <row r="76" spans="3:21" outlineLevel="1">
      <c r="C76" s="158">
        <f t="shared" si="14"/>
        <v>0</v>
      </c>
      <c r="D76" s="30" t="s">
        <v>113</v>
      </c>
      <c r="E76" s="30" t="s">
        <v>18</v>
      </c>
      <c r="F76" s="30" t="s">
        <v>36</v>
      </c>
      <c r="G76" s="32"/>
      <c r="H76" s="32"/>
      <c r="K76" s="23"/>
      <c r="L76" s="23"/>
      <c r="M76" s="23"/>
      <c r="N76" s="23"/>
      <c r="O76" s="23"/>
      <c r="P76" s="124" t="str">
        <f t="shared" ref="P76:T76" si="18">IF(ISBLANK(P67),"",LN(P67)-LN(O67))</f>
        <v/>
      </c>
      <c r="Q76" s="124" t="str">
        <f t="shared" si="18"/>
        <v/>
      </c>
      <c r="R76" s="124" t="str">
        <f t="shared" si="18"/>
        <v/>
      </c>
      <c r="S76" s="124" t="str">
        <f t="shared" si="18"/>
        <v/>
      </c>
      <c r="T76" s="124" t="str">
        <f t="shared" si="18"/>
        <v/>
      </c>
    </row>
    <row r="77" spans="3:21" outlineLevel="1">
      <c r="C77" s="117"/>
      <c r="G77" s="32"/>
      <c r="H77" s="32"/>
      <c r="K77" s="23"/>
      <c r="L77" s="23"/>
      <c r="M77" s="23"/>
      <c r="N77" s="23"/>
      <c r="O77" s="23"/>
    </row>
    <row r="78" spans="3:21" outlineLevel="1">
      <c r="C78" s="70" t="s">
        <v>44</v>
      </c>
      <c r="G78" s="32"/>
      <c r="H78" s="32"/>
      <c r="K78" s="23"/>
      <c r="L78" s="23"/>
      <c r="M78" s="23"/>
      <c r="N78" s="23"/>
      <c r="O78" s="23"/>
    </row>
    <row r="79" spans="3:21" outlineLevel="1">
      <c r="C79" s="117"/>
      <c r="G79" s="32"/>
      <c r="H79" s="32"/>
      <c r="K79" s="23"/>
      <c r="L79" s="23"/>
      <c r="M79" s="23"/>
      <c r="N79" s="23"/>
    </row>
    <row r="80" spans="3:21" outlineLevel="1">
      <c r="C80" s="158">
        <f>C62</f>
        <v>0</v>
      </c>
      <c r="D80" s="30" t="s">
        <v>116</v>
      </c>
      <c r="E80" s="30" t="s">
        <v>18</v>
      </c>
      <c r="F80" s="30" t="s">
        <v>36</v>
      </c>
      <c r="G80" s="32"/>
      <c r="H80" s="32"/>
      <c r="K80" s="23"/>
      <c r="L80" s="23"/>
      <c r="M80" s="23"/>
      <c r="N80" s="23"/>
      <c r="P80" s="61">
        <v>1</v>
      </c>
    </row>
    <row r="81" spans="1:50" outlineLevel="1">
      <c r="C81" s="158">
        <f t="shared" ref="C81:C85" si="19">C63</f>
        <v>0</v>
      </c>
      <c r="D81" s="30" t="s">
        <v>116</v>
      </c>
      <c r="E81" s="30" t="s">
        <v>18</v>
      </c>
      <c r="F81" s="30" t="s">
        <v>36</v>
      </c>
      <c r="G81" s="32"/>
      <c r="H81" s="32"/>
      <c r="K81" s="23"/>
      <c r="L81" s="23"/>
      <c r="M81" s="23"/>
      <c r="N81" s="23"/>
      <c r="P81" s="61"/>
    </row>
    <row r="82" spans="1:50" outlineLevel="1">
      <c r="C82" s="158">
        <f t="shared" si="19"/>
        <v>0</v>
      </c>
      <c r="D82" s="30" t="s">
        <v>116</v>
      </c>
      <c r="E82" s="30" t="s">
        <v>18</v>
      </c>
      <c r="F82" s="30" t="s">
        <v>36</v>
      </c>
      <c r="G82" s="32"/>
      <c r="H82" s="32"/>
      <c r="K82" s="23"/>
      <c r="L82" s="23"/>
      <c r="M82" s="23"/>
      <c r="N82" s="23"/>
      <c r="P82" s="61"/>
    </row>
    <row r="83" spans="1:50" outlineLevel="1">
      <c r="C83" s="158">
        <f t="shared" si="19"/>
        <v>0</v>
      </c>
      <c r="D83" s="30" t="s">
        <v>116</v>
      </c>
      <c r="E83" s="30" t="s">
        <v>18</v>
      </c>
      <c r="F83" s="30" t="s">
        <v>36</v>
      </c>
      <c r="G83" s="32"/>
      <c r="H83" s="32"/>
      <c r="K83" s="23"/>
      <c r="L83" s="23"/>
      <c r="M83" s="23"/>
      <c r="N83" s="23"/>
      <c r="P83" s="61"/>
    </row>
    <row r="84" spans="1:50" outlineLevel="1">
      <c r="C84" s="158">
        <f t="shared" si="19"/>
        <v>0</v>
      </c>
      <c r="D84" s="30" t="s">
        <v>116</v>
      </c>
      <c r="E84" s="30" t="s">
        <v>18</v>
      </c>
      <c r="F84" s="30" t="s">
        <v>36</v>
      </c>
      <c r="G84" s="32"/>
      <c r="H84" s="32"/>
      <c r="K84" s="23"/>
      <c r="L84" s="23"/>
      <c r="M84" s="23"/>
      <c r="N84" s="23"/>
      <c r="P84" s="61"/>
    </row>
    <row r="85" spans="1:50" outlineLevel="1">
      <c r="C85" s="158">
        <f t="shared" si="19"/>
        <v>0</v>
      </c>
      <c r="D85" s="30" t="s">
        <v>116</v>
      </c>
      <c r="E85" s="30" t="s">
        <v>18</v>
      </c>
      <c r="F85" s="30" t="s">
        <v>36</v>
      </c>
      <c r="G85" s="32"/>
      <c r="H85" s="32"/>
      <c r="K85" s="23"/>
      <c r="L85" s="23"/>
      <c r="M85" s="23"/>
      <c r="N85" s="23"/>
      <c r="P85" s="61"/>
    </row>
    <row r="86" spans="1:50" outlineLevel="1">
      <c r="G86" s="32"/>
      <c r="H86" s="32"/>
    </row>
    <row r="87" spans="1:50" outlineLevel="1">
      <c r="C87" s="29" t="s">
        <v>40</v>
      </c>
      <c r="D87" s="30" t="s">
        <v>113</v>
      </c>
      <c r="E87" s="30" t="s">
        <v>28</v>
      </c>
      <c r="F87" s="30" t="s">
        <v>36</v>
      </c>
      <c r="N87" s="24"/>
      <c r="P87" s="140" t="str">
        <f>IF(SUM(P80:P85)=1,"Ok","Check")</f>
        <v>Ok</v>
      </c>
      <c r="Q87" s="24"/>
      <c r="R87" s="24"/>
      <c r="S87" s="24"/>
      <c r="T87" s="24"/>
      <c r="U87" s="24"/>
      <c r="W87" s="140" t="str">
        <f>IF(COUNTIF(K87:T87,"Check")=0,"Ok","Check")</f>
        <v>Ok</v>
      </c>
    </row>
    <row r="88" spans="1:50"/>
    <row r="89" spans="1:50" s="108" customFormat="1" ht="12.75">
      <c r="A89" s="99"/>
      <c r="B89" s="100" t="s">
        <v>88</v>
      </c>
      <c r="C89" s="99"/>
      <c r="D89" s="99"/>
      <c r="E89" s="99"/>
      <c r="F89" s="101"/>
      <c r="G89" s="101"/>
      <c r="H89" s="101"/>
      <c r="I89" s="101"/>
      <c r="J89" s="101"/>
      <c r="K89" s="102"/>
      <c r="L89" s="103"/>
      <c r="M89" s="102"/>
      <c r="N89" s="103"/>
      <c r="O89" s="102"/>
      <c r="P89" s="102"/>
      <c r="Q89" s="102"/>
      <c r="R89" s="102"/>
      <c r="S89" s="102"/>
      <c r="T89" s="102"/>
      <c r="U89" s="102"/>
      <c r="V89" s="102"/>
      <c r="W89" s="103"/>
      <c r="X89" s="104"/>
      <c r="Y89" s="104"/>
      <c r="Z89" s="104"/>
      <c r="AA89" s="104"/>
      <c r="AB89" s="104"/>
      <c r="AC89" s="104"/>
      <c r="AD89" s="104"/>
      <c r="AE89" s="105"/>
      <c r="AF89" s="106"/>
      <c r="AG89" s="106"/>
      <c r="AH89" s="107"/>
      <c r="AI89" s="107"/>
      <c r="AJ89" s="107"/>
      <c r="AK89" s="107"/>
      <c r="AL89" s="107"/>
      <c r="AM89" s="107"/>
      <c r="AN89" s="107"/>
      <c r="AO89" s="107"/>
      <c r="AP89" s="107"/>
      <c r="AQ89" s="107"/>
      <c r="AR89" s="107"/>
      <c r="AS89" s="107"/>
      <c r="AT89" s="107"/>
      <c r="AU89" s="107"/>
      <c r="AV89" s="107"/>
      <c r="AW89" s="107"/>
      <c r="AX89" s="107"/>
    </row>
    <row r="90" spans="1:50" outlineLevel="1">
      <c r="G90" s="32"/>
      <c r="H90" s="32"/>
    </row>
    <row r="91" spans="1:50" outlineLevel="1">
      <c r="C91" s="70" t="s">
        <v>49</v>
      </c>
      <c r="D91" s="32" t="s">
        <v>7</v>
      </c>
      <c r="E91" s="32" t="s">
        <v>8</v>
      </c>
      <c r="F91" s="32" t="s">
        <v>22</v>
      </c>
      <c r="G91" s="32"/>
      <c r="H91" s="32"/>
      <c r="K91" s="111" t="str">
        <f>IF(RIGHT(K$4,2)&gt;=RIGHT('Input|General'!$G$11,2),IF(RIGHT(K$4,2)&lt;=RIGHT('Input|General'!$G$12,2),K$4,""),"")</f>
        <v/>
      </c>
      <c r="L91" s="111" t="str">
        <f ca="1">IF(RIGHT(L$4,2)&gt;=RIGHT('Input|General'!$G$11,2),IF(RIGHT(L$4,2)&lt;=RIGHT('Input|General'!$G$12,2),L$4,""),"")</f>
        <v/>
      </c>
      <c r="M91" s="111" t="str">
        <f ca="1">IF(RIGHT(M$4,2)&gt;=RIGHT('Input|General'!$G$11,2),IF(RIGHT(M$4,2)&lt;=RIGHT('Input|General'!$G$12,2),M$4,""),"")</f>
        <v/>
      </c>
      <c r="N91" s="111" t="str">
        <f ca="1">IF(RIGHT(N$4,2)&gt;=RIGHT('Input|General'!$G$11,2),IF(RIGHT(N$4,2)&lt;=RIGHT('Input|General'!$G$12,2),N$4,""),"")</f>
        <v/>
      </c>
      <c r="O91" s="111" t="str">
        <f ca="1">IF(RIGHT(O$4,2)&gt;=RIGHT('Input|General'!$G$11,2),IF(RIGHT(O$4,2)&lt;=RIGHT('Input|General'!$G$12,2),O$4,""),"")</f>
        <v/>
      </c>
      <c r="P91" s="173">
        <f ca="1">IF(RIGHT(P$4,2)&gt;=RIGHT('Input|General'!$G$11,2),IF(RIGHT(P$4,2)&lt;=RIGHT('Input|General'!$G$12,2),P$4,""),"")</f>
        <v>2018</v>
      </c>
      <c r="Q91" s="173">
        <f ca="1">IF(RIGHT(Q$4,2)&gt;=RIGHT('Input|General'!$G$11,2),IF(RIGHT(Q$4,2)&lt;=RIGHT('Input|General'!$G$12,2),Q$4,""),"")</f>
        <v>2019</v>
      </c>
      <c r="R91" s="173">
        <f ca="1">IF(RIGHT(R$4,2)&gt;=RIGHT('Input|General'!$G$11,2),IF(RIGHT(R$4,2)&lt;=RIGHT('Input|General'!$G$12,2),R$4,""),"")</f>
        <v>2020</v>
      </c>
      <c r="S91" s="173">
        <f ca="1">IF(RIGHT(S$4,2)&gt;=RIGHT('Input|General'!$G$11,2),IF(RIGHT(S$4,2)&lt;=RIGHT('Input|General'!$G$12,2),S$4,""),"")</f>
        <v>2021</v>
      </c>
      <c r="T91" s="173">
        <f ca="1">IF(RIGHT(T$4,2)&gt;=RIGHT('Input|General'!$G$11,2),IF(RIGHT(T$4,2)&lt;=RIGHT('Input|General'!$G$12,2),T$4,""),"")</f>
        <v>2022</v>
      </c>
    </row>
    <row r="92" spans="1:50" outlineLevel="1">
      <c r="C92" s="117"/>
      <c r="G92" s="32"/>
      <c r="H92" s="32"/>
      <c r="K92" s="23"/>
      <c r="L92" s="23"/>
      <c r="M92" s="23"/>
      <c r="N92" s="23"/>
      <c r="O92" s="23"/>
    </row>
    <row r="93" spans="1:50" outlineLevel="1">
      <c r="C93" s="117" t="s">
        <v>49</v>
      </c>
      <c r="D93" s="30" t="s">
        <v>116</v>
      </c>
      <c r="E93" s="30" t="str">
        <f>percent</f>
        <v>Per cent</v>
      </c>
      <c r="F93" s="30" t="s">
        <v>36</v>
      </c>
      <c r="G93" s="32"/>
      <c r="H93" s="32"/>
      <c r="K93" s="23"/>
      <c r="L93" s="23"/>
      <c r="M93" s="23"/>
      <c r="N93" s="23"/>
      <c r="O93" s="23"/>
      <c r="P93" s="61">
        <v>0</v>
      </c>
      <c r="Q93" s="61">
        <v>0</v>
      </c>
      <c r="R93" s="61">
        <v>0</v>
      </c>
      <c r="S93" s="61">
        <v>0</v>
      </c>
      <c r="T93" s="61">
        <v>0</v>
      </c>
    </row>
    <row r="94" spans="1:50" outlineLevel="1">
      <c r="C94" s="117"/>
      <c r="G94" s="32"/>
      <c r="H94" s="32"/>
      <c r="K94" s="23"/>
      <c r="L94" s="23"/>
      <c r="M94" s="23"/>
      <c r="N94" s="23"/>
      <c r="O94" s="23"/>
    </row>
    <row r="95" spans="1:50" s="108" customFormat="1" ht="12.75">
      <c r="A95" s="99"/>
      <c r="B95" s="100" t="s">
        <v>21</v>
      </c>
      <c r="C95" s="99"/>
      <c r="D95" s="99"/>
      <c r="E95" s="99"/>
      <c r="F95" s="101"/>
      <c r="G95" s="101"/>
      <c r="H95" s="101"/>
      <c r="I95" s="101"/>
      <c r="J95" s="101"/>
      <c r="K95" s="102"/>
      <c r="L95" s="103"/>
      <c r="M95" s="102"/>
      <c r="N95" s="103"/>
      <c r="O95" s="102"/>
      <c r="P95" s="102"/>
      <c r="Q95" s="102"/>
      <c r="R95" s="102"/>
      <c r="S95" s="102"/>
      <c r="T95" s="102"/>
      <c r="U95" s="102"/>
      <c r="V95" s="102"/>
      <c r="W95" s="103"/>
      <c r="X95" s="104"/>
      <c r="Y95" s="104"/>
      <c r="Z95" s="104"/>
      <c r="AA95" s="104"/>
      <c r="AB95" s="104"/>
      <c r="AC95" s="104"/>
      <c r="AD95" s="104"/>
      <c r="AE95" s="105"/>
      <c r="AF95" s="106"/>
      <c r="AG95" s="106"/>
      <c r="AH95" s="107"/>
      <c r="AI95" s="107"/>
      <c r="AJ95" s="107"/>
      <c r="AK95" s="107"/>
      <c r="AL95" s="107"/>
      <c r="AM95" s="107"/>
      <c r="AN95" s="107"/>
      <c r="AO95" s="107"/>
      <c r="AP95" s="107"/>
      <c r="AQ95" s="107"/>
      <c r="AR95" s="107"/>
      <c r="AS95" s="107"/>
      <c r="AT95" s="107"/>
      <c r="AU95" s="107"/>
      <c r="AV95" s="107"/>
      <c r="AW95" s="107"/>
      <c r="AX95" s="107"/>
    </row>
    <row r="96" spans="1:50" hidden="1"/>
    <row r="97" hidden="1"/>
    <row r="98" hidden="1"/>
    <row r="99" hidden="1"/>
    <row r="100" hidden="1"/>
    <row r="101" hidden="1"/>
    <row r="102" hidden="1"/>
    <row r="103" hidden="1"/>
    <row r="104" hidden="1"/>
    <row r="105" hidden="1"/>
    <row r="106" hidden="1"/>
    <row r="107" hidden="1"/>
    <row r="108" hidden="1"/>
    <row r="109" hidden="1"/>
    <row r="110" hidden="1"/>
    <row r="111" hidden="1"/>
    <row r="112" hidden="1"/>
    <row r="113" hidden="1"/>
    <row r="114" hidden="1"/>
    <row r="115" hidden="1"/>
    <row r="116" hidden="1"/>
    <row r="117" hidden="1"/>
    <row r="118" hidden="1"/>
    <row r="119" hidden="1"/>
    <row r="120" hidden="1"/>
    <row r="121" hidden="1"/>
    <row r="122" hidden="1"/>
    <row r="123" hidden="1"/>
    <row r="124" hidden="1"/>
    <row r="125" hidden="1"/>
    <row r="126" hidden="1"/>
    <row r="127" hidden="1"/>
    <row r="128" hidden="1"/>
    <row r="129" hidden="1"/>
    <row r="130" hidden="1"/>
    <row r="131" hidden="1"/>
    <row r="132" hidden="1"/>
    <row r="133" hidden="1"/>
    <row r="134" hidden="1"/>
    <row r="135" hidden="1"/>
    <row r="136" hidden="1"/>
    <row r="137" hidden="1"/>
    <row r="138" hidden="1"/>
    <row r="139" hidden="1"/>
    <row r="140" hidden="1"/>
    <row r="141" hidden="1"/>
    <row r="142" hidden="1"/>
    <row r="143" hidden="1"/>
    <row r="144" hidden="1"/>
    <row r="145" hidden="1"/>
    <row r="146" hidden="1"/>
    <row r="147" hidden="1"/>
    <row r="148" hidden="1"/>
    <row r="149" hidden="1"/>
    <row r="150" hidden="1"/>
    <row r="151" hidden="1"/>
    <row r="152" hidden="1"/>
    <row r="153" hidden="1"/>
    <row r="154" hidden="1"/>
    <row r="155" hidden="1"/>
    <row r="156" hidden="1"/>
    <row r="157" hidden="1"/>
  </sheetData>
  <mergeCells count="2">
    <mergeCell ref="K3:M3"/>
    <mergeCell ref="O3:T3"/>
  </mergeCells>
  <conditionalFormatting sqref="W1">
    <cfRule type="cellIs" dxfId="83" priority="57" operator="equal">
      <formula>"Check"</formula>
    </cfRule>
    <cfRule type="cellIs" dxfId="82" priority="58" operator="equal">
      <formula>"Ok"</formula>
    </cfRule>
  </conditionalFormatting>
  <conditionalFormatting sqref="T1">
    <cfRule type="cellIs" dxfId="81" priority="21" operator="equal">
      <formula>"Check"</formula>
    </cfRule>
    <cfRule type="cellIs" dxfId="80" priority="22" operator="equal">
      <formula>"Ok"</formula>
    </cfRule>
  </conditionalFormatting>
  <conditionalFormatting sqref="W56">
    <cfRule type="cellIs" dxfId="79" priority="9" operator="equal">
      <formula>"Check"</formula>
    </cfRule>
    <cfRule type="cellIs" dxfId="78" priority="10" operator="equal">
      <formula>"Ok"</formula>
    </cfRule>
  </conditionalFormatting>
  <conditionalFormatting sqref="P56:S56">
    <cfRule type="cellIs" dxfId="77" priority="7" operator="equal">
      <formula>"Check"</formula>
    </cfRule>
    <cfRule type="cellIs" dxfId="76" priority="8" operator="equal">
      <formula>"Ok"</formula>
    </cfRule>
  </conditionalFormatting>
  <conditionalFormatting sqref="W87">
    <cfRule type="cellIs" dxfId="75" priority="5" operator="equal">
      <formula>"Check"</formula>
    </cfRule>
    <cfRule type="cellIs" dxfId="74" priority="6" operator="equal">
      <formula>"Ok"</formula>
    </cfRule>
  </conditionalFormatting>
  <conditionalFormatting sqref="P87:T87">
    <cfRule type="cellIs" dxfId="73" priority="3" operator="equal">
      <formula>"Check"</formula>
    </cfRule>
    <cfRule type="cellIs" dxfId="72" priority="4" operator="equal">
      <formula>"Ok"</formula>
    </cfRule>
  </conditionalFormatting>
  <conditionalFormatting sqref="T56">
    <cfRule type="cellIs" dxfId="71" priority="1" operator="equal">
      <formula>"Check"</formula>
    </cfRule>
    <cfRule type="cellIs" dxfId="70" priority="2" operator="equal">
      <formula>"Ok"</formula>
    </cfRule>
  </conditionalFormatting>
  <dataValidations disablePrompts="1" count="1">
    <dataValidation type="list" allowBlank="1" showInputMessage="1" showErrorMessage="1" sqref="F94 F68 F77:F79">
      <formula1>#REF!</formula1>
    </dataValidation>
  </dataValidations>
  <hyperlinks>
    <hyperlink ref="K1" location="Index!A1" display="Back to Index"/>
    <hyperlink ref="V1" location="'Check|List'!A1" display="Overall Check:"/>
  </hyperlinks>
  <pageMargins left="0.7" right="0.7" top="0.75" bottom="0.75" header="0.3" footer="0.3"/>
  <pageSetup paperSize="9" orientation="portrait" verticalDpi="4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99"/>
  </sheetPr>
  <dimension ref="A1:AU46"/>
  <sheetViews>
    <sheetView showGridLines="0" workbookViewId="0">
      <selection activeCell="O33" sqref="O33"/>
    </sheetView>
  </sheetViews>
  <sheetFormatPr defaultColWidth="0" defaultRowHeight="11.25" zeroHeight="1" outlineLevelRow="1"/>
  <cols>
    <col min="1" max="2" width="1.5" style="29" customWidth="1"/>
    <col min="3" max="3" width="48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23" width="10.83203125" style="29" customWidth="1"/>
    <col min="24" max="47" width="10.5" style="29" hidden="1" customWidth="1"/>
    <col min="48" max="16384" width="0" style="29" hidden="1"/>
  </cols>
  <sheetData>
    <row r="1" spans="1:47" s="73" customFormat="1" ht="15.75">
      <c r="B1" s="74" t="str">
        <f>Index!$B$1</f>
        <v>AER opex model</v>
      </c>
      <c r="C1" s="74"/>
      <c r="D1" s="74"/>
      <c r="E1" s="74"/>
      <c r="F1" s="75"/>
      <c r="G1" s="75"/>
      <c r="H1" s="75"/>
      <c r="I1" s="75"/>
      <c r="J1" s="37" t="s">
        <v>2</v>
      </c>
      <c r="L1" s="76" t="s">
        <v>3</v>
      </c>
      <c r="M1" s="77" t="s">
        <v>4</v>
      </c>
      <c r="N1" s="78" t="s">
        <v>5</v>
      </c>
      <c r="O1" s="79" t="s">
        <v>6</v>
      </c>
      <c r="R1" s="76" t="s">
        <v>92</v>
      </c>
      <c r="S1" s="80" t="str">
        <f>IF(COUNTA($W$8:$W$229)=COUNTIF($W$8:$W$229,"OK"),"OK","Check")</f>
        <v>OK</v>
      </c>
      <c r="U1" s="183" t="s">
        <v>24</v>
      </c>
      <c r="V1" s="80" t="str">
        <f>'Check|List'!$S$1</f>
        <v>Ok</v>
      </c>
    </row>
    <row r="2" spans="1:47" s="81" customFormat="1" ht="13.5" thickBot="1">
      <c r="B2" s="82" t="str">
        <f>Index!$C$11</f>
        <v>Input | Step changes</v>
      </c>
      <c r="C2" s="82"/>
      <c r="D2" s="82"/>
      <c r="E2" s="82"/>
      <c r="F2" s="83"/>
      <c r="G2" s="83"/>
      <c r="H2" s="83"/>
      <c r="I2" s="83"/>
    </row>
    <row r="3" spans="1:47" s="84" customFormat="1">
      <c r="C3" s="85"/>
      <c r="D3" s="86"/>
      <c r="E3" s="86"/>
      <c r="F3" s="86"/>
      <c r="G3" s="86"/>
      <c r="H3" s="86"/>
      <c r="I3" s="86"/>
      <c r="J3" s="213"/>
      <c r="K3" s="213"/>
      <c r="L3" s="213"/>
      <c r="M3" s="86"/>
      <c r="N3" s="213"/>
      <c r="O3" s="213"/>
      <c r="P3" s="213"/>
      <c r="Q3" s="213"/>
      <c r="R3" s="213"/>
      <c r="S3" s="213"/>
      <c r="T3" s="87"/>
      <c r="U3" s="87"/>
      <c r="V3" s="87"/>
      <c r="W3" s="87"/>
      <c r="X3" s="87"/>
      <c r="Y3" s="87"/>
      <c r="Z3" s="87"/>
    </row>
    <row r="4" spans="1:47" s="98" customFormat="1" ht="10.5">
      <c r="A4" s="88"/>
      <c r="B4" s="88"/>
      <c r="C4" s="88"/>
      <c r="D4" s="88" t="s">
        <v>7</v>
      </c>
      <c r="E4" s="88" t="s">
        <v>8</v>
      </c>
      <c r="F4" s="91" t="s">
        <v>22</v>
      </c>
      <c r="G4" s="91"/>
      <c r="H4" s="91"/>
      <c r="I4" s="91"/>
      <c r="J4" s="92">
        <f>'Input|General'!$G$8</f>
        <v>2013</v>
      </c>
      <c r="K4" s="92">
        <f ca="1">IF(OFFSET('Lookup|Tables'!$G$26:$G$43,MATCH('Input|General'!$G$8,'Lookup|Tables'!$G$26:$G$42,0),0,1,1)&lt;='Input|General'!$G$12,OFFSET('Lookup|Tables'!$G$26:$G$43,MATCH('Input|General'!$G$8,'Lookup|Tables'!$G$26:$G$42,0),0,1,1),"")</f>
        <v>2014</v>
      </c>
      <c r="L4" s="92">
        <f ca="1">IF(OFFSET('Lookup|Tables'!$G$28:$G$43,MATCH('Input|General'!$G$8,'Lookup|Tables'!$G$28:$G$42,0)+1,0,1,1)&lt;='Input|General'!$G$12,OFFSET('Lookup|Tables'!$G$28:$G$43,MATCH('Input|General'!$G$8,'Lookup|Tables'!$G$28:$G$42,0)+1,0,1,1),"")</f>
        <v>2015</v>
      </c>
      <c r="M4" s="92">
        <f ca="1">IF(OFFSET('Lookup|Tables'!$G$28:$G$43,MATCH('Input|General'!$G$8,'Lookup|Tables'!$G$28:$G$42,0)+2,0,1,1)&lt;='Input|General'!$G$12,OFFSET('Lookup|Tables'!$G$28:$G$43,MATCH('Input|General'!$G$8,'Lookup|Tables'!$G$28:$G$42,0)+2,0,1,1),"")</f>
        <v>2016</v>
      </c>
      <c r="N4" s="92">
        <f ca="1">IF(OFFSET('Lookup|Tables'!$G$28:$G$43,MATCH('Input|General'!$G$8,'Lookup|Tables'!$G$28:$G$42,0)+3,0,1,1)&lt;='Input|General'!$G$12,OFFSET('Lookup|Tables'!$G$28:$G$43,MATCH('Input|General'!$G$8,'Lookup|Tables'!$G$28:$G$42,0)+3,0,1,1),"")</f>
        <v>2017</v>
      </c>
      <c r="O4" s="92">
        <f ca="1">IF(OFFSET('Lookup|Tables'!$G$28:$G$43,MATCH('Input|General'!$G$8,'Lookup|Tables'!$G$28:$G$42,0)+4,0,1,1)&lt;='Input|General'!$G$12,OFFSET('Lookup|Tables'!$G$28:$G$43,MATCH('Input|General'!$G$8,'Lookup|Tables'!$G$28:$G$42,0)+4,0,1,1),"")</f>
        <v>2018</v>
      </c>
      <c r="P4" s="92">
        <f ca="1">IF(OFFSET('Lookup|Tables'!$G$28:$G$43,MATCH('Input|General'!$G$8,'Lookup|Tables'!$G$28:$G$42,0)+5,0,1,1)&lt;='Input|General'!$G$12,OFFSET('Lookup|Tables'!$G$28:$G$43,MATCH('Input|General'!$G$8,'Lookup|Tables'!$G$28:$G$42,0)+5,0,1,1),"")</f>
        <v>2019</v>
      </c>
      <c r="Q4" s="92">
        <f ca="1">IF(OFFSET('Lookup|Tables'!$G$28:$G$43,MATCH('Input|General'!$G$8,'Lookup|Tables'!$G$28:$G$42,0)+6,0,1,1)&lt;='Input|General'!$G$12,OFFSET('Lookup|Tables'!$G$28:$G$43,MATCH('Input|General'!$G$8,'Lookup|Tables'!$G$28:$G$42,0)+6,0,1,1),"")</f>
        <v>2020</v>
      </c>
      <c r="R4" s="92">
        <f ca="1">IF(OFFSET('Lookup|Tables'!$G$28:$G$43,MATCH('Input|General'!$G$8,'Lookup|Tables'!$G$28:$G$42,0)+7,0,1,1)&lt;='Input|General'!$G$12,OFFSET('Lookup|Tables'!$G$28:$G$43,MATCH('Input|General'!$G$8,'Lookup|Tables'!$G$28:$G$42,0)+7,0,1,1),"")</f>
        <v>2021</v>
      </c>
      <c r="S4" s="92">
        <f ca="1">IF(OFFSET('Lookup|Tables'!$G$28:$G$43,MATCH('Input|General'!$G$8,'Lookup|Tables'!$G$28:$G$42,0)+8,0,1,1)&lt;='Input|General'!$G$12,OFFSET('Lookup|Tables'!$G$28:$G$43,MATCH('Input|General'!$G$8,'Lookup|Tables'!$G$28:$G$42,0)+8,0,1,1),"")</f>
        <v>2022</v>
      </c>
      <c r="T4" s="92"/>
      <c r="U4" s="92"/>
      <c r="V4" s="93"/>
      <c r="W4" s="93"/>
      <c r="X4" s="94"/>
      <c r="Y4" s="94"/>
      <c r="Z4" s="94"/>
      <c r="AA4" s="94"/>
      <c r="AB4" s="95"/>
      <c r="AC4" s="96"/>
      <c r="AD4" s="96"/>
      <c r="AE4" s="97"/>
      <c r="AF4" s="97"/>
      <c r="AG4" s="97"/>
      <c r="AH4" s="97"/>
      <c r="AI4" s="97"/>
      <c r="AJ4" s="97"/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</row>
    <row r="5" spans="1:47" s="27" customFormat="1" ht="3" customHeight="1">
      <c r="D5" s="28"/>
      <c r="E5" s="28"/>
      <c r="F5" s="28"/>
      <c r="G5" s="28"/>
      <c r="H5" s="28"/>
      <c r="I5" s="28"/>
    </row>
    <row r="6" spans="1:47" s="27" customFormat="1" ht="9" customHeight="1">
      <c r="D6" s="28"/>
      <c r="E6" s="28"/>
      <c r="F6" s="28"/>
      <c r="G6" s="28"/>
      <c r="H6" s="28"/>
      <c r="I6" s="28"/>
    </row>
    <row r="7" spans="1:47" s="27" customFormat="1" ht="3" customHeight="1">
      <c r="D7" s="28"/>
      <c r="E7" s="28"/>
      <c r="F7" s="28"/>
      <c r="G7" s="28"/>
      <c r="H7" s="28"/>
      <c r="I7" s="28"/>
    </row>
    <row r="8" spans="1:47" s="108" customFormat="1" ht="12.75">
      <c r="A8" s="99"/>
      <c r="B8" s="100" t="s">
        <v>51</v>
      </c>
      <c r="C8" s="99"/>
      <c r="D8" s="99"/>
      <c r="E8" s="99"/>
      <c r="F8" s="101"/>
      <c r="G8" s="101"/>
      <c r="H8" s="101"/>
      <c r="I8" s="101"/>
      <c r="J8" s="102"/>
      <c r="K8" s="103"/>
      <c r="L8" s="102"/>
      <c r="M8" s="103"/>
      <c r="N8" s="102"/>
      <c r="O8" s="102"/>
      <c r="P8" s="102"/>
      <c r="Q8" s="102"/>
      <c r="R8" s="102"/>
      <c r="S8" s="102"/>
      <c r="T8" s="102"/>
      <c r="U8" s="102"/>
      <c r="V8" s="103"/>
      <c r="W8" s="103"/>
      <c r="X8" s="104"/>
      <c r="Y8" s="104"/>
      <c r="Z8" s="104"/>
      <c r="AA8" s="104"/>
      <c r="AB8" s="105"/>
      <c r="AC8" s="106"/>
      <c r="AD8" s="106"/>
      <c r="AE8" s="107"/>
      <c r="AF8" s="107"/>
      <c r="AG8" s="107"/>
      <c r="AH8" s="107"/>
      <c r="AI8" s="107"/>
      <c r="AJ8" s="107"/>
      <c r="AK8" s="107"/>
      <c r="AL8" s="107"/>
      <c r="AM8" s="107"/>
      <c r="AN8" s="107"/>
      <c r="AO8" s="107"/>
      <c r="AP8" s="107"/>
      <c r="AQ8" s="107"/>
      <c r="AR8" s="107"/>
      <c r="AS8" s="107"/>
      <c r="AT8" s="107"/>
      <c r="AU8" s="107"/>
    </row>
    <row r="9" spans="1:47" outlineLevel="1">
      <c r="G9" s="32"/>
      <c r="H9" s="32"/>
    </row>
    <row r="10" spans="1:47" outlineLevel="1">
      <c r="C10" s="70" t="s">
        <v>89</v>
      </c>
      <c r="D10" s="32" t="s">
        <v>7</v>
      </c>
      <c r="E10" s="32" t="s">
        <v>8</v>
      </c>
      <c r="F10" s="32" t="s">
        <v>22</v>
      </c>
      <c r="G10" s="32"/>
      <c r="H10" s="32"/>
      <c r="J10" s="111" t="str">
        <f>IF(RIGHT(J$4,2)&gt;=RIGHT('Input|General'!$G$11,2),IF(RIGHT(J$4,2)&lt;=RIGHT('Input|General'!$G$12,2),J$4,""),"")</f>
        <v/>
      </c>
      <c r="K10" s="111" t="str">
        <f ca="1">IF(RIGHT(K$4,2)&gt;=RIGHT('Input|General'!$G$11,2),IF(RIGHT(K$4,2)&lt;=RIGHT('Input|General'!$G$12,2),K$4,""),"")</f>
        <v/>
      </c>
      <c r="L10" s="111" t="str">
        <f ca="1">IF(RIGHT(L$4,2)&gt;=RIGHT('Input|General'!$G$11,2),IF(RIGHT(L$4,2)&lt;=RIGHT('Input|General'!$G$12,2),L$4,""),"")</f>
        <v/>
      </c>
      <c r="M10" s="111" t="str">
        <f ca="1">IF(RIGHT(M$4,2)&gt;=RIGHT('Input|General'!$G$11,2),IF(RIGHT(M$4,2)&lt;=RIGHT('Input|General'!$G$12,2),M$4,""),"")</f>
        <v/>
      </c>
      <c r="N10" s="111" t="str">
        <f ca="1">IF(RIGHT(N$4,2)&gt;=RIGHT('Input|General'!$G$11,2),IF(RIGHT(N$4,2)&lt;=RIGHT('Input|General'!$G$12,2),N$4,""),"")</f>
        <v/>
      </c>
      <c r="O10" s="175">
        <f ca="1">IF(RIGHT(O$4,2)&gt;=RIGHT('Input|General'!$G$11,2),IF(RIGHT(O$4,2)&lt;=RIGHT('Input|General'!$G$12,2),O$4,""),"")</f>
        <v>2018</v>
      </c>
      <c r="P10" s="175">
        <f ca="1">IF(RIGHT(P$4,2)&gt;=RIGHT('Input|General'!$G$11,2),IF(RIGHT(P$4,2)&lt;=RIGHT('Input|General'!$G$12,2),P$4,""),"")</f>
        <v>2019</v>
      </c>
      <c r="Q10" s="175">
        <f ca="1">IF(RIGHT(Q$4,2)&gt;=RIGHT('Input|General'!$G$11,2),IF(RIGHT(Q$4,2)&lt;=RIGHT('Input|General'!$G$12,2),Q$4,""),"")</f>
        <v>2020</v>
      </c>
      <c r="R10" s="175">
        <f ca="1">IF(RIGHT(R$4,2)&gt;=RIGHT('Input|General'!$G$11,2),IF(RIGHT(R$4,2)&lt;=RIGHT('Input|General'!$G$12,2),R$4,""),"")</f>
        <v>2021</v>
      </c>
      <c r="S10" s="175">
        <f ca="1">IF(RIGHT(S$4,2)&gt;=RIGHT('Input|General'!$G$11,2),IF(RIGHT(S$4,2)&lt;=RIGHT('Input|General'!$G$12,2),S$4,""),"")</f>
        <v>2022</v>
      </c>
    </row>
    <row r="11" spans="1:47" outlineLevel="1">
      <c r="G11" s="32"/>
      <c r="H11" s="32"/>
    </row>
    <row r="12" spans="1:47" outlineLevel="1">
      <c r="C12" s="62" t="s">
        <v>148</v>
      </c>
      <c r="D12" s="30" t="s">
        <v>79</v>
      </c>
      <c r="E12" s="163" t="s">
        <v>15</v>
      </c>
      <c r="F12" s="174">
        <v>2017</v>
      </c>
      <c r="G12" s="32"/>
      <c r="H12" s="32"/>
      <c r="O12" s="64">
        <v>0</v>
      </c>
      <c r="P12" s="64">
        <v>0</v>
      </c>
      <c r="Q12" s="64">
        <v>0</v>
      </c>
      <c r="R12" s="64">
        <v>0</v>
      </c>
      <c r="S12" s="64">
        <v>0</v>
      </c>
    </row>
    <row r="13" spans="1:47" outlineLevel="1">
      <c r="C13" s="62"/>
      <c r="D13" s="30" t="s">
        <v>79</v>
      </c>
      <c r="E13" s="163" t="s">
        <v>15</v>
      </c>
      <c r="F13" s="174">
        <v>2017</v>
      </c>
      <c r="G13" s="32"/>
      <c r="H13" s="32"/>
      <c r="O13" s="64"/>
      <c r="P13" s="64"/>
      <c r="Q13" s="64"/>
      <c r="R13" s="64"/>
      <c r="S13" s="64"/>
    </row>
    <row r="14" spans="1:47" outlineLevel="1">
      <c r="C14" s="62"/>
      <c r="D14" s="30" t="s">
        <v>79</v>
      </c>
      <c r="E14" s="163" t="s">
        <v>15</v>
      </c>
      <c r="F14" s="174">
        <v>2017</v>
      </c>
      <c r="G14" s="32"/>
      <c r="H14" s="32"/>
      <c r="O14" s="64"/>
      <c r="P14" s="64"/>
      <c r="Q14" s="64"/>
      <c r="R14" s="64"/>
      <c r="S14" s="64"/>
    </row>
    <row r="15" spans="1:47" outlineLevel="1">
      <c r="C15" s="62"/>
      <c r="D15" s="30" t="s">
        <v>79</v>
      </c>
      <c r="E15" s="163" t="s">
        <v>15</v>
      </c>
      <c r="F15" s="174">
        <v>2017</v>
      </c>
      <c r="G15" s="32"/>
      <c r="H15" s="32"/>
      <c r="O15" s="64"/>
      <c r="P15" s="64"/>
      <c r="Q15" s="64"/>
      <c r="R15" s="64"/>
      <c r="S15" s="64"/>
    </row>
    <row r="16" spans="1:47" outlineLevel="1">
      <c r="C16" s="62"/>
      <c r="D16" s="30" t="s">
        <v>79</v>
      </c>
      <c r="E16" s="163" t="s">
        <v>15</v>
      </c>
      <c r="F16" s="174">
        <v>2017</v>
      </c>
      <c r="G16" s="32"/>
      <c r="H16" s="32"/>
      <c r="O16" s="64"/>
      <c r="P16" s="64"/>
      <c r="Q16" s="64"/>
      <c r="R16" s="64"/>
      <c r="S16" s="64"/>
    </row>
    <row r="17" spans="1:47" outlineLevel="1">
      <c r="C17" s="62"/>
      <c r="D17" s="30" t="s">
        <v>79</v>
      </c>
      <c r="E17" s="163" t="s">
        <v>15</v>
      </c>
      <c r="F17" s="174">
        <v>2017</v>
      </c>
      <c r="G17" s="32"/>
      <c r="H17" s="32"/>
      <c r="O17" s="64"/>
      <c r="P17" s="64"/>
      <c r="Q17" s="64"/>
      <c r="R17" s="64"/>
      <c r="S17" s="64"/>
    </row>
    <row r="18" spans="1:47" outlineLevel="1">
      <c r="C18" s="62"/>
      <c r="D18" s="30" t="s">
        <v>79</v>
      </c>
      <c r="E18" s="163" t="s">
        <v>15</v>
      </c>
      <c r="F18" s="174">
        <v>2017</v>
      </c>
      <c r="G18" s="32"/>
      <c r="H18" s="32"/>
      <c r="O18" s="64"/>
      <c r="P18" s="64"/>
      <c r="Q18" s="64"/>
      <c r="R18" s="64"/>
      <c r="S18" s="64"/>
    </row>
    <row r="19" spans="1:47" outlineLevel="1">
      <c r="C19" s="62"/>
      <c r="D19" s="30" t="s">
        <v>79</v>
      </c>
      <c r="E19" s="163" t="s">
        <v>15</v>
      </c>
      <c r="F19" s="174">
        <v>2017</v>
      </c>
      <c r="G19" s="32"/>
      <c r="H19" s="32"/>
      <c r="O19" s="64"/>
      <c r="P19" s="64"/>
      <c r="Q19" s="64"/>
      <c r="R19" s="64"/>
      <c r="S19" s="64"/>
    </row>
    <row r="20" spans="1:47" outlineLevel="1">
      <c r="C20" s="62"/>
      <c r="D20" s="30" t="s">
        <v>79</v>
      </c>
      <c r="E20" s="163" t="s">
        <v>15</v>
      </c>
      <c r="F20" s="174">
        <v>2017</v>
      </c>
      <c r="G20" s="32"/>
      <c r="H20" s="32"/>
      <c r="O20" s="64"/>
      <c r="P20" s="64"/>
      <c r="Q20" s="64"/>
      <c r="R20" s="64"/>
      <c r="S20" s="64"/>
    </row>
    <row r="21" spans="1:47">
      <c r="G21" s="32"/>
      <c r="H21" s="32"/>
    </row>
    <row r="22" spans="1:47" s="108" customFormat="1" ht="12.75">
      <c r="A22" s="99"/>
      <c r="B22" s="100" t="s">
        <v>138</v>
      </c>
      <c r="C22" s="99"/>
      <c r="D22" s="99"/>
      <c r="E22" s="99"/>
      <c r="F22" s="101"/>
      <c r="G22" s="101"/>
      <c r="H22" s="101"/>
      <c r="I22" s="101"/>
      <c r="J22" s="102"/>
      <c r="K22" s="103"/>
      <c r="L22" s="102"/>
      <c r="M22" s="103"/>
      <c r="N22" s="102"/>
      <c r="O22" s="102"/>
      <c r="P22" s="102"/>
      <c r="Q22" s="102"/>
      <c r="R22" s="102"/>
      <c r="S22" s="102"/>
      <c r="T22" s="102"/>
      <c r="U22" s="102"/>
      <c r="V22" s="103"/>
      <c r="W22" s="103"/>
      <c r="X22" s="104"/>
      <c r="Y22" s="104"/>
      <c r="Z22" s="104"/>
      <c r="AA22" s="104"/>
      <c r="AB22" s="105"/>
      <c r="AC22" s="106"/>
      <c r="AD22" s="106"/>
      <c r="AE22" s="107"/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7"/>
      <c r="AT22" s="107"/>
      <c r="AU22" s="107"/>
    </row>
    <row r="23" spans="1:47" outlineLevel="1">
      <c r="G23" s="32"/>
      <c r="H23" s="32"/>
    </row>
    <row r="24" spans="1:47" outlineLevel="1">
      <c r="C24" s="70" t="s">
        <v>128</v>
      </c>
      <c r="D24" s="32" t="s">
        <v>7</v>
      </c>
      <c r="E24" s="32" t="s">
        <v>8</v>
      </c>
      <c r="F24" s="32" t="s">
        <v>22</v>
      </c>
      <c r="G24" s="32"/>
      <c r="H24" s="32"/>
      <c r="J24" s="111" t="str">
        <f>IF(RIGHT(J$4,2)&gt;=RIGHT('Input|General'!$G$11,2),IF(RIGHT(J$4,2)&lt;=RIGHT('Input|General'!$G$12,2),J$4,""),"")</f>
        <v/>
      </c>
      <c r="K24" s="111" t="str">
        <f ca="1">IF(RIGHT(K$4,2)&gt;=RIGHT('Input|General'!$G$11,2),IF(RIGHT(K$4,2)&lt;=RIGHT('Input|General'!$G$12,2),K$4,""),"")</f>
        <v/>
      </c>
      <c r="L24" s="111" t="str">
        <f ca="1">IF(RIGHT(L$4,2)&gt;=RIGHT('Input|General'!$G$11,2),IF(RIGHT(L$4,2)&lt;=RIGHT('Input|General'!$G$12,2),L$4,""),"")</f>
        <v/>
      </c>
      <c r="M24" s="111" t="str">
        <f ca="1">IF(RIGHT(M$4,2)&gt;=RIGHT('Input|General'!$G$11,2),IF(RIGHT(M$4,2)&lt;=RIGHT('Input|General'!$G$12,2),M$4,""),"")</f>
        <v/>
      </c>
      <c r="N24" s="111" t="str">
        <f ca="1">IF(RIGHT(N$4,2)&gt;=RIGHT('Input|General'!$G$11,2),IF(RIGHT(N$4,2)&lt;=RIGHT('Input|General'!$G$12,2),N$4,""),"")</f>
        <v/>
      </c>
      <c r="O24" s="175">
        <f ca="1">IF(RIGHT(O$4,2)&gt;=RIGHT('Input|General'!$G$11,2),IF(RIGHT(O$4,2)&lt;=RIGHT('Input|General'!$G$12,2),O$4,""),"")</f>
        <v>2018</v>
      </c>
      <c r="P24" s="175">
        <f ca="1">IF(RIGHT(P$4,2)&gt;=RIGHT('Input|General'!$G$11,2),IF(RIGHT(P$4,2)&lt;=RIGHT('Input|General'!$G$12,2),P$4,""),"")</f>
        <v>2019</v>
      </c>
      <c r="Q24" s="175">
        <f ca="1">IF(RIGHT(Q$4,2)&gt;=RIGHT('Input|General'!$G$11,2),IF(RIGHT(Q$4,2)&lt;=RIGHT('Input|General'!$G$12,2),Q$4,""),"")</f>
        <v>2020</v>
      </c>
      <c r="R24" s="175">
        <f ca="1">IF(RIGHT(R$4,2)&gt;=RIGHT('Input|General'!$G$11,2),IF(RIGHT(R$4,2)&lt;=RIGHT('Input|General'!$G$12,2),R$4,""),"")</f>
        <v>2021</v>
      </c>
      <c r="S24" s="175">
        <f ca="1">IF(RIGHT(S$4,2)&gt;=RIGHT('Input|General'!$G$11,2),IF(RIGHT(S$4,2)&lt;=RIGHT('Input|General'!$G$12,2),S$4,""),"")</f>
        <v>2022</v>
      </c>
    </row>
    <row r="25" spans="1:47" outlineLevel="1">
      <c r="G25" s="32"/>
      <c r="H25" s="32"/>
    </row>
    <row r="26" spans="1:47" outlineLevel="1">
      <c r="C26" s="62" t="s">
        <v>127</v>
      </c>
      <c r="D26" s="30" t="s">
        <v>79</v>
      </c>
      <c r="E26" s="163" t="s">
        <v>15</v>
      </c>
      <c r="F26" s="174">
        <v>2017</v>
      </c>
      <c r="G26" s="32"/>
      <c r="H26" s="32"/>
      <c r="O26" s="64">
        <v>0.18788711499179556</v>
      </c>
      <c r="P26" s="64">
        <v>0.4898932104395044</v>
      </c>
      <c r="Q26" s="64">
        <v>0.7962860801504803</v>
      </c>
      <c r="R26" s="64">
        <v>1.1088436060983184</v>
      </c>
      <c r="S26" s="64">
        <v>1.4275897811953939</v>
      </c>
    </row>
    <row r="27" spans="1:47" outlineLevel="1">
      <c r="C27" s="62"/>
      <c r="D27" s="30" t="s">
        <v>79</v>
      </c>
      <c r="E27" s="163" t="s">
        <v>15</v>
      </c>
      <c r="F27" s="174">
        <v>2017</v>
      </c>
      <c r="G27" s="32"/>
      <c r="H27" s="32"/>
      <c r="O27" s="64"/>
      <c r="P27" s="64"/>
      <c r="Q27" s="64"/>
      <c r="R27" s="64"/>
      <c r="S27" s="64"/>
    </row>
    <row r="28" spans="1:47" outlineLevel="1">
      <c r="C28" s="62"/>
      <c r="D28" s="30" t="s">
        <v>79</v>
      </c>
      <c r="E28" s="163" t="s">
        <v>15</v>
      </c>
      <c r="F28" s="174">
        <v>2017</v>
      </c>
      <c r="G28" s="32"/>
      <c r="H28" s="32"/>
      <c r="O28" s="64"/>
      <c r="P28" s="64"/>
      <c r="Q28" s="64"/>
      <c r="R28" s="64"/>
      <c r="S28" s="64"/>
    </row>
    <row r="29" spans="1:47">
      <c r="G29" s="32"/>
      <c r="H29" s="32"/>
    </row>
    <row r="30" spans="1:47" s="108" customFormat="1" ht="12.75">
      <c r="A30" s="99"/>
      <c r="B30" s="100" t="s">
        <v>45</v>
      </c>
      <c r="C30" s="99"/>
      <c r="D30" s="99"/>
      <c r="E30" s="99"/>
      <c r="F30" s="101"/>
      <c r="G30" s="101"/>
      <c r="H30" s="101"/>
      <c r="I30" s="101"/>
      <c r="J30" s="102"/>
      <c r="K30" s="103"/>
      <c r="L30" s="102"/>
      <c r="M30" s="103"/>
      <c r="N30" s="102"/>
      <c r="O30" s="102"/>
      <c r="P30" s="102"/>
      <c r="Q30" s="102"/>
      <c r="R30" s="102"/>
      <c r="S30" s="102"/>
      <c r="T30" s="102"/>
      <c r="U30" s="102"/>
      <c r="V30" s="103"/>
      <c r="W30" s="103"/>
      <c r="X30" s="104"/>
      <c r="Y30" s="104"/>
      <c r="Z30" s="104"/>
      <c r="AA30" s="104"/>
      <c r="AB30" s="105"/>
      <c r="AC30" s="106"/>
      <c r="AD30" s="106"/>
      <c r="AE30" s="107"/>
      <c r="AF30" s="107"/>
      <c r="AG30" s="107"/>
      <c r="AH30" s="107"/>
      <c r="AI30" s="107"/>
      <c r="AJ30" s="107"/>
      <c r="AK30" s="107"/>
      <c r="AL30" s="107"/>
      <c r="AM30" s="107"/>
      <c r="AN30" s="107"/>
      <c r="AO30" s="107"/>
      <c r="AP30" s="107"/>
      <c r="AQ30" s="107"/>
      <c r="AR30" s="107"/>
      <c r="AS30" s="107"/>
      <c r="AT30" s="107"/>
      <c r="AU30" s="107"/>
    </row>
    <row r="31" spans="1:47" outlineLevel="1">
      <c r="G31" s="32"/>
      <c r="H31" s="32"/>
    </row>
    <row r="32" spans="1:47" outlineLevel="1">
      <c r="C32" s="70" t="s">
        <v>32</v>
      </c>
      <c r="D32" s="32" t="s">
        <v>7</v>
      </c>
      <c r="E32" s="32" t="s">
        <v>8</v>
      </c>
      <c r="F32" s="32" t="s">
        <v>22</v>
      </c>
      <c r="G32" s="32"/>
      <c r="H32" s="32"/>
      <c r="J32" s="111" t="str">
        <f>IF(RIGHT(J$4,2)&gt;=RIGHT('Input|General'!$G$11,2),IF(RIGHT(J$4,2)&lt;=RIGHT('Input|General'!$G$12,2),J$4,""),"")</f>
        <v/>
      </c>
      <c r="K32" s="111" t="str">
        <f ca="1">IF(RIGHT(K$4,2)&gt;=RIGHT('Input|General'!$G$11,2),IF(RIGHT(K$4,2)&lt;=RIGHT('Input|General'!$G$12,2),K$4,""),"")</f>
        <v/>
      </c>
      <c r="L32" s="111" t="str">
        <f ca="1">IF(RIGHT(L$4,2)&gt;=RIGHT('Input|General'!$G$11,2),IF(RIGHT(L$4,2)&lt;=RIGHT('Input|General'!$G$12,2),L$4,""),"")</f>
        <v/>
      </c>
      <c r="M32" s="111" t="str">
        <f ca="1">IF(RIGHT(M$4,2)&gt;=RIGHT('Input|General'!$G$11,2),IF(RIGHT(M$4,2)&lt;=RIGHT('Input|General'!$G$12,2),M$4,""),"")</f>
        <v/>
      </c>
      <c r="N32" s="111" t="str">
        <f ca="1">IF(RIGHT(N$4,2)&gt;=RIGHT('Input|General'!$G$11,2),IF(RIGHT(N$4,2)&lt;=RIGHT('Input|General'!$G$12,2),N$4,""),"")</f>
        <v/>
      </c>
      <c r="O32" s="175">
        <f ca="1">IF(RIGHT(O$4,2)&gt;=RIGHT('Input|General'!$G$11,2),IF(RIGHT(O$4,2)&lt;=RIGHT('Input|General'!$G$12,2),O$4,""),"")</f>
        <v>2018</v>
      </c>
      <c r="P32" s="175">
        <f ca="1">IF(RIGHT(P$4,2)&gt;=RIGHT('Input|General'!$G$11,2),IF(RIGHT(P$4,2)&lt;=RIGHT('Input|General'!$G$12,2),P$4,""),"")</f>
        <v>2019</v>
      </c>
      <c r="Q32" s="175">
        <f ca="1">IF(RIGHT(Q$4,2)&gt;=RIGHT('Input|General'!$G$11,2),IF(RIGHT(Q$4,2)&lt;=RIGHT('Input|General'!$G$12,2),Q$4,""),"")</f>
        <v>2020</v>
      </c>
      <c r="R32" s="175">
        <f ca="1">IF(RIGHT(R$4,2)&gt;=RIGHT('Input|General'!$G$11,2),IF(RIGHT(R$4,2)&lt;=RIGHT('Input|General'!$G$12,2),R$4,""),"")</f>
        <v>2021</v>
      </c>
      <c r="S32" s="175">
        <f ca="1">IF(RIGHT(S$4,2)&gt;=RIGHT('Input|General'!$G$11,2),IF(RIGHT(S$4,2)&lt;=RIGHT('Input|General'!$G$12,2),S$4,""),"")</f>
        <v>2022</v>
      </c>
    </row>
    <row r="33" spans="1:47" outlineLevel="1">
      <c r="G33" s="32"/>
      <c r="H33" s="32"/>
    </row>
    <row r="34" spans="1:47" outlineLevel="1">
      <c r="C34" s="117" t="s">
        <v>39</v>
      </c>
      <c r="D34" s="30" t="s">
        <v>82</v>
      </c>
      <c r="E34" s="30" t="s">
        <v>15</v>
      </c>
      <c r="F34" s="172">
        <v>2017</v>
      </c>
      <c r="G34" s="32"/>
      <c r="H34" s="32"/>
      <c r="O34" s="72">
        <v>0.77</v>
      </c>
      <c r="P34" s="72">
        <v>0.79</v>
      </c>
      <c r="Q34" s="72">
        <v>0.82</v>
      </c>
      <c r="R34" s="72">
        <v>0.84</v>
      </c>
      <c r="S34" s="72">
        <v>0.85</v>
      </c>
    </row>
    <row r="35" spans="1:47">
      <c r="G35" s="32"/>
      <c r="H35" s="32"/>
    </row>
    <row r="36" spans="1:47" s="108" customFormat="1" ht="12.75">
      <c r="A36" s="99"/>
      <c r="B36" s="100" t="s">
        <v>21</v>
      </c>
      <c r="C36" s="99"/>
      <c r="D36" s="99"/>
      <c r="E36" s="99"/>
      <c r="F36" s="101"/>
      <c r="G36" s="101"/>
      <c r="H36" s="101"/>
      <c r="I36" s="101"/>
      <c r="J36" s="102"/>
      <c r="K36" s="103"/>
      <c r="L36" s="102"/>
      <c r="M36" s="103"/>
      <c r="N36" s="102"/>
      <c r="O36" s="102"/>
      <c r="P36" s="102"/>
      <c r="Q36" s="102"/>
      <c r="R36" s="102"/>
      <c r="S36" s="102"/>
      <c r="T36" s="102"/>
      <c r="U36" s="102"/>
      <c r="V36" s="103"/>
      <c r="W36" s="103"/>
      <c r="X36" s="104"/>
      <c r="Y36" s="104"/>
      <c r="Z36" s="104"/>
      <c r="AA36" s="104"/>
      <c r="AB36" s="105"/>
      <c r="AC36" s="106"/>
      <c r="AD36" s="106"/>
      <c r="AE36" s="107"/>
      <c r="AF36" s="107"/>
      <c r="AG36" s="107"/>
      <c r="AH36" s="107"/>
      <c r="AI36" s="107"/>
      <c r="AJ36" s="107"/>
      <c r="AK36" s="107"/>
      <c r="AL36" s="107"/>
      <c r="AM36" s="107"/>
      <c r="AN36" s="107"/>
      <c r="AO36" s="107"/>
      <c r="AP36" s="107"/>
      <c r="AQ36" s="107"/>
      <c r="AR36" s="107"/>
      <c r="AS36" s="107"/>
      <c r="AT36" s="107"/>
      <c r="AU36" s="107"/>
    </row>
    <row r="37" spans="1:47" hidden="1">
      <c r="G37" s="32"/>
      <c r="H37" s="32"/>
    </row>
    <row r="38" spans="1:47" hidden="1">
      <c r="G38" s="32"/>
      <c r="H38" s="32"/>
    </row>
    <row r="39" spans="1:47" hidden="1">
      <c r="G39" s="32"/>
      <c r="H39" s="32"/>
    </row>
    <row r="40" spans="1:47" hidden="1">
      <c r="G40" s="32"/>
      <c r="H40" s="32"/>
    </row>
    <row r="41" spans="1:47" hidden="1">
      <c r="G41" s="32"/>
      <c r="H41" s="32"/>
    </row>
    <row r="42" spans="1:47" hidden="1">
      <c r="G42" s="32"/>
      <c r="H42" s="32"/>
    </row>
    <row r="43" spans="1:47" hidden="1">
      <c r="G43" s="32"/>
      <c r="H43" s="32"/>
    </row>
    <row r="44" spans="1:47" hidden="1">
      <c r="G44" s="32"/>
      <c r="H44" s="32"/>
    </row>
    <row r="45" spans="1:47" hidden="1">
      <c r="G45" s="32"/>
      <c r="H45" s="32"/>
    </row>
    <row r="46" spans="1:47" hidden="1">
      <c r="G46" s="32"/>
      <c r="H46" s="32"/>
    </row>
  </sheetData>
  <mergeCells count="2">
    <mergeCell ref="J3:L3"/>
    <mergeCell ref="N3:S3"/>
  </mergeCells>
  <conditionalFormatting sqref="S1">
    <cfRule type="cellIs" dxfId="69" priority="1" operator="equal">
      <formula>"Check"</formula>
    </cfRule>
    <cfRule type="cellIs" dxfId="68" priority="2" operator="equal">
      <formula>"Ok"</formula>
    </cfRule>
  </conditionalFormatting>
  <conditionalFormatting sqref="V1">
    <cfRule type="cellIs" dxfId="67" priority="3" operator="equal">
      <formula>"Check"</formula>
    </cfRule>
    <cfRule type="cellIs" dxfId="66" priority="4" operator="equal">
      <formula>"Ok"</formula>
    </cfRule>
  </conditionalFormatting>
  <dataValidations count="3">
    <dataValidation type="list" allowBlank="1" showInputMessage="1" showErrorMessage="1" sqref="F29 F21">
      <formula1>"Real 2010,Real 2011,Real 2012,Real 2013,Real 2014,Real 2015,Nominal"</formula1>
    </dataValidation>
    <dataValidation type="list" allowBlank="1" showInputMessage="1" showErrorMessage="1" sqref="I26:I29 I34 I12:I20 U12:U20 U26:U29">
      <formula1>#REF!</formula1>
    </dataValidation>
    <dataValidation type="list" allowBlank="1" showInputMessage="1" showErrorMessage="1" sqref="I21 U21">
      <formula1>#REF!</formula1>
    </dataValidation>
  </dataValidations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'Lookup|Tables'!$G$10:$G$12</xm:f>
          </x14:formula1>
          <xm:sqref>E34 E12:E20 E26:E28</xm:sqref>
        </x14:dataValidation>
        <x14:dataValidation type="list" allowBlank="1" showInputMessage="1" showErrorMessage="1">
          <x14:formula1>
            <xm:f>'Lookup|Tables'!$G$25:$G$42</xm:f>
          </x14:formula1>
          <xm:sqref>F34 F26:F28 F12:F20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CCFFCC"/>
  </sheetPr>
  <dimension ref="A1:AU171"/>
  <sheetViews>
    <sheetView showGridLines="0" topLeftCell="A19" workbookViewId="0">
      <selection activeCell="M20" sqref="M20"/>
    </sheetView>
  </sheetViews>
  <sheetFormatPr defaultColWidth="0" defaultRowHeight="11.25" zeroHeight="1" outlineLevelRow="1"/>
  <cols>
    <col min="1" max="2" width="1.5" style="29" customWidth="1"/>
    <col min="3" max="3" width="50.1640625" style="29" bestFit="1" customWidth="1"/>
    <col min="4" max="4" width="27.6640625" style="30" customWidth="1"/>
    <col min="5" max="5" width="15.83203125" style="30" customWidth="1"/>
    <col min="6" max="6" width="10.6640625" style="30" customWidth="1"/>
    <col min="7" max="9" width="3.5" style="30" customWidth="1"/>
    <col min="10" max="23" width="10.83203125" style="29" customWidth="1"/>
    <col min="24" max="38" width="10.5" style="29" hidden="1" customWidth="1"/>
    <col min="39" max="16384" width="10.5" style="29" hidden="1"/>
  </cols>
  <sheetData>
    <row r="1" spans="1:47" s="73" customFormat="1" ht="15.75">
      <c r="B1" s="74" t="str">
        <f>Index!$B$1</f>
        <v>AER opex model</v>
      </c>
      <c r="C1" s="74"/>
      <c r="D1" s="74"/>
      <c r="E1" s="74"/>
      <c r="F1" s="75"/>
      <c r="G1" s="75"/>
      <c r="H1" s="75"/>
      <c r="I1" s="75"/>
      <c r="J1" s="37" t="s">
        <v>2</v>
      </c>
      <c r="L1" s="76" t="s">
        <v>3</v>
      </c>
      <c r="M1" s="77" t="s">
        <v>4</v>
      </c>
      <c r="N1" s="78" t="s">
        <v>5</v>
      </c>
      <c r="O1" s="79" t="s">
        <v>6</v>
      </c>
      <c r="R1" s="76" t="s">
        <v>92</v>
      </c>
      <c r="S1" s="80" t="s">
        <v>36</v>
      </c>
      <c r="U1" s="183" t="s">
        <v>24</v>
      </c>
      <c r="V1" s="80" t="str">
        <f>'Check|List'!$S$1</f>
        <v>Ok</v>
      </c>
    </row>
    <row r="2" spans="1:47" s="81" customFormat="1" ht="13.5" thickBot="1">
      <c r="B2" s="82" t="str">
        <f>Index!$C$12</f>
        <v>Calc | Opex Forecast</v>
      </c>
      <c r="C2" s="82"/>
      <c r="D2" s="82"/>
      <c r="E2" s="82"/>
      <c r="F2" s="83"/>
      <c r="G2" s="83"/>
      <c r="H2" s="83"/>
      <c r="I2" s="83"/>
    </row>
    <row r="3" spans="1:47" s="84" customFormat="1">
      <c r="C3" s="85"/>
      <c r="D3" s="86"/>
      <c r="E3" s="86"/>
      <c r="F3" s="86"/>
      <c r="G3" s="86"/>
      <c r="H3" s="86"/>
      <c r="I3" s="86"/>
      <c r="J3" s="213"/>
      <c r="K3" s="213"/>
      <c r="L3" s="213"/>
      <c r="M3" s="86"/>
      <c r="N3" s="213"/>
      <c r="O3" s="213"/>
      <c r="P3" s="213"/>
      <c r="Q3" s="213"/>
      <c r="R3" s="213"/>
      <c r="S3" s="213"/>
      <c r="T3" s="87"/>
      <c r="U3" s="87"/>
      <c r="V3" s="87"/>
      <c r="W3" s="87"/>
      <c r="X3" s="87"/>
      <c r="Y3" s="87"/>
      <c r="Z3" s="87"/>
    </row>
    <row r="4" spans="1:47" s="98" customFormat="1" ht="10.5">
      <c r="A4" s="88"/>
      <c r="B4" s="88"/>
      <c r="C4" s="88"/>
      <c r="D4" s="89" t="s">
        <v>7</v>
      </c>
      <c r="E4" s="89" t="s">
        <v>8</v>
      </c>
      <c r="F4" s="90" t="s">
        <v>22</v>
      </c>
      <c r="G4" s="91"/>
      <c r="H4" s="91"/>
      <c r="I4" s="91"/>
      <c r="J4" s="176">
        <f>'Input|General'!$G$8</f>
        <v>2013</v>
      </c>
      <c r="K4" s="177">
        <f ca="1">IF(OFFSET('Lookup|Tables'!$G$26:$G$43,MATCH('Input|General'!$G$8,'Lookup|Tables'!$G$26:$G$42,0),0,1,1)&lt;='Input|General'!$G$12,OFFSET('Lookup|Tables'!$G$26:$G$43,MATCH('Input|General'!$G$8,'Lookup|Tables'!$G$26:$G$42,0),0,1,1),"")</f>
        <v>2014</v>
      </c>
      <c r="L4" s="176">
        <f ca="1">IF(OFFSET('Lookup|Tables'!$G$28:$G$43,MATCH('Input|General'!$G$8,'Lookup|Tables'!$G$28:$G$42,0)+1,0,1,1)&lt;='Input|General'!$G$12,OFFSET('Lookup|Tables'!$G$28:$G$43,MATCH('Input|General'!$G$8,'Lookup|Tables'!$G$28:$G$42,0)+1,0,1,1),"")</f>
        <v>2015</v>
      </c>
      <c r="M4" s="177">
        <f ca="1">IF(OFFSET('Lookup|Tables'!$G$28:$G$43,MATCH('Input|General'!$G$8,'Lookup|Tables'!$G$28:$G$42,0)+2,0,1,1)&lt;='Input|General'!$G$12,OFFSET('Lookup|Tables'!$G$28:$G$43,MATCH('Input|General'!$G$8,'Lookup|Tables'!$G$28:$G$42,0)+2,0,1,1),"")</f>
        <v>2016</v>
      </c>
      <c r="N4" s="176">
        <f ca="1">IF(OFFSET('Lookup|Tables'!$G$28:$G$43,MATCH('Input|General'!$G$8,'Lookup|Tables'!$G$28:$G$42,0)+3,0,1,1)&lt;='Input|General'!$G$12,OFFSET('Lookup|Tables'!$G$28:$G$43,MATCH('Input|General'!$G$8,'Lookup|Tables'!$G$28:$G$42,0)+3,0,1,1),"")</f>
        <v>2017</v>
      </c>
      <c r="O4" s="176">
        <f ca="1">IF(OFFSET('Lookup|Tables'!$G$28:$G$43,MATCH('Input|General'!$G$8,'Lookup|Tables'!$G$28:$G$42,0)+4,0,1,1)&lt;='Input|General'!$G$12,OFFSET('Lookup|Tables'!$G$28:$G$43,MATCH('Input|General'!$G$8,'Lookup|Tables'!$G$28:$G$42,0)+4,0,1,1),"")</f>
        <v>2018</v>
      </c>
      <c r="P4" s="176">
        <f ca="1">IF(OFFSET('Lookup|Tables'!$G$28:$G$43,MATCH('Input|General'!$G$8,'Lookup|Tables'!$G$28:$G$42,0)+5,0,1,1)&lt;='Input|General'!$G$12,OFFSET('Lookup|Tables'!$G$28:$G$43,MATCH('Input|General'!$G$8,'Lookup|Tables'!$G$28:$G$42,0)+5,0,1,1),"")</f>
        <v>2019</v>
      </c>
      <c r="Q4" s="176">
        <f ca="1">IF(OFFSET('Lookup|Tables'!$G$28:$G$43,MATCH('Input|General'!$G$8,'Lookup|Tables'!$G$28:$G$42,0)+6,0,1,1)&lt;='Input|General'!$G$12,OFFSET('Lookup|Tables'!$G$28:$G$43,MATCH('Input|General'!$G$8,'Lookup|Tables'!$G$28:$G$42,0)+6,0,1,1),"")</f>
        <v>2020</v>
      </c>
      <c r="R4" s="176">
        <f ca="1">IF(OFFSET('Lookup|Tables'!$G$28:$G$43,MATCH('Input|General'!$G$8,'Lookup|Tables'!$G$28:$G$42,0)+7,0,1,1)&lt;='Input|General'!$G$12,OFFSET('Lookup|Tables'!$G$28:$G$43,MATCH('Input|General'!$G$8,'Lookup|Tables'!$G$28:$G$42,0)+7,0,1,1),"")</f>
        <v>2021</v>
      </c>
      <c r="S4" s="176">
        <f ca="1">IF(OFFSET('Lookup|Tables'!$G$28:$G$43,MATCH('Input|General'!$G$8,'Lookup|Tables'!$G$28:$G$42,0)+8,0,1,1)&lt;='Input|General'!$G$12,OFFSET('Lookup|Tables'!$G$28:$G$43,MATCH('Input|General'!$G$8,'Lookup|Tables'!$G$28:$G$42,0)+8,0,1,1),"")</f>
        <v>2022</v>
      </c>
      <c r="T4" s="92"/>
      <c r="U4" s="92"/>
      <c r="V4" s="93"/>
      <c r="W4" s="93"/>
      <c r="X4" s="94"/>
      <c r="Y4" s="94"/>
      <c r="Z4" s="94"/>
      <c r="AA4" s="94"/>
      <c r="AB4" s="95"/>
      <c r="AC4" s="96"/>
      <c r="AD4" s="96"/>
      <c r="AE4" s="97"/>
      <c r="AF4" s="97"/>
      <c r="AG4" s="97"/>
      <c r="AH4" s="97"/>
      <c r="AI4" s="97"/>
      <c r="AJ4" s="97"/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</row>
    <row r="5" spans="1:47" s="27" customFormat="1" ht="3" customHeight="1">
      <c r="D5" s="28"/>
      <c r="E5" s="28"/>
      <c r="F5" s="28"/>
      <c r="G5" s="28"/>
      <c r="H5" s="28"/>
      <c r="I5" s="28"/>
    </row>
    <row r="6" spans="1:47" s="27" customFormat="1" ht="9" customHeight="1">
      <c r="D6" s="28"/>
      <c r="E6" s="28"/>
      <c r="F6" s="28"/>
      <c r="G6" s="28"/>
      <c r="H6" s="28"/>
      <c r="I6" s="28"/>
    </row>
    <row r="7" spans="1:47" s="27" customFormat="1" ht="3" customHeight="1">
      <c r="D7" s="28"/>
      <c r="E7" s="28"/>
      <c r="F7" s="28"/>
      <c r="G7" s="28"/>
      <c r="H7" s="28"/>
      <c r="I7" s="28"/>
    </row>
    <row r="8" spans="1:47" s="108" customFormat="1" ht="12.75">
      <c r="A8" s="99"/>
      <c r="B8" s="100" t="s">
        <v>96</v>
      </c>
      <c r="C8" s="99"/>
      <c r="D8" s="99"/>
      <c r="E8" s="71" t="s">
        <v>15</v>
      </c>
      <c r="F8" s="71" t="s">
        <v>41</v>
      </c>
      <c r="G8" s="101"/>
      <c r="H8" s="101"/>
      <c r="I8" s="101"/>
      <c r="J8" s="102"/>
      <c r="K8" s="103"/>
      <c r="L8" s="102"/>
      <c r="M8" s="103"/>
      <c r="N8" s="102"/>
      <c r="O8" s="102"/>
      <c r="P8" s="102"/>
      <c r="Q8" s="102"/>
      <c r="R8" s="102"/>
      <c r="S8" s="102"/>
      <c r="T8" s="102"/>
      <c r="U8" s="102"/>
      <c r="V8" s="103"/>
      <c r="W8" s="103"/>
      <c r="X8" s="104"/>
      <c r="Y8" s="104"/>
      <c r="Z8" s="104"/>
      <c r="AA8" s="104"/>
      <c r="AB8" s="105"/>
      <c r="AC8" s="106"/>
      <c r="AD8" s="106"/>
      <c r="AE8" s="107"/>
      <c r="AF8" s="107"/>
      <c r="AG8" s="107"/>
      <c r="AH8" s="107"/>
      <c r="AI8" s="107"/>
      <c r="AJ8" s="107"/>
      <c r="AK8" s="107"/>
      <c r="AL8" s="107"/>
      <c r="AM8" s="107"/>
      <c r="AN8" s="107"/>
      <c r="AO8" s="107"/>
      <c r="AP8" s="107"/>
      <c r="AQ8" s="107"/>
      <c r="AR8" s="107"/>
      <c r="AS8" s="107"/>
      <c r="AT8" s="107"/>
      <c r="AU8" s="107"/>
    </row>
    <row r="9" spans="1:47" outlineLevel="1"/>
    <row r="10" spans="1:47" outlineLevel="1">
      <c r="C10" s="109"/>
      <c r="D10" s="32" t="s">
        <v>7</v>
      </c>
      <c r="E10" s="32" t="s">
        <v>8</v>
      </c>
      <c r="F10" s="32" t="s">
        <v>22</v>
      </c>
      <c r="G10" s="110"/>
      <c r="H10" s="110"/>
      <c r="I10" s="110"/>
      <c r="J10" s="175" t="str">
        <f>IF(RIGHT(J$4,2)&gt;=RIGHT('Input|General'!$G$9,2),IF(RIGHT(J$4,2)&lt;=RIGHT('Input|General'!$G$10,2),J$4,""),"")</f>
        <v/>
      </c>
      <c r="K10" s="175" t="str">
        <f ca="1">IF(RIGHT(K$4,2)&gt;=RIGHT('Input|General'!$G$9,2),IF(RIGHT(K$4,2)&lt;=RIGHT('Input|General'!$G$10,2),K$4,""),"")</f>
        <v/>
      </c>
      <c r="L10" s="175" t="str">
        <f ca="1">IF(RIGHT(L$4,2)&gt;=RIGHT('Input|General'!$G$9,2),IF(RIGHT(L$4,2)&lt;=RIGHT('Input|General'!$G$10,2),L$4,""),"")</f>
        <v/>
      </c>
      <c r="M10" s="175">
        <f ca="1">IF(RIGHT(M$4,2)&gt;=RIGHT('Input|General'!$G$9,2),IF(RIGHT(M$4,2)&lt;=RIGHT('Input|General'!$G$10,2),M$4,""),"")</f>
        <v>2016</v>
      </c>
      <c r="N10" s="175">
        <f ca="1">IF(RIGHT(N$4,2)&gt;=RIGHT('Input|General'!$G$9,2),IF(RIGHT(N$4,2)&lt;=RIGHT('Input|General'!$G$10,2),N$4,""),"")</f>
        <v>2017</v>
      </c>
      <c r="O10" s="175" t="str">
        <f ca="1">IF(RIGHT(O$4,2)&gt;=RIGHT('Input|General'!$G$9,2),IF(RIGHT(O$4,2)&lt;=RIGHT('Input|General'!$G$10,2),O$4,""),"")</f>
        <v/>
      </c>
      <c r="P10" s="175" t="str">
        <f ca="1">IF(RIGHT(P$4,2)&gt;=RIGHT('Input|General'!$G$9,2),IF(RIGHT(P$4,2)&lt;=RIGHT('Input|General'!$G$10,2),P$4,""),"")</f>
        <v/>
      </c>
      <c r="Q10" s="175" t="str">
        <f ca="1">IF(RIGHT(Q$4,2)&gt;=RIGHT('Input|General'!$G$9,2),IF(RIGHT(Q$4,2)&lt;=RIGHT('Input|General'!$G$10,2),Q$4,""),"")</f>
        <v/>
      </c>
      <c r="R10" s="175" t="str">
        <f ca="1">IF(RIGHT(R$4,2)&gt;=RIGHT('Input|General'!$G$9,2),IF(RIGHT(R$4,2)&lt;=RIGHT('Input|General'!$G$10,2),R$4,""),"")</f>
        <v/>
      </c>
      <c r="S10" s="175" t="str">
        <f ca="1">IF(RIGHT(S$4,2)&gt;=RIGHT('Input|General'!$G$9,2),IF(RIGHT(S$4,2)&lt;=RIGHT('Input|General'!$G$10,2),S$4,""),"")</f>
        <v/>
      </c>
    </row>
    <row r="11" spans="1:47" outlineLevel="1">
      <c r="C11" s="112"/>
      <c r="J11" s="113"/>
      <c r="K11" s="113"/>
      <c r="L11" s="113"/>
      <c r="M11" s="113"/>
      <c r="N11" s="113"/>
      <c r="O11" s="113"/>
      <c r="P11" s="113"/>
      <c r="Q11" s="113"/>
      <c r="R11" s="113"/>
      <c r="S11" s="113"/>
    </row>
    <row r="12" spans="1:47" outlineLevel="1">
      <c r="C12" s="112" t="s">
        <v>102</v>
      </c>
      <c r="D12" s="114" t="s">
        <v>105</v>
      </c>
      <c r="E12" s="30" t="str">
        <f>'Input|Reported opex'!E46</f>
        <v>$millions</v>
      </c>
      <c r="F12" s="30" t="str">
        <f>'Input|Reported opex'!F46</f>
        <v>nominal</v>
      </c>
      <c r="J12" s="115">
        <f>IF(J$10='Input|General'!$G$9,'Input|Reported opex'!J46,0)</f>
        <v>0</v>
      </c>
      <c r="K12" s="115">
        <f ca="1">IF(K$10='Input|General'!$G$9,'Input|Reported opex'!K46,0)</f>
        <v>0</v>
      </c>
      <c r="L12" s="115">
        <f ca="1">IF(L$10='Input|General'!$G$9,'Input|Reported opex'!L46,0)</f>
        <v>0</v>
      </c>
      <c r="M12" s="208">
        <f>('[9]3. Opex'!$E$20-'[9]3. Opex'!$E$39+'[10]3. Opex'!$E$20-'[10]3. Opex'!$E$39)/1000</f>
        <v>63.938778406425918</v>
      </c>
      <c r="N12" s="115">
        <f ca="1">IF(N$10='Input|General'!$G$9,'Input|Reported opex'!N46,0)</f>
        <v>0</v>
      </c>
      <c r="O12" s="115">
        <f ca="1">IF(O$10='Input|General'!$G$9,'Input|Reported opex'!O46,0)</f>
        <v>0</v>
      </c>
      <c r="P12" s="115">
        <f ca="1">IF(P$10='Input|General'!$G$9,'Input|Reported opex'!P46,0)</f>
        <v>0</v>
      </c>
      <c r="Q12" s="115">
        <f ca="1">IF(Q$10='Input|General'!$G$9,'Input|Reported opex'!Q46,0)</f>
        <v>0</v>
      </c>
      <c r="R12" s="115">
        <f ca="1">IF(R$10='Input|General'!$G$9,'Input|Reported opex'!R46,0)</f>
        <v>0</v>
      </c>
      <c r="S12" s="115">
        <f ca="1">IF(S$10='Input|General'!$G$9,'Input|Reported opex'!S46,0)</f>
        <v>0</v>
      </c>
    </row>
    <row r="13" spans="1:47" outlineLevel="1">
      <c r="C13" s="112" t="s">
        <v>102</v>
      </c>
      <c r="D13" s="116" t="s">
        <v>30</v>
      </c>
      <c r="E13" s="30" t="str">
        <f>$E$8</f>
        <v>$millions</v>
      </c>
      <c r="F13" s="178">
        <v>2017</v>
      </c>
      <c r="J13" s="115">
        <f ca="1">J12*IF($F12="nominal",LOOKUP($F13,Nominal_to_Real,'Input|Rate of change'!K$25:K$30),INDEX('Input|Rate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K13" s="115">
        <f ca="1">K12*IF($F12="nominal",LOOKUP($F13,Nominal_to_Real,'Input|Rate of change'!L$25:L$30),INDEX('Input|Rate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L13" s="115">
        <f ca="1">L12*IF($F12="nominal",LOOKUP($F13,Nominal_to_Real,'Input|Rate of change'!M$25:M$30),INDEX('Input|Rate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M13" s="115">
        <f ca="1">M12*IF($F12="nominal",LOOKUP($F13,Nominal_to_Real,'Input|Rate of change'!N$25:N$30),INDEX('Input|Rate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65.550375942841043</v>
      </c>
      <c r="N13" s="115">
        <f ca="1">N12*IF($F12="nominal",LOOKUP($F13,Nominal_to_Real,'Input|Rate of change'!O$25:O$30),INDEX('Input|Rate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O13" s="115">
        <f ca="1">O12*IF($F12="nominal",LOOKUP($F13,Nominal_to_Real,'Input|Rate of change'!P$25:P$30),INDEX('Input|Rate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P13" s="115">
        <f ca="1">P12*IF($F12="nominal",LOOKUP($F13,Nominal_to_Real,'Input|Rate of change'!Q$25:Q$30),INDEX('Input|Rate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Q13" s="115">
        <f ca="1">Q12*IF($F12="nominal",LOOKUP($F13,Nominal_to_Real,'Input|Rate of change'!R$25:R$30),INDEX('Input|Rate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R13" s="115">
        <f ca="1">R12*IF($F12="nominal",LOOKUP($F13,Nominal_to_Real,'Input|Rate of change'!S$25:S$30),INDEX('Input|Rate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S13" s="115">
        <f ca="1">S12*IF($F12="nominal",LOOKUP($F13,Nominal_to_Real,'Input|Rate of change'!T$25:T$30),INDEX('Input|Rate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</row>
    <row r="14" spans="1:47" outlineLevel="1">
      <c r="C14" s="117" t="s">
        <v>103</v>
      </c>
      <c r="D14" s="114" t="s">
        <v>105</v>
      </c>
      <c r="E14" s="30" t="str">
        <f>'Input|Reported opex'!E24</f>
        <v>$millions</v>
      </c>
      <c r="F14" s="182">
        <f>'Input|Reported opex'!F24</f>
        <v>2012</v>
      </c>
      <c r="J14" s="115">
        <f>IF(J$10='Input|General'!$G$9,'Input|Reported opex'!J24,0)</f>
        <v>0</v>
      </c>
      <c r="K14" s="115">
        <f ca="1">IF(K$10='Input|General'!$G$9,'Input|Reported opex'!K24,0)</f>
        <v>0</v>
      </c>
      <c r="L14" s="115">
        <f ca="1">IF(L$10='Input|General'!$G$9,'Input|Reported opex'!L24,0)</f>
        <v>0</v>
      </c>
      <c r="M14" s="115">
        <f ca="1">IF(M$10='Input|General'!$G$9,'Input|Reported opex'!M24,0)</f>
        <v>66.675416672978116</v>
      </c>
      <c r="N14" s="115">
        <f ca="1">IF(N$10='Input|General'!$G$9,'Input|Reported opex'!N24,0)</f>
        <v>0</v>
      </c>
      <c r="O14" s="115">
        <f ca="1">IF(O$10='Input|General'!$G$9,'Input|Reported opex'!O24,0)</f>
        <v>0</v>
      </c>
      <c r="P14" s="115">
        <f ca="1">IF(P$10='Input|General'!$G$9,'Input|Reported opex'!P24,0)</f>
        <v>0</v>
      </c>
      <c r="Q14" s="115">
        <f ca="1">IF(Q$10='Input|General'!$G$9,'Input|Reported opex'!Q24,0)</f>
        <v>0</v>
      </c>
      <c r="R14" s="115">
        <f ca="1">IF(R$10='Input|General'!$G$9,'Input|Reported opex'!R24,0)</f>
        <v>0</v>
      </c>
      <c r="S14" s="115">
        <f ca="1">IF(S$10='Input|General'!$G$9,'Input|Reported opex'!S24,0)</f>
        <v>0</v>
      </c>
    </row>
    <row r="15" spans="1:47" outlineLevel="1">
      <c r="C15" s="117" t="s">
        <v>103</v>
      </c>
      <c r="D15" s="116" t="s">
        <v>30</v>
      </c>
      <c r="E15" s="30" t="str">
        <f>$E$8</f>
        <v>$millions</v>
      </c>
      <c r="F15" s="178">
        <v>2017</v>
      </c>
      <c r="J15" s="115">
        <f ca="1">J14*IF($F14="nominal",LOOKUP($F15,Nominal_to_Real,'Input|Rate of change'!K$25:K$30),INDEX('Input|Rate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K15" s="115">
        <f ca="1">K14*IF($F14="nominal",LOOKUP($F15,Nominal_to_Real,'Input|Rate of change'!L$25:L$30),INDEX('Input|Rate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L15" s="115">
        <f ca="1">L14*IF($F14="nominal",LOOKUP($F15,Nominal_to_Real,'Input|Rate of change'!M$25:M$30),INDEX('Input|Rate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M15" s="115">
        <f ca="1">M14*IF($F14="nominal",LOOKUP($F15,Nominal_to_Real,'Input|Rate of change'!N$25:N$30),INDEX('Input|Rate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73.563438801784201</v>
      </c>
      <c r="N15" s="115">
        <f ca="1">N14*IF($F14="nominal",LOOKUP($F15,Nominal_to_Real,'Input|Rate of change'!O$25:O$30),INDEX('Input|Rate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O15" s="115">
        <f ca="1">O14*IF($F14="nominal",LOOKUP($F15,Nominal_to_Real,'Input|Rate of change'!P$25:P$30),INDEX('Input|Rate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P15" s="115">
        <f ca="1">P14*IF($F14="nominal",LOOKUP($F15,Nominal_to_Real,'Input|Rate of change'!Q$25:Q$30),INDEX('Input|Rate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Q15" s="115">
        <f ca="1">Q14*IF($F14="nominal",LOOKUP($F15,Nominal_to_Real,'Input|Rate of change'!R$25:R$30),INDEX('Input|Rate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R15" s="115">
        <f ca="1">R14*IF($F14="nominal",LOOKUP($F15,Nominal_to_Real,'Input|Rate of change'!S$25:S$30),INDEX('Input|Rate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  <c r="S15" s="115">
        <f ca="1">S14*IF($F14="nominal",LOOKUP($F15,Nominal_to_Real,'Input|Rate of change'!T$25:T$30),INDEX('Input|Rate of change'!$C$14:$O$21,MATCH('Calc|Opex forecast'!$F14,'Input|Rate of change'!$C$14:$C$21,0),MATCH('Calc|Opex forecast'!$F15,'Input|Rate of change'!$C$14:$O$14,0)))*IF($E14="$millions",1000000,IF($E14="$000",1000,1))/IF($E15="$millions",1000000,IF($E15="$000",1000,1))</f>
        <v>0</v>
      </c>
    </row>
    <row r="16" spans="1:47" outlineLevel="1">
      <c r="C16" s="117" t="s">
        <v>104</v>
      </c>
      <c r="D16" s="114" t="s">
        <v>105</v>
      </c>
      <c r="E16" s="30" t="str">
        <f>'Input|Reported opex'!E24</f>
        <v>$millions</v>
      </c>
      <c r="F16" s="182">
        <f>'Input|Reported opex'!F24</f>
        <v>2012</v>
      </c>
      <c r="J16" s="115">
        <f>IF(J$10='Input|General'!$G$10,'Input|Reported opex'!J24,0)</f>
        <v>0</v>
      </c>
      <c r="K16" s="115">
        <f ca="1">IF(K$10='Input|General'!$G$10,'Input|Reported opex'!K24,0)</f>
        <v>0</v>
      </c>
      <c r="L16" s="115">
        <f ca="1">IF(L$10='Input|General'!$G$10,'Input|Reported opex'!L24,0)</f>
        <v>0</v>
      </c>
      <c r="M16" s="115">
        <f ca="1">IF(M$10='Input|General'!$G$10,'Input|Reported opex'!M24,0)</f>
        <v>0</v>
      </c>
      <c r="N16" s="115">
        <f ca="1">IF(N$10='Input|General'!$G$10,'Input|Reported opex'!N24,0)</f>
        <v>67.686545683713135</v>
      </c>
      <c r="O16" s="115">
        <f ca="1">IF(O$10='Input|General'!$G$10,'Input|Reported opex'!O24,0)</f>
        <v>0</v>
      </c>
      <c r="P16" s="115">
        <f ca="1">IF(P$10='Input|General'!$G$10,'Input|Reported opex'!P24,0)</f>
        <v>0</v>
      </c>
      <c r="Q16" s="115">
        <f ca="1">IF(Q$10='Input|General'!$G$10,'Input|Reported opex'!Q24,0)</f>
        <v>0</v>
      </c>
      <c r="R16" s="115">
        <f ca="1">IF(R$10='Input|General'!$G$10,'Input|Reported opex'!R24,0)</f>
        <v>0</v>
      </c>
      <c r="S16" s="115">
        <f ca="1">IF(S$10='Input|General'!$G$10,'Input|Reported opex'!S24,0)</f>
        <v>0</v>
      </c>
    </row>
    <row r="17" spans="3:19" outlineLevel="1">
      <c r="C17" s="117" t="s">
        <v>104</v>
      </c>
      <c r="D17" s="116" t="s">
        <v>30</v>
      </c>
      <c r="E17" s="30" t="str">
        <f>$E$8</f>
        <v>$millions</v>
      </c>
      <c r="F17" s="178">
        <v>2017</v>
      </c>
      <c r="J17" s="115">
        <f ca="1">J16*IF($F16="nominal",LOOKUP($F17,Nominal_to_Real,'Input|Rate of change'!K$25:K$30),INDEX('Input|Rate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K17" s="115">
        <f ca="1">K16*IF($F16="nominal",LOOKUP($F17,Nominal_to_Real,'Input|Rate of change'!L$25:L$30),INDEX('Input|Rate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L17" s="115">
        <f ca="1">L16*IF($F16="nominal",LOOKUP($F17,Nominal_to_Real,'Input|Rate of change'!M$25:M$30),INDEX('Input|Rate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M17" s="115">
        <f ca="1">M16*IF($F16="nominal",LOOKUP($F17,Nominal_to_Real,'Input|Rate of change'!N$25:N$30),INDEX('Input|Rate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N17" s="115">
        <f ca="1">N16*IF($F16="nominal",LOOKUP($F17,Nominal_to_Real,'Input|Rate of change'!O$25:O$30),INDEX('Input|Rate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74.679024287612279</v>
      </c>
      <c r="O17" s="115">
        <f ca="1">O16*IF($F16="nominal",LOOKUP($F17,Nominal_to_Real,'Input|Rate of change'!P$25:P$30),INDEX('Input|Rate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P17" s="115">
        <f ca="1">P16*IF($F16="nominal",LOOKUP($F17,Nominal_to_Real,'Input|Rate of change'!Q$25:Q$30),INDEX('Input|Rate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Q17" s="115">
        <f ca="1">Q16*IF($F16="nominal",LOOKUP($F17,Nominal_to_Real,'Input|Rate of change'!R$25:R$30),INDEX('Input|Rate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R17" s="115">
        <f ca="1">R16*IF($F16="nominal",LOOKUP($F17,Nominal_to_Real,'Input|Rate of change'!S$25:S$30),INDEX('Input|Rate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  <c r="S17" s="115">
        <f ca="1">S16*IF($F16="nominal",LOOKUP($F17,Nominal_to_Real,'Input|Rate of change'!T$25:T$30),INDEX('Input|Rate of change'!$C$14:$O$21,MATCH('Calc|Opex forecast'!$F16,'Input|Rate of change'!$C$14:$C$21,0),MATCH('Calc|Opex forecast'!$F17,'Input|Rate of change'!$C$14:$O$14,0)))*IF($E16="$millions",1000000,IF($E16="$000",1000,1))/IF($E17="$millions",1000000,IF($E17="$000",1000,1))</f>
        <v>0</v>
      </c>
    </row>
    <row r="18" spans="3:19" outlineLevel="1">
      <c r="C18" s="117"/>
      <c r="F18" s="178"/>
      <c r="J18" s="119"/>
      <c r="K18" s="119"/>
      <c r="L18" s="119"/>
      <c r="M18" s="119"/>
      <c r="N18" s="119"/>
      <c r="O18" s="119"/>
      <c r="P18" s="119"/>
      <c r="Q18" s="119"/>
      <c r="R18" s="119"/>
      <c r="S18" s="119"/>
    </row>
    <row r="19" spans="3:19" outlineLevel="1">
      <c r="C19" s="120" t="s">
        <v>121</v>
      </c>
      <c r="D19" s="121" t="s">
        <v>30</v>
      </c>
      <c r="E19" s="121" t="str">
        <f>$E$8</f>
        <v>$millions</v>
      </c>
      <c r="F19" s="178">
        <v>2017</v>
      </c>
      <c r="J19" s="122">
        <f>IF(J$10='Input|General'!$G$10,SUM($J13:$S13)-SUM($J15:$S15)+SUM($J17:$S17),0)</f>
        <v>0</v>
      </c>
      <c r="K19" s="122">
        <f ca="1">IF(K$10='Input|General'!$G$10,SUM($J13:$S13)-SUM($J15:$S15)+SUM($J17:$S17),0)</f>
        <v>0</v>
      </c>
      <c r="L19" s="122">
        <f ca="1">IF(L$10='Input|General'!$G$10,SUM($J13:$S13)-SUM($J15:$S15)+SUM($J17:$S17),0)</f>
        <v>0</v>
      </c>
      <c r="M19" s="122">
        <f ca="1">IF(M$10='Input|General'!$G$10,SUM($J13:$S13)-SUM($J15:$S15)+SUM($J17:$S17),0)</f>
        <v>0</v>
      </c>
      <c r="N19" s="122">
        <f ca="1">IF(N$10='Input|General'!$G$10,SUM($J13:$S13)-SUM($J15:$S15)+SUM($J17:$S17),0)</f>
        <v>66.665961428669121</v>
      </c>
      <c r="O19" s="122">
        <f ca="1">IF(O$10='Input|General'!$G$10,SUM($J13:$S13)-SUM($J15:$S15)+SUM($J17:$S17),0)</f>
        <v>0</v>
      </c>
      <c r="P19" s="122">
        <f ca="1">IF(P$10='Input|General'!$G$10,SUM($J13:$S13)-SUM($J15:$S15)+SUM($J17:$S17),0)</f>
        <v>0</v>
      </c>
      <c r="Q19" s="122">
        <f ca="1">IF(Q$10='Input|General'!$G$10,SUM($J13:$S13)-SUM($J15:$S15)+SUM($J17:$S17),0)</f>
        <v>0</v>
      </c>
      <c r="R19" s="122">
        <f ca="1">IF(R$10='Input|General'!$G$10,SUM($J13:$S13)-SUM($J15:$S15)+SUM($J17:$S17),0)</f>
        <v>0</v>
      </c>
      <c r="S19" s="122">
        <f ca="1">IF(S$10='Input|General'!$G$10,SUM($J13:$S13)-SUM($J15:$S15)+SUM($J17:$S17),0)</f>
        <v>0</v>
      </c>
    </row>
    <row r="20" spans="3:19" outlineLevel="1">
      <c r="C20" s="130"/>
      <c r="D20" s="116"/>
      <c r="E20" s="116"/>
      <c r="F20" s="178"/>
      <c r="J20" s="122"/>
      <c r="K20" s="122"/>
      <c r="L20" s="122"/>
      <c r="M20" s="122"/>
      <c r="N20" s="122"/>
      <c r="O20" s="122"/>
      <c r="P20" s="122"/>
      <c r="Q20" s="122"/>
      <c r="R20" s="122"/>
      <c r="S20" s="122"/>
    </row>
    <row r="21" spans="3:19" outlineLevel="1">
      <c r="C21" s="130" t="str">
        <f>'Input|Reported opex'!$C$51</f>
        <v>Adjustment 1</v>
      </c>
      <c r="D21" s="114" t="s">
        <v>105</v>
      </c>
      <c r="E21" s="116" t="str">
        <f>'Input|Reported opex'!E51</f>
        <v>$millions</v>
      </c>
      <c r="F21" s="178">
        <f>'Input|Reported opex'!F51</f>
        <v>2016</v>
      </c>
      <c r="J21" s="115">
        <f>IF(J$10='Input|General'!$G$10,'Input|Reported opex'!J51,0)</f>
        <v>0</v>
      </c>
      <c r="K21" s="115">
        <f ca="1">IF(K$10='Input|General'!$G$10,'Input|Reported opex'!K51,0)</f>
        <v>0</v>
      </c>
      <c r="L21" s="115">
        <f ca="1">IF(L$10='Input|General'!$G$10,'Input|Reported opex'!L51,0)</f>
        <v>0</v>
      </c>
      <c r="M21" s="115">
        <f ca="1">IF(M$10='Input|General'!$G$10,'Input|Reported opex'!M51,0)</f>
        <v>0</v>
      </c>
      <c r="N21" s="115">
        <f ca="1">IF(N$10='Input|General'!$G$10,'Input|Reported opex'!N51,0)</f>
        <v>0</v>
      </c>
      <c r="O21" s="115">
        <f ca="1">IF(O$10='Input|General'!$G$10,'Input|Reported opex'!O51,0)</f>
        <v>0</v>
      </c>
      <c r="P21" s="115">
        <f ca="1">IF(P$10='Input|General'!$G$10,'Input|Reported opex'!P51,0)</f>
        <v>0</v>
      </c>
      <c r="Q21" s="115">
        <f ca="1">IF(Q$10='Input|General'!$G$10,'Input|Reported opex'!Q51,0)</f>
        <v>0</v>
      </c>
      <c r="R21" s="115"/>
      <c r="S21" s="115"/>
    </row>
    <row r="22" spans="3:19" outlineLevel="1">
      <c r="C22" s="130" t="str">
        <f>C21</f>
        <v>Adjustment 1</v>
      </c>
      <c r="D22" s="116" t="s">
        <v>30</v>
      </c>
      <c r="E22" s="30" t="str">
        <f>$E$8</f>
        <v>$millions</v>
      </c>
      <c r="F22" s="178">
        <v>2017</v>
      </c>
      <c r="J22" s="122">
        <f ca="1">J21*IF($F21="nominal",LOOKUP($F22,Nominal_to_Real,'Input|Rate of change'!K$25:K$30),INDEX('Input|Rate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K22" s="122">
        <f ca="1">K21*IF($F21="nominal",LOOKUP($F22,Nominal_to_Real,'Input|Rate of change'!L$25:L$30),INDEX('Input|Rate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L22" s="122">
        <f ca="1">L21*IF($F21="nominal",LOOKUP($F22,Nominal_to_Real,'Input|Rate of change'!M$25:M$30),INDEX('Input|Rate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M22" s="122">
        <f ca="1">M21*IF($F21="nominal",LOOKUP($F22,Nominal_to_Real,'Input|Rate of change'!N$25:N$30),INDEX('Input|Rate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N22" s="169">
        <f ca="1">N21*IF($F21="nominal",LOOKUP($F22,Nominal_to_Real,'Input|Rate of change'!O$25:O$30),INDEX('Input|Rate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O22" s="122">
        <f ca="1">O21*IF($F21="nominal",LOOKUP($F22,Nominal_to_Real,'Input|Rate of change'!P$25:P$30),INDEX('Input|Rate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P22" s="122">
        <f ca="1">P21*IF($F21="nominal",LOOKUP($F22,Nominal_to_Real,'Input|Rate of change'!Q$25:Q$30),INDEX('Input|Rate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Q22" s="122">
        <f ca="1">Q21*IF($F21="nominal",LOOKUP($F22,Nominal_to_Real,'Input|Rate of change'!R$25:R$30),INDEX('Input|Rate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R22" s="122">
        <f ca="1">R21*IF($F21="nominal",LOOKUP($F22,Nominal_to_Real,'Input|Rate of change'!S$25:S$30),INDEX('Input|Rate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  <c r="S22" s="122">
        <f ca="1">S21*IF($F21="nominal",LOOKUP($F22,Nominal_to_Real,'Input|Rate of change'!T$25:T$30),INDEX('Input|Rate of change'!$C$14:$O$21,MATCH('Calc|Opex forecast'!$F21,'Input|Rate of change'!$C$14:$C$21,0),MATCH('Calc|Opex forecast'!$F22,'Input|Rate of change'!$C$14:$O$14,0)))*IF($E21="$millions",1000000,IF($E21="$000",1000,1))/IF($E22="$millions",1000000,IF($E22="$000",1000,1))</f>
        <v>0</v>
      </c>
    </row>
    <row r="23" spans="3:19" outlineLevel="1">
      <c r="C23" s="130"/>
      <c r="D23" s="116"/>
      <c r="F23" s="178"/>
      <c r="J23" s="122"/>
      <c r="K23" s="122"/>
      <c r="L23" s="122"/>
      <c r="M23" s="122"/>
      <c r="N23" s="122"/>
      <c r="O23" s="122"/>
      <c r="P23" s="122"/>
      <c r="Q23" s="122"/>
      <c r="R23" s="115"/>
      <c r="S23" s="115"/>
    </row>
    <row r="24" spans="3:19" outlineLevel="1">
      <c r="C24" s="130" t="str">
        <f>'Input|Reported opex'!$C$52</f>
        <v>Adjustment 2</v>
      </c>
      <c r="D24" s="114" t="s">
        <v>105</v>
      </c>
      <c r="E24" s="30" t="str">
        <f>'Input|Reported opex'!$E$52</f>
        <v>$millions</v>
      </c>
      <c r="F24" s="178">
        <f>'Input|Reported opex'!$F$52</f>
        <v>2016</v>
      </c>
      <c r="J24" s="115">
        <f>IF(J$10='Input|General'!$G$10,'Input|Reported opex'!J52,0)</f>
        <v>0</v>
      </c>
      <c r="K24" s="115">
        <f ca="1">IF(K$10='Input|General'!$G$10,'Input|Reported opex'!K52,0)</f>
        <v>0</v>
      </c>
      <c r="L24" s="115">
        <f ca="1">IF(L$10='Input|General'!$G$10,'Input|Reported opex'!L52,0)</f>
        <v>0</v>
      </c>
      <c r="M24" s="115">
        <f ca="1">IF(M$10='Input|General'!$G$10,'Input|Reported opex'!M52,0)</f>
        <v>0</v>
      </c>
      <c r="N24" s="115">
        <f ca="1">IF(N$10='Input|General'!$G$10,'Input|Reported opex'!N52,0)</f>
        <v>0</v>
      </c>
      <c r="O24" s="115">
        <f ca="1">IF(O$10='Input|General'!$G$10,'Input|Reported opex'!O52,0)</f>
        <v>0</v>
      </c>
      <c r="P24" s="115">
        <f ca="1">IF(P$10='Input|General'!$G$10,'Input|Reported opex'!P52,0)</f>
        <v>0</v>
      </c>
      <c r="Q24" s="115">
        <f ca="1">IF(Q$10='Input|General'!$G$10,'Input|Reported opex'!Q52,0)</f>
        <v>0</v>
      </c>
      <c r="R24" s="115"/>
      <c r="S24" s="115"/>
    </row>
    <row r="25" spans="3:19" outlineLevel="1">
      <c r="C25" s="130" t="str">
        <f>C24</f>
        <v>Adjustment 2</v>
      </c>
      <c r="D25" s="116" t="s">
        <v>30</v>
      </c>
      <c r="E25" s="30" t="str">
        <f>$E$8</f>
        <v>$millions</v>
      </c>
      <c r="F25" s="178">
        <v>2017</v>
      </c>
      <c r="J25" s="122">
        <f ca="1">J24*IF($F24="nominal",LOOKUP($F25,Nominal_to_Real,'Input|Rate of change'!K$25:K$30),INDEX('Input|Rate of change'!$C$14:$O$21,MATCH('Calc|Opex forecast'!$F24,'Input|Rate of change'!$C$14:$C$21,0),MATCH('Calc|Opex forecast'!$F25,'Input|Rate of change'!$C$14:$O$14,0)))*IF($E24="$millions",1000000,IF($E24="$000",1000,1))/IF($E25="$millions",1000000,IF($E25="$000",1000,1))</f>
        <v>0</v>
      </c>
      <c r="K25" s="122">
        <f ca="1">K24*IF($F24="nominal",LOOKUP($F25,Nominal_to_Real,'Input|Rate of change'!L$25:L$30),INDEX('Input|Rate of change'!$C$14:$O$21,MATCH('Calc|Opex forecast'!$F24,'Input|Rate of change'!$C$14:$C$21,0),MATCH('Calc|Opex forecast'!$F25,'Input|Rate of change'!$C$14:$O$14,0)))*IF($E24="$millions",1000000,IF($E24="$000",1000,1))/IF($E25="$millions",1000000,IF($E25="$000",1000,1))</f>
        <v>0</v>
      </c>
      <c r="L25" s="122">
        <f ca="1">L24*IF($F24="nominal",LOOKUP($F25,Nominal_to_Real,'Input|Rate of change'!M$25:M$30),INDEX('Input|Rate of change'!$C$14:$O$21,MATCH('Calc|Opex forecast'!$F24,'Input|Rate of change'!$C$14:$C$21,0),MATCH('Calc|Opex forecast'!$F25,'Input|Rate of change'!$C$14:$O$14,0)))*IF($E24="$millions",1000000,IF($E24="$000",1000,1))/IF($E25="$millions",1000000,IF($E25="$000",1000,1))</f>
        <v>0</v>
      </c>
      <c r="M25" s="122">
        <f ca="1">M24*IF($F24="nominal",LOOKUP($F25,Nominal_to_Real,'Input|Rate of change'!N$25:N$30),INDEX('Input|Rate of change'!$C$14:$O$21,MATCH('Calc|Opex forecast'!$F24,'Input|Rate of change'!$C$14:$C$21,0),MATCH('Calc|Opex forecast'!$F25,'Input|Rate of change'!$C$14:$O$14,0)))*IF($E24="$millions",1000000,IF($E24="$000",1000,1))/IF($E25="$millions",1000000,IF($E25="$000",1000,1))</f>
        <v>0</v>
      </c>
      <c r="N25" s="169">
        <f ca="1">N24*IF($F24="nominal",LOOKUP($F25,Nominal_to_Real,'Input|Rate of change'!O$25:O$30),INDEX('Input|Rate of change'!$C$14:$O$21,MATCH('Calc|Opex forecast'!$F24,'Input|Rate of change'!$C$14:$C$21,0),MATCH('Calc|Opex forecast'!$F25,'Input|Rate of change'!$C$14:$O$14,0)))*IF($E24="$millions",1000000,IF($E24="$000",1000,1))/IF($E25="$millions",1000000,IF($E25="$000",1000,1))</f>
        <v>0</v>
      </c>
      <c r="O25" s="122">
        <f ca="1">O24*IF($F24="nominal",LOOKUP($F25,Nominal_to_Real,'Input|Rate of change'!P$25:P$30),INDEX('Input|Rate of change'!$C$14:$O$21,MATCH('Calc|Opex forecast'!$F24,'Input|Rate of change'!$C$14:$C$21,0),MATCH('Calc|Opex forecast'!$F25,'Input|Rate of change'!$C$14:$O$14,0)))*IF($E24="$millions",1000000,IF($E24="$000",1000,1))/IF($E25="$millions",1000000,IF($E25="$000",1000,1))</f>
        <v>0</v>
      </c>
      <c r="P25" s="122">
        <f ca="1">P24*IF($F24="nominal",LOOKUP($F25,Nominal_to_Real,'Input|Rate of change'!Q$25:Q$30),INDEX('Input|Rate of change'!$C$14:$O$21,MATCH('Calc|Opex forecast'!$F24,'Input|Rate of change'!$C$14:$C$21,0),MATCH('Calc|Opex forecast'!$F25,'Input|Rate of change'!$C$14:$O$14,0)))*IF($E24="$millions",1000000,IF($E24="$000",1000,1))/IF($E25="$millions",1000000,IF($E25="$000",1000,1))</f>
        <v>0</v>
      </c>
      <c r="Q25" s="122">
        <f ca="1">Q24*IF($F24="nominal",LOOKUP($F25,Nominal_to_Real,'Input|Rate of change'!R$25:R$30),INDEX('Input|Rate of change'!$C$14:$O$21,MATCH('Calc|Opex forecast'!$F24,'Input|Rate of change'!$C$14:$C$21,0),MATCH('Calc|Opex forecast'!$F25,'Input|Rate of change'!$C$14:$O$14,0)))*IF($E24="$millions",1000000,IF($E24="$000",1000,1))/IF($E25="$millions",1000000,IF($E25="$000",1000,1))</f>
        <v>0</v>
      </c>
      <c r="R25" s="122">
        <f ca="1">R24*IF($F24="nominal",LOOKUP($F25,Nominal_to_Real,'Input|Rate of change'!S$25:S$30),INDEX('Input|Rate of change'!$C$14:$O$21,MATCH('Calc|Opex forecast'!$F24,'Input|Rate of change'!$C$14:$C$21,0),MATCH('Calc|Opex forecast'!$F25,'Input|Rate of change'!$C$14:$O$14,0)))*IF($E24="$millions",1000000,IF($E24="$000",1000,1))/IF($E25="$millions",1000000,IF($E25="$000",1000,1))</f>
        <v>0</v>
      </c>
      <c r="S25" s="122">
        <f ca="1">S24*IF($F24="nominal",LOOKUP($F25,Nominal_to_Real,'Input|Rate of change'!T$25:T$30),INDEX('Input|Rate of change'!$C$14:$O$21,MATCH('Calc|Opex forecast'!$F24,'Input|Rate of change'!$C$14:$C$21,0),MATCH('Calc|Opex forecast'!$F25,'Input|Rate of change'!$C$14:$O$14,0)))*IF($E24="$millions",1000000,IF($E24="$000",1000,1))/IF($E25="$millions",1000000,IF($E25="$000",1000,1))</f>
        <v>0</v>
      </c>
    </row>
    <row r="26" spans="3:19" outlineLevel="1">
      <c r="C26" s="130"/>
      <c r="D26" s="116"/>
      <c r="F26" s="178"/>
      <c r="J26" s="122"/>
      <c r="K26" s="122"/>
      <c r="L26" s="122"/>
      <c r="M26" s="122"/>
      <c r="N26" s="122"/>
      <c r="O26" s="122"/>
      <c r="P26" s="122"/>
      <c r="Q26" s="122"/>
      <c r="R26" s="115"/>
      <c r="S26" s="115"/>
    </row>
    <row r="27" spans="3:19" outlineLevel="1">
      <c r="C27" s="130" t="str">
        <f>'Input|Reported opex'!$C$53</f>
        <v>Adjustment 3</v>
      </c>
      <c r="D27" s="114" t="s">
        <v>105</v>
      </c>
      <c r="E27" s="30" t="str">
        <f>'Input|Reported opex'!$E$53</f>
        <v>$millions</v>
      </c>
      <c r="F27" s="178">
        <f>'Input|Reported opex'!$F$53</f>
        <v>2016</v>
      </c>
      <c r="J27" s="115">
        <f>IF(J$10='Input|General'!$G$10,'Input|Reported opex'!J53,0)</f>
        <v>0</v>
      </c>
      <c r="K27" s="115">
        <f ca="1">IF(K$10='Input|General'!$G$10,'Input|Reported opex'!K53,0)</f>
        <v>0</v>
      </c>
      <c r="L27" s="115">
        <f ca="1">IF(L$10='Input|General'!$G$10,'Input|Reported opex'!L53,0)</f>
        <v>0</v>
      </c>
      <c r="M27" s="115">
        <f ca="1">IF(M$10='Input|General'!$G$10,'Input|Reported opex'!M53,0)</f>
        <v>0</v>
      </c>
      <c r="N27" s="115">
        <f ca="1">IF(N$10='Input|General'!$G$10,'Input|Reported opex'!N53,0)</f>
        <v>0</v>
      </c>
      <c r="O27" s="115">
        <f ca="1">IF(O$10='Input|General'!$G$10,'Input|Reported opex'!O53,0)</f>
        <v>0</v>
      </c>
      <c r="P27" s="115">
        <f ca="1">IF(P$10='Input|General'!$G$10,'Input|Reported opex'!P53,0)</f>
        <v>0</v>
      </c>
      <c r="Q27" s="115">
        <f ca="1">IF(Q$10='Input|General'!$G$10,'Input|Reported opex'!Q53,0)</f>
        <v>0</v>
      </c>
      <c r="R27" s="115"/>
      <c r="S27" s="115"/>
    </row>
    <row r="28" spans="3:19" outlineLevel="1">
      <c r="C28" s="130" t="str">
        <f>C27</f>
        <v>Adjustment 3</v>
      </c>
      <c r="D28" s="116" t="s">
        <v>30</v>
      </c>
      <c r="E28" s="30" t="str">
        <f>$E$8</f>
        <v>$millions</v>
      </c>
      <c r="F28" s="178">
        <v>2017</v>
      </c>
      <c r="J28" s="122">
        <f ca="1">J27*IF($F27="nominal",LOOKUP($F28,Nominal_to_Real,'Input|Rate of change'!K$25:K$30),INDEX('Input|Rate of change'!$C$14:$O$21,MATCH('Calc|Opex forecast'!$F27,'Input|Rate of change'!$C$14:$C$21,0),MATCH('Calc|Opex forecast'!$F28,'Input|Rate of change'!$C$14:$O$14,0)))*IF($E27="$millions",1000000,IF($E27="$000",1000,1))/IF($E28="$millions",1000000,IF($E28="$000",1000,1))</f>
        <v>0</v>
      </c>
      <c r="K28" s="122">
        <f ca="1">K27*IF($F27="nominal",LOOKUP($F28,Nominal_to_Real,'Input|Rate of change'!L$25:L$30),INDEX('Input|Rate of change'!$C$14:$O$21,MATCH('Calc|Opex forecast'!$F27,'Input|Rate of change'!$C$14:$C$21,0),MATCH('Calc|Opex forecast'!$F28,'Input|Rate of change'!$C$14:$O$14,0)))*IF($E27="$millions",1000000,IF($E27="$000",1000,1))/IF($E28="$millions",1000000,IF($E28="$000",1000,1))</f>
        <v>0</v>
      </c>
      <c r="L28" s="122">
        <f ca="1">L27*IF($F27="nominal",LOOKUP($F28,Nominal_to_Real,'Input|Rate of change'!M$25:M$30),INDEX('Input|Rate of change'!$C$14:$O$21,MATCH('Calc|Opex forecast'!$F27,'Input|Rate of change'!$C$14:$C$21,0),MATCH('Calc|Opex forecast'!$F28,'Input|Rate of change'!$C$14:$O$14,0)))*IF($E27="$millions",1000000,IF($E27="$000",1000,1))/IF($E28="$millions",1000000,IF($E28="$000",1000,1))</f>
        <v>0</v>
      </c>
      <c r="M28" s="122">
        <f ca="1">M27*IF($F27="nominal",LOOKUP($F28,Nominal_to_Real,'Input|Rate of change'!N$25:N$30),INDEX('Input|Rate of change'!$C$14:$O$21,MATCH('Calc|Opex forecast'!$F27,'Input|Rate of change'!$C$14:$C$21,0),MATCH('Calc|Opex forecast'!$F28,'Input|Rate of change'!$C$14:$O$14,0)))*IF($E27="$millions",1000000,IF($E27="$000",1000,1))/IF($E28="$millions",1000000,IF($E28="$000",1000,1))</f>
        <v>0</v>
      </c>
      <c r="N28" s="169">
        <f ca="1">N27*IF($F27="nominal",LOOKUP($F28,Nominal_to_Real,'Input|Rate of change'!O$25:O$30),INDEX('Input|Rate of change'!$C$14:$O$21,MATCH('Calc|Opex forecast'!$F27,'Input|Rate of change'!$C$14:$C$21,0),MATCH('Calc|Opex forecast'!$F28,'Input|Rate of change'!$C$14:$O$14,0)))*IF($E27="$millions",1000000,IF($E27="$000",1000,1))/IF($E28="$millions",1000000,IF($E28="$000",1000,1))</f>
        <v>0</v>
      </c>
      <c r="O28" s="122">
        <f ca="1">O27*IF($F27="nominal",LOOKUP($F28,Nominal_to_Real,'Input|Rate of change'!P$25:P$30),INDEX('Input|Rate of change'!$C$14:$O$21,MATCH('Calc|Opex forecast'!$F27,'Input|Rate of change'!$C$14:$C$21,0),MATCH('Calc|Opex forecast'!$F28,'Input|Rate of change'!$C$14:$O$14,0)))*IF($E27="$millions",1000000,IF($E27="$000",1000,1))/IF($E28="$millions",1000000,IF($E28="$000",1000,1))</f>
        <v>0</v>
      </c>
      <c r="P28" s="122">
        <f ca="1">P27*IF($F27="nominal",LOOKUP($F28,Nominal_to_Real,'Input|Rate of change'!Q$25:Q$30),INDEX('Input|Rate of change'!$C$14:$O$21,MATCH('Calc|Opex forecast'!$F27,'Input|Rate of change'!$C$14:$C$21,0),MATCH('Calc|Opex forecast'!$F28,'Input|Rate of change'!$C$14:$O$14,0)))*IF($E27="$millions",1000000,IF($E27="$000",1000,1))/IF($E28="$millions",1000000,IF($E28="$000",1000,1))</f>
        <v>0</v>
      </c>
      <c r="Q28" s="122">
        <f ca="1">Q27*IF($F27="nominal",LOOKUP($F28,Nominal_to_Real,'Input|Rate of change'!R$25:R$30),INDEX('Input|Rate of change'!$C$14:$O$21,MATCH('Calc|Opex forecast'!$F27,'Input|Rate of change'!$C$14:$C$21,0),MATCH('Calc|Opex forecast'!$F28,'Input|Rate of change'!$C$14:$O$14,0)))*IF($E27="$millions",1000000,IF($E27="$000",1000,1))/IF($E28="$millions",1000000,IF($E28="$000",1000,1))</f>
        <v>0</v>
      </c>
      <c r="R28" s="122">
        <f ca="1">R27*IF($F27="nominal",LOOKUP($F28,Nominal_to_Real,'Input|Rate of change'!S$25:S$30),INDEX('Input|Rate of change'!$C$14:$O$21,MATCH('Calc|Opex forecast'!$F27,'Input|Rate of change'!$C$14:$C$21,0),MATCH('Calc|Opex forecast'!$F28,'Input|Rate of change'!$C$14:$O$14,0)))*IF($E27="$millions",1000000,IF($E27="$000",1000,1))/IF($E28="$millions",1000000,IF($E28="$000",1000,1))</f>
        <v>0</v>
      </c>
      <c r="S28" s="122">
        <f ca="1">S27*IF($F27="nominal",LOOKUP($F28,Nominal_to_Real,'Input|Rate of change'!T$25:T$30),INDEX('Input|Rate of change'!$C$14:$O$21,MATCH('Calc|Opex forecast'!$F27,'Input|Rate of change'!$C$14:$C$21,0),MATCH('Calc|Opex forecast'!$F28,'Input|Rate of change'!$C$14:$O$14,0)))*IF($E27="$millions",1000000,IF($E27="$000",1000,1))/IF($E28="$millions",1000000,IF($E28="$000",1000,1))</f>
        <v>0</v>
      </c>
    </row>
    <row r="29" spans="3:19" outlineLevel="1">
      <c r="C29" s="130"/>
      <c r="D29" s="116"/>
      <c r="F29" s="178"/>
      <c r="J29" s="122"/>
      <c r="K29" s="122"/>
      <c r="L29" s="122"/>
      <c r="M29" s="122"/>
      <c r="N29" s="122"/>
      <c r="O29" s="122"/>
      <c r="P29" s="122"/>
      <c r="Q29" s="122"/>
      <c r="R29" s="115"/>
      <c r="S29" s="115"/>
    </row>
    <row r="30" spans="3:19" outlineLevel="1">
      <c r="C30" s="130" t="str">
        <f>'Input|Reported opex'!$C$54</f>
        <v>Adjustment 4</v>
      </c>
      <c r="D30" s="114" t="s">
        <v>105</v>
      </c>
      <c r="E30" s="30" t="str">
        <f>'Input|Reported opex'!$E$54</f>
        <v>$millions</v>
      </c>
      <c r="F30" s="178">
        <f>'Input|Reported opex'!$F$54</f>
        <v>2016</v>
      </c>
      <c r="J30" s="115">
        <f>IF(J$10='Input|General'!$G$10,'Input|Reported opex'!J54,0)</f>
        <v>0</v>
      </c>
      <c r="K30" s="115">
        <f ca="1">IF(K$10='Input|General'!$G$10,'Input|Reported opex'!K54,0)</f>
        <v>0</v>
      </c>
      <c r="L30" s="115">
        <f ca="1">IF(L$10='Input|General'!$G$10,'Input|Reported opex'!L54,0)</f>
        <v>0</v>
      </c>
      <c r="M30" s="115">
        <f ca="1">IF(M$10='Input|General'!$G$10,'Input|Reported opex'!M54,0)</f>
        <v>0</v>
      </c>
      <c r="N30" s="115">
        <f ca="1">IF(N$10='Input|General'!$G$10,'Input|Reported opex'!N54,0)</f>
        <v>0</v>
      </c>
      <c r="O30" s="115">
        <f ca="1">IF(O$10='Input|General'!$G$10,'Input|Reported opex'!O54,0)</f>
        <v>0</v>
      </c>
      <c r="P30" s="115">
        <f ca="1">IF(P$10='Input|General'!$G$10,'Input|Reported opex'!P54,0)</f>
        <v>0</v>
      </c>
      <c r="Q30" s="115">
        <f ca="1">IF(Q$10='Input|General'!$G$10,'Input|Reported opex'!Q54,0)</f>
        <v>0</v>
      </c>
      <c r="R30" s="115"/>
      <c r="S30" s="115"/>
    </row>
    <row r="31" spans="3:19" outlineLevel="1">
      <c r="C31" s="130" t="str">
        <f>C30</f>
        <v>Adjustment 4</v>
      </c>
      <c r="D31" s="116" t="s">
        <v>30</v>
      </c>
      <c r="E31" s="30" t="str">
        <f>$E$8</f>
        <v>$millions</v>
      </c>
      <c r="F31" s="178">
        <v>2017</v>
      </c>
      <c r="J31" s="122">
        <f ca="1">J30*IF($F30="nominal",LOOKUP($F31,Nominal_to_Real,'Input|Rate of change'!K$25:K$30),INDEX('Input|Rate of change'!$C$14:$O$21,MATCH('Calc|Opex forecast'!$F30,'Input|Rate of change'!$C$14:$C$21,0),MATCH('Calc|Opex forecast'!$F31,'Input|Rate of change'!$C$14:$O$14,0)))*IF($E30="$millions",1000000,IF($E30="$000",1000,1))/IF($E31="$millions",1000000,IF($E31="$000",1000,1))</f>
        <v>0</v>
      </c>
      <c r="K31" s="122">
        <f ca="1">K30*IF($F30="nominal",LOOKUP($F31,Nominal_to_Real,'Input|Rate of change'!L$25:L$30),INDEX('Input|Rate of change'!$C$14:$O$21,MATCH('Calc|Opex forecast'!$F30,'Input|Rate of change'!$C$14:$C$21,0),MATCH('Calc|Opex forecast'!$F31,'Input|Rate of change'!$C$14:$O$14,0)))*IF($E30="$millions",1000000,IF($E30="$000",1000,1))/IF($E31="$millions",1000000,IF($E31="$000",1000,1))</f>
        <v>0</v>
      </c>
      <c r="L31" s="122">
        <f ca="1">L30*IF($F30="nominal",LOOKUP($F31,Nominal_to_Real,'Input|Rate of change'!M$25:M$30),INDEX('Input|Rate of change'!$C$14:$O$21,MATCH('Calc|Opex forecast'!$F30,'Input|Rate of change'!$C$14:$C$21,0),MATCH('Calc|Opex forecast'!$F31,'Input|Rate of change'!$C$14:$O$14,0)))*IF($E30="$millions",1000000,IF($E30="$000",1000,1))/IF($E31="$millions",1000000,IF($E31="$000",1000,1))</f>
        <v>0</v>
      </c>
      <c r="M31" s="122">
        <f ca="1">M30*IF($F30="nominal",LOOKUP($F31,Nominal_to_Real,'Input|Rate of change'!N$25:N$30),INDEX('Input|Rate of change'!$C$14:$O$21,MATCH('Calc|Opex forecast'!$F30,'Input|Rate of change'!$C$14:$C$21,0),MATCH('Calc|Opex forecast'!$F31,'Input|Rate of change'!$C$14:$O$14,0)))*IF($E30="$millions",1000000,IF($E30="$000",1000,1))/IF($E31="$millions",1000000,IF($E31="$000",1000,1))</f>
        <v>0</v>
      </c>
      <c r="N31" s="169">
        <f ca="1">N30*IF($F30="nominal",LOOKUP($F31,Nominal_to_Real,'Input|Rate of change'!O$25:O$30),INDEX('Input|Rate of change'!$C$14:$O$21,MATCH('Calc|Opex forecast'!$F30,'Input|Rate of change'!$C$14:$C$21,0),MATCH('Calc|Opex forecast'!$F31,'Input|Rate of change'!$C$14:$O$14,0)))*IF($E30="$millions",1000000,IF($E30="$000",1000,1))/IF($E31="$millions",1000000,IF($E31="$000",1000,1))</f>
        <v>0</v>
      </c>
      <c r="O31" s="122">
        <f ca="1">O30*IF($F30="nominal",LOOKUP($F31,Nominal_to_Real,'Input|Rate of change'!P$25:P$30),INDEX('Input|Rate of change'!$C$14:$O$21,MATCH('Calc|Opex forecast'!$F30,'Input|Rate of change'!$C$14:$C$21,0),MATCH('Calc|Opex forecast'!$F31,'Input|Rate of change'!$C$14:$O$14,0)))*IF($E30="$millions",1000000,IF($E30="$000",1000,1))/IF($E31="$millions",1000000,IF($E31="$000",1000,1))</f>
        <v>0</v>
      </c>
      <c r="P31" s="122">
        <f ca="1">P30*IF($F30="nominal",LOOKUP($F31,Nominal_to_Real,'Input|Rate of change'!Q$25:Q$30),INDEX('Input|Rate of change'!$C$14:$O$21,MATCH('Calc|Opex forecast'!$F30,'Input|Rate of change'!$C$14:$C$21,0),MATCH('Calc|Opex forecast'!$F31,'Input|Rate of change'!$C$14:$O$14,0)))*IF($E30="$millions",1000000,IF($E30="$000",1000,1))/IF($E31="$millions",1000000,IF($E31="$000",1000,1))</f>
        <v>0</v>
      </c>
      <c r="Q31" s="122">
        <f ca="1">Q30*IF($F30="nominal",LOOKUP($F31,Nominal_to_Real,'Input|Rate of change'!R$25:R$30),INDEX('Input|Rate of change'!$C$14:$O$21,MATCH('Calc|Opex forecast'!$F30,'Input|Rate of change'!$C$14:$C$21,0),MATCH('Calc|Opex forecast'!$F31,'Input|Rate of change'!$C$14:$O$14,0)))*IF($E30="$millions",1000000,IF($E30="$000",1000,1))/IF($E31="$millions",1000000,IF($E31="$000",1000,1))</f>
        <v>0</v>
      </c>
      <c r="R31" s="122">
        <f ca="1">R30*IF($F30="nominal",LOOKUP($F31,Nominal_to_Real,'Input|Rate of change'!S$25:S$30),INDEX('Input|Rate of change'!$C$14:$O$21,MATCH('Calc|Opex forecast'!$F30,'Input|Rate of change'!$C$14:$C$21,0),MATCH('Calc|Opex forecast'!$F31,'Input|Rate of change'!$C$14:$O$14,0)))*IF($E30="$millions",1000000,IF($E30="$000",1000,1))/IF($E31="$millions",1000000,IF($E31="$000",1000,1))</f>
        <v>0</v>
      </c>
      <c r="S31" s="122">
        <f ca="1">S30*IF($F30="nominal",LOOKUP($F31,Nominal_to_Real,'Input|Rate of change'!T$25:T$30),INDEX('Input|Rate of change'!$C$14:$O$21,MATCH('Calc|Opex forecast'!$F30,'Input|Rate of change'!$C$14:$C$21,0),MATCH('Calc|Opex forecast'!$F31,'Input|Rate of change'!$C$14:$O$14,0)))*IF($E30="$millions",1000000,IF($E30="$000",1000,1))/IF($E31="$millions",1000000,IF($E31="$000",1000,1))</f>
        <v>0</v>
      </c>
    </row>
    <row r="32" spans="3:19" outlineLevel="1">
      <c r="C32" s="130"/>
      <c r="D32" s="116"/>
      <c r="F32" s="178"/>
      <c r="J32" s="122"/>
      <c r="K32" s="122"/>
      <c r="L32" s="122"/>
      <c r="M32" s="122"/>
      <c r="N32" s="122"/>
      <c r="O32" s="122"/>
      <c r="P32" s="122"/>
      <c r="Q32" s="122"/>
      <c r="R32" s="115"/>
      <c r="S32" s="115"/>
    </row>
    <row r="33" spans="1:47" outlineLevel="1">
      <c r="C33" s="130" t="str">
        <f>'Input|Reported opex'!$C$55</f>
        <v>Adjustment 5</v>
      </c>
      <c r="D33" s="114" t="s">
        <v>105</v>
      </c>
      <c r="E33" s="30" t="str">
        <f>'Input|Reported opex'!$E$55</f>
        <v>$millions</v>
      </c>
      <c r="F33" s="178">
        <f>'Input|Reported opex'!$F$55</f>
        <v>2016</v>
      </c>
      <c r="J33" s="115">
        <f>IF(J$10='Input|General'!$G$10,'Input|Reported opex'!J55,0)</f>
        <v>0</v>
      </c>
      <c r="K33" s="115">
        <f ca="1">IF(K$10='Input|General'!$G$10,'Input|Reported opex'!K55,0)</f>
        <v>0</v>
      </c>
      <c r="L33" s="115">
        <f ca="1">IF(L$10='Input|General'!$G$10,'Input|Reported opex'!L55,0)</f>
        <v>0</v>
      </c>
      <c r="M33" s="115">
        <f ca="1">IF(M$10='Input|General'!$G$10,'Input|Reported opex'!M55,0)</f>
        <v>0</v>
      </c>
      <c r="N33" s="115">
        <f ca="1">IF(N$10='Input|General'!$G$10,'Input|Reported opex'!N55,0)</f>
        <v>0</v>
      </c>
      <c r="O33" s="115">
        <f ca="1">IF(O$10='Input|General'!$G$10,'Input|Reported opex'!O55,0)</f>
        <v>0</v>
      </c>
      <c r="P33" s="115">
        <f ca="1">IF(P$10='Input|General'!$G$10,'Input|Reported opex'!P55,0)</f>
        <v>0</v>
      </c>
      <c r="Q33" s="115">
        <f ca="1">IF(Q$10='Input|General'!$G$10,'Input|Reported opex'!Q55,0)</f>
        <v>0</v>
      </c>
      <c r="R33" s="115">
        <f ca="1">IF(R$10='Input|General'!$G$10,'Input|Reported opex'!R55,0)</f>
        <v>0</v>
      </c>
      <c r="S33" s="115">
        <f ca="1">IF(S$10='Input|General'!$G$10,'Input|Reported opex'!S55,0)</f>
        <v>0</v>
      </c>
    </row>
    <row r="34" spans="1:47" outlineLevel="1">
      <c r="C34" s="130" t="str">
        <f>C33</f>
        <v>Adjustment 5</v>
      </c>
      <c r="D34" s="116" t="s">
        <v>30</v>
      </c>
      <c r="E34" s="30" t="str">
        <f>$E$8</f>
        <v>$millions</v>
      </c>
      <c r="F34" s="178">
        <v>2017</v>
      </c>
      <c r="J34" s="122">
        <f ca="1">J33*IF($F33="nominal",LOOKUP($F34,Nominal_to_Real,'Input|Rate of change'!K$25:K$30),INDEX('Input|Rate of change'!$C$14:$O$21,MATCH('Calc|Opex forecast'!$F33,'Input|Rate of change'!$C$14:$C$21,0),MATCH('Calc|Opex forecast'!$F34,'Input|Rate of change'!$C$14:$O$14,0)))*IF($E33="$millions",1000000,IF($E33="$000",1000,1))/IF($E34="$millions",1000000,IF($E34="$000",1000,1))</f>
        <v>0</v>
      </c>
      <c r="K34" s="122">
        <f ca="1">K33*IF($F33="nominal",LOOKUP($F34,Nominal_to_Real,'Input|Rate of change'!L$25:L$30),INDEX('Input|Rate of change'!$C$14:$O$21,MATCH('Calc|Opex forecast'!$F33,'Input|Rate of change'!$C$14:$C$21,0),MATCH('Calc|Opex forecast'!$F34,'Input|Rate of change'!$C$14:$O$14,0)))*IF($E33="$millions",1000000,IF($E33="$000",1000,1))/IF($E34="$millions",1000000,IF($E34="$000",1000,1))</f>
        <v>0</v>
      </c>
      <c r="L34" s="122">
        <f ca="1">L33*IF($F33="nominal",LOOKUP($F34,Nominal_to_Real,'Input|Rate of change'!M$25:M$30),INDEX('Input|Rate of change'!$C$14:$O$21,MATCH('Calc|Opex forecast'!$F33,'Input|Rate of change'!$C$14:$C$21,0),MATCH('Calc|Opex forecast'!$F34,'Input|Rate of change'!$C$14:$O$14,0)))*IF($E33="$millions",1000000,IF($E33="$000",1000,1))/IF($E34="$millions",1000000,IF($E34="$000",1000,1))</f>
        <v>0</v>
      </c>
      <c r="M34" s="122">
        <f ca="1">M33*IF($F33="nominal",LOOKUP($F34,Nominal_to_Real,'Input|Rate of change'!N$25:N$30),INDEX('Input|Rate of change'!$C$14:$O$21,MATCH('Calc|Opex forecast'!$F33,'Input|Rate of change'!$C$14:$C$21,0),MATCH('Calc|Opex forecast'!$F34,'Input|Rate of change'!$C$14:$O$14,0)))*IF($E33="$millions",1000000,IF($E33="$000",1000,1))/IF($E34="$millions",1000000,IF($E34="$000",1000,1))</f>
        <v>0</v>
      </c>
      <c r="N34" s="169">
        <f ca="1">N33*IF($F33="nominal",LOOKUP($F34,Nominal_to_Real,'Input|Rate of change'!O$25:O$30),INDEX('Input|Rate of change'!$C$14:$O$21,MATCH('Calc|Opex forecast'!$F33,'Input|Rate of change'!$C$14:$C$21,0),MATCH('Calc|Opex forecast'!$F34,'Input|Rate of change'!$C$14:$O$14,0)))*IF($E33="$millions",1000000,IF($E33="$000",1000,1))/IF($E34="$millions",1000000,IF($E34="$000",1000,1))</f>
        <v>0</v>
      </c>
      <c r="O34" s="122">
        <f ca="1">O33*IF($F33="nominal",LOOKUP($F34,Nominal_to_Real,'Input|Rate of change'!P$25:P$30),INDEX('Input|Rate of change'!$C$14:$O$21,MATCH('Calc|Opex forecast'!$F33,'Input|Rate of change'!$C$14:$C$21,0),MATCH('Calc|Opex forecast'!$F34,'Input|Rate of change'!$C$14:$O$14,0)))*IF($E33="$millions",1000000,IF($E33="$000",1000,1))/IF($E34="$millions",1000000,IF($E34="$000",1000,1))</f>
        <v>0</v>
      </c>
      <c r="P34" s="122">
        <f ca="1">P33*IF($F33="nominal",LOOKUP($F34,Nominal_to_Real,'Input|Rate of change'!Q$25:Q$30),INDEX('Input|Rate of change'!$C$14:$O$21,MATCH('Calc|Opex forecast'!$F33,'Input|Rate of change'!$C$14:$C$21,0),MATCH('Calc|Opex forecast'!$F34,'Input|Rate of change'!$C$14:$O$14,0)))*IF($E33="$millions",1000000,IF($E33="$000",1000,1))/IF($E34="$millions",1000000,IF($E34="$000",1000,1))</f>
        <v>0</v>
      </c>
      <c r="Q34" s="122">
        <f ca="1">Q33*IF($F33="nominal",LOOKUP($F34,Nominal_to_Real,'Input|Rate of change'!R$25:R$30),INDEX('Input|Rate of change'!$C$14:$O$21,MATCH('Calc|Opex forecast'!$F33,'Input|Rate of change'!$C$14:$C$21,0),MATCH('Calc|Opex forecast'!$F34,'Input|Rate of change'!$C$14:$O$14,0)))*IF($E33="$millions",1000000,IF($E33="$000",1000,1))/IF($E34="$millions",1000000,IF($E34="$000",1000,1))</f>
        <v>0</v>
      </c>
      <c r="R34" s="122">
        <f ca="1">R33*IF($F33="nominal",LOOKUP($F34,Nominal_to_Real,'Input|Rate of change'!S$25:S$30),INDEX('Input|Rate of change'!$C$14:$O$21,MATCH('Calc|Opex forecast'!$F33,'Input|Rate of change'!$C$14:$C$21,0),MATCH('Calc|Opex forecast'!$F34,'Input|Rate of change'!$C$14:$O$14,0)))*IF($E33="$millions",1000000,IF($E33="$000",1000,1))/IF($E34="$millions",1000000,IF($E34="$000",1000,1))</f>
        <v>0</v>
      </c>
      <c r="S34" s="122">
        <f ca="1">S33*IF($F33="nominal",LOOKUP($F34,Nominal_to_Real,'Input|Rate of change'!T$25:T$30),INDEX('Input|Rate of change'!$C$14:$O$21,MATCH('Calc|Opex forecast'!$F33,'Input|Rate of change'!$C$14:$C$21,0),MATCH('Calc|Opex forecast'!$F34,'Input|Rate of change'!$C$14:$O$14,0)))*IF($E33="$millions",1000000,IF($E33="$000",1000,1))/IF($E34="$millions",1000000,IF($E34="$000",1000,1))</f>
        <v>0</v>
      </c>
    </row>
    <row r="35" spans="1:47" outlineLevel="1">
      <c r="C35" s="130"/>
      <c r="D35" s="116"/>
      <c r="E35" s="116"/>
      <c r="F35" s="178"/>
      <c r="J35" s="122"/>
      <c r="K35" s="122"/>
      <c r="L35" s="122"/>
      <c r="M35" s="122"/>
      <c r="N35" s="122"/>
      <c r="O35" s="122"/>
      <c r="P35" s="122"/>
      <c r="Q35" s="122"/>
      <c r="R35" s="122"/>
      <c r="S35" s="122"/>
    </row>
    <row r="36" spans="1:47" outlineLevel="1">
      <c r="C36" s="130" t="s">
        <v>99</v>
      </c>
      <c r="D36" s="116" t="s">
        <v>113</v>
      </c>
      <c r="E36" s="116" t="str">
        <f>$E$8</f>
        <v>$millions</v>
      </c>
      <c r="F36" s="178">
        <v>2017</v>
      </c>
      <c r="J36" s="122">
        <f ca="1">SUM(J19,J22,J25,J28,J31,J34)*'Input|Reported opex'!$N$56</f>
        <v>0</v>
      </c>
      <c r="K36" s="122">
        <f ca="1">SUM(K19,K22,K25,K28,K31,K34)*'Input|Reported opex'!$N$56</f>
        <v>0</v>
      </c>
      <c r="L36" s="122">
        <f ca="1">SUM(L19,L22,L25,L28,L31,L34)*'Input|Reported opex'!$N$56</f>
        <v>0</v>
      </c>
      <c r="M36" s="122">
        <f ca="1">SUM(M19,M22,M25,M28,M31,M34)*'Input|Reported opex'!$N$56</f>
        <v>0</v>
      </c>
      <c r="N36" s="122">
        <f ca="1">SUM(N19,N22,N25,N28,N31,N34)*'Input|Reported opex'!$N$56</f>
        <v>0</v>
      </c>
      <c r="O36" s="122">
        <f ca="1">SUM(O19,O22,O25,O28,O31,O34)*'Input|Reported opex'!$N$56</f>
        <v>0</v>
      </c>
      <c r="P36" s="122">
        <f ca="1">SUM(P19,P22,P25,P28,P31,P34)*'Input|Reported opex'!$N$56</f>
        <v>0</v>
      </c>
      <c r="Q36" s="122">
        <f ca="1">SUM(Q19,Q22,Q25,Q28,Q31,Q34)*'Input|Reported opex'!$N$56</f>
        <v>0</v>
      </c>
      <c r="R36" s="122">
        <f ca="1">SUM(R19,R22,R25,R28,R31,R34)*'Input|Reported opex'!$N$56</f>
        <v>0</v>
      </c>
      <c r="S36" s="122">
        <f ca="1">SUM(S19,S22,S25,S28,S31,S34)*'Input|Reported opex'!$N$56</f>
        <v>0</v>
      </c>
    </row>
    <row r="37" spans="1:47" outlineLevel="1">
      <c r="C37" s="130"/>
      <c r="D37" s="116"/>
      <c r="E37" s="116"/>
      <c r="F37" s="178"/>
      <c r="J37" s="122"/>
      <c r="K37" s="122"/>
      <c r="L37" s="122"/>
      <c r="M37" s="122"/>
      <c r="N37" s="122"/>
      <c r="O37" s="122"/>
      <c r="P37" s="122"/>
      <c r="Q37" s="122"/>
      <c r="R37" s="122"/>
      <c r="S37" s="122"/>
    </row>
    <row r="38" spans="1:47" ht="12" outlineLevel="1" thickBot="1">
      <c r="C38" s="130" t="s">
        <v>122</v>
      </c>
      <c r="D38" s="116" t="s">
        <v>113</v>
      </c>
      <c r="E38" s="116" t="str">
        <f>$E$8</f>
        <v>$millions</v>
      </c>
      <c r="F38" s="178">
        <v>2017</v>
      </c>
      <c r="J38" s="162">
        <f ca="1">SUM(J19,J22,J25,J28,J31,J34,J36)</f>
        <v>0</v>
      </c>
      <c r="K38" s="162">
        <f t="shared" ref="K38:S38" ca="1" si="0">SUM(K19,K22,K25,K28,K31,K34,K36)</f>
        <v>0</v>
      </c>
      <c r="L38" s="162">
        <f t="shared" ca="1" si="0"/>
        <v>0</v>
      </c>
      <c r="M38" s="162">
        <f t="shared" ca="1" si="0"/>
        <v>0</v>
      </c>
      <c r="N38" s="162">
        <f t="shared" ca="1" si="0"/>
        <v>66.665961428669121</v>
      </c>
      <c r="O38" s="162">
        <f t="shared" ca="1" si="0"/>
        <v>0</v>
      </c>
      <c r="P38" s="162">
        <f t="shared" ca="1" si="0"/>
        <v>0</v>
      </c>
      <c r="Q38" s="162">
        <f t="shared" ca="1" si="0"/>
        <v>0</v>
      </c>
      <c r="R38" s="162">
        <f t="shared" ca="1" si="0"/>
        <v>0</v>
      </c>
      <c r="S38" s="162">
        <f t="shared" ca="1" si="0"/>
        <v>0</v>
      </c>
    </row>
    <row r="39" spans="1:47" ht="12" thickTop="1">
      <c r="J39" s="113"/>
      <c r="K39" s="113"/>
      <c r="L39" s="113"/>
    </row>
    <row r="40" spans="1:47" s="108" customFormat="1" ht="12.75">
      <c r="A40" s="99"/>
      <c r="B40" s="100" t="s">
        <v>97</v>
      </c>
      <c r="C40" s="99"/>
      <c r="D40" s="99"/>
      <c r="E40" s="99"/>
      <c r="F40" s="101"/>
      <c r="G40" s="101"/>
      <c r="H40" s="101"/>
      <c r="I40" s="101"/>
      <c r="J40" s="102"/>
      <c r="K40" s="103"/>
      <c r="L40" s="102"/>
      <c r="M40" s="103"/>
      <c r="N40" s="102"/>
      <c r="O40" s="102"/>
      <c r="P40" s="102"/>
      <c r="Q40" s="102"/>
      <c r="R40" s="102"/>
      <c r="S40" s="102"/>
      <c r="T40" s="102"/>
      <c r="U40" s="102"/>
      <c r="V40" s="103"/>
      <c r="W40" s="103"/>
      <c r="X40" s="104"/>
      <c r="Y40" s="104"/>
      <c r="Z40" s="104"/>
      <c r="AA40" s="104"/>
      <c r="AB40" s="105"/>
      <c r="AC40" s="106"/>
      <c r="AD40" s="106"/>
      <c r="AE40" s="107"/>
      <c r="AF40" s="107"/>
      <c r="AG40" s="107"/>
      <c r="AH40" s="107"/>
      <c r="AI40" s="107"/>
      <c r="AJ40" s="107"/>
      <c r="AK40" s="107"/>
      <c r="AL40" s="107"/>
      <c r="AM40" s="107"/>
      <c r="AN40" s="107"/>
      <c r="AO40" s="107"/>
      <c r="AP40" s="107"/>
      <c r="AQ40" s="107"/>
      <c r="AR40" s="107"/>
      <c r="AS40" s="107"/>
      <c r="AT40" s="107"/>
      <c r="AU40" s="107"/>
    </row>
    <row r="41" spans="1:47" outlineLevel="1">
      <c r="J41" s="113"/>
      <c r="K41" s="113"/>
      <c r="L41" s="113"/>
      <c r="M41" s="113"/>
      <c r="N41" s="113"/>
      <c r="O41" s="113"/>
      <c r="P41" s="113"/>
      <c r="Q41" s="113"/>
      <c r="R41" s="113"/>
      <c r="S41" s="113"/>
    </row>
    <row r="42" spans="1:47" outlineLevel="1">
      <c r="C42" s="70" t="s">
        <v>43</v>
      </c>
      <c r="D42" s="32" t="s">
        <v>7</v>
      </c>
      <c r="E42" s="32" t="s">
        <v>8</v>
      </c>
      <c r="F42" s="32" t="s">
        <v>22</v>
      </c>
      <c r="J42" s="111" t="str">
        <f>IF(RIGHT(J$4,2)&gt;=RIGHT('Input|General'!$G$11,2),IF(RIGHT(J$4,2)&lt;=RIGHT('Input|General'!$G$12,2),J$4,""),"")</f>
        <v/>
      </c>
      <c r="K42" s="111" t="str">
        <f ca="1">IF(RIGHT(K$4,2)&gt;=RIGHT('Input|General'!$G$11,2),IF(RIGHT(K$4,2)&lt;=RIGHT('Input|General'!$G$12,2),K$4,""),"")</f>
        <v/>
      </c>
      <c r="L42" s="111" t="str">
        <f ca="1">IF(RIGHT(L$4,2)&gt;=RIGHT('Input|General'!$G$11,2),IF(RIGHT(L$4,2)&lt;=RIGHT('Input|General'!$G$12,2),L$4,""),"")</f>
        <v/>
      </c>
      <c r="M42" s="111" t="str">
        <f ca="1">IF(RIGHT(M$4,2)&gt;=RIGHT('Input|General'!$G$11,2),IF(RIGHT(M$4,2)&lt;=RIGHT('Input|General'!$G$12,2),M$4,""),"")</f>
        <v/>
      </c>
      <c r="N42" s="111" t="str">
        <f ca="1">IF(RIGHT(N$4,2)&gt;=RIGHT('Input|General'!$G$11,2),IF(RIGHT(N$4,2)&lt;=RIGHT('Input|General'!$G$12,2),N$4,""),"")</f>
        <v/>
      </c>
      <c r="O42" s="175">
        <f ca="1">IF(RIGHT(O$4,2)&gt;=RIGHT('Input|General'!$G$11,2),IF(RIGHT(O$4,2)&lt;=RIGHT('Input|General'!$G$12,2),O$4,""),"")</f>
        <v>2018</v>
      </c>
      <c r="P42" s="175">
        <f ca="1">IF(RIGHT(P$4,2)&gt;=RIGHT('Input|General'!$G$11,2),IF(RIGHT(P$4,2)&lt;=RIGHT('Input|General'!$G$12,2),P$4,""),"")</f>
        <v>2019</v>
      </c>
      <c r="Q42" s="175">
        <f ca="1">IF(RIGHT(Q$4,2)&gt;=RIGHT('Input|General'!$G$11,2),IF(RIGHT(Q$4,2)&lt;=RIGHT('Input|General'!$G$12,2),Q$4,""),"")</f>
        <v>2020</v>
      </c>
      <c r="R42" s="175">
        <f ca="1">IF(RIGHT(R$4,2)&gt;=RIGHT('Input|General'!$G$11,2),IF(RIGHT(R$4,2)&lt;=RIGHT('Input|General'!$G$12,2),R$4,""),"")</f>
        <v>2021</v>
      </c>
      <c r="S42" s="175">
        <f ca="1">IF(RIGHT(S$4,2)&gt;=RIGHT('Input|General'!$G$11,2),IF(RIGHT(S$4,2)&lt;=RIGHT('Input|General'!$G$12,2),S$4,""),"")</f>
        <v>2022</v>
      </c>
    </row>
    <row r="43" spans="1:47" outlineLevel="1">
      <c r="C43" s="70"/>
      <c r="J43" s="113"/>
      <c r="K43" s="113"/>
      <c r="L43" s="113"/>
      <c r="M43" s="113"/>
      <c r="N43" s="113"/>
      <c r="O43" s="113"/>
      <c r="P43" s="113"/>
      <c r="Q43" s="113"/>
      <c r="R43" s="113"/>
      <c r="S43" s="113"/>
    </row>
    <row r="44" spans="1:47" outlineLevel="1">
      <c r="B44" s="70"/>
      <c r="C44" s="123"/>
      <c r="J44" s="113"/>
      <c r="K44" s="113"/>
      <c r="L44" s="113"/>
      <c r="M44" s="113"/>
      <c r="N44" s="113"/>
      <c r="O44" s="113"/>
      <c r="P44" s="113"/>
      <c r="Q44" s="113"/>
      <c r="R44" s="113"/>
      <c r="S44" s="113"/>
    </row>
    <row r="45" spans="1:47" outlineLevel="1">
      <c r="C45" s="117" t="s">
        <v>124</v>
      </c>
      <c r="D45" s="116" t="s">
        <v>30</v>
      </c>
      <c r="E45" s="30" t="s">
        <v>31</v>
      </c>
      <c r="F45" s="30" t="s">
        <v>36</v>
      </c>
      <c r="J45" s="124">
        <f>SUMPRODUCT('Input|Rate of change'!K71:K76,'Input|Rate of change'!$P$80:$P$85)</f>
        <v>0</v>
      </c>
      <c r="K45" s="124">
        <f>SUMPRODUCT('Input|Rate of change'!L71:L76,'Input|Rate of change'!$P$80:$P$85)</f>
        <v>0</v>
      </c>
      <c r="L45" s="124">
        <f>SUMPRODUCT('Input|Rate of change'!M71:M76,'Input|Rate of change'!$P$80:$P$85)</f>
        <v>0</v>
      </c>
      <c r="M45" s="124">
        <f>SUMPRODUCT('Input|Rate of change'!N71:N76,'Input|Rate of change'!$P$80:$P$85)</f>
        <v>0</v>
      </c>
      <c r="N45" s="124">
        <f>SUMPRODUCT('Input|Rate of change'!O71:O76,'Input|Rate of change'!$P$80:$P$85)</f>
        <v>0</v>
      </c>
      <c r="O45" s="124">
        <f>SUMPRODUCT('Input|Rate of change'!P71:P76,'Input|Rate of change'!$P$80:$P$85)</f>
        <v>0</v>
      </c>
      <c r="P45" s="124">
        <f>SUMPRODUCT('Input|Rate of change'!Q71:Q76,'Input|Rate of change'!$P$80:$P$85)</f>
        <v>0</v>
      </c>
      <c r="Q45" s="124">
        <f>SUMPRODUCT('Input|Rate of change'!R71:R76,'Input|Rate of change'!$P$80:$P$85)</f>
        <v>0</v>
      </c>
      <c r="R45" s="124">
        <f>SUMPRODUCT('Input|Rate of change'!S71:S76,'Input|Rate of change'!$P$80:$P$85)</f>
        <v>0</v>
      </c>
      <c r="S45" s="124">
        <f>SUMPRODUCT('Input|Rate of change'!T71:T76,'Input|Rate of change'!$P$80:$P$85)</f>
        <v>0</v>
      </c>
    </row>
    <row r="46" spans="1:47" outlineLevel="1">
      <c r="J46" s="124"/>
      <c r="K46" s="124"/>
      <c r="L46" s="124"/>
      <c r="M46" s="124"/>
      <c r="N46" s="124"/>
      <c r="O46" s="124"/>
      <c r="P46" s="124"/>
      <c r="Q46" s="124"/>
      <c r="R46" s="124"/>
      <c r="S46" s="124"/>
    </row>
    <row r="47" spans="1:47" outlineLevel="1">
      <c r="C47" s="117" t="s">
        <v>90</v>
      </c>
      <c r="D47" s="116" t="s">
        <v>30</v>
      </c>
      <c r="E47" s="30" t="s">
        <v>31</v>
      </c>
      <c r="F47" s="30" t="s">
        <v>36</v>
      </c>
      <c r="J47" s="124">
        <f>SUMPRODUCT('Input|Rate of change'!K36:K43,'Input|Rate of change'!K47:K54)</f>
        <v>0</v>
      </c>
      <c r="K47" s="124">
        <f>SUMPRODUCT('Input|Rate of change'!L36:L43,'Input|Rate of change'!L47:L54)</f>
        <v>0</v>
      </c>
      <c r="L47" s="124">
        <f>SUMPRODUCT('Input|Rate of change'!M36:M43,'Input|Rate of change'!M47:M54)</f>
        <v>0</v>
      </c>
      <c r="M47" s="124">
        <f>SUMPRODUCT('Input|Rate of change'!N36:N43,'Input|Rate of change'!N47:N54)</f>
        <v>0</v>
      </c>
      <c r="N47" s="124">
        <f>SUMPRODUCT('Input|Rate of change'!O36:O43,'Input|Rate of change'!O47:O54)</f>
        <v>0</v>
      </c>
      <c r="O47" s="124">
        <f>SUMPRODUCT('Input|Rate of change'!P36:P43,'Input|Rate of change'!P47:P54)</f>
        <v>5.2191198272763858E-3</v>
      </c>
      <c r="P47" s="124">
        <f>SUMPRODUCT('Input|Rate of change'!Q36:Q43,'Input|Rate of change'!Q47:Q54)</f>
        <v>5.8224724678507004E-3</v>
      </c>
      <c r="Q47" s="124">
        <f>SUMPRODUCT('Input|Rate of change'!R36:R43,'Input|Rate of change'!R47:R54)</f>
        <v>6.6070757637591258E-3</v>
      </c>
      <c r="R47" s="124">
        <f>SUMPRODUCT('Input|Rate of change'!S36:S43,'Input|Rate of change'!S47:S54)</f>
        <v>8.0835105612440498E-3</v>
      </c>
      <c r="S47" s="124">
        <f>SUMPRODUCT('Input|Rate of change'!T36:T43,'Input|Rate of change'!T47:T54)</f>
        <v>8.8811830156565793E-3</v>
      </c>
    </row>
    <row r="48" spans="1:47" outlineLevel="1">
      <c r="C48" s="117"/>
      <c r="J48" s="124"/>
      <c r="K48" s="124"/>
      <c r="L48" s="124"/>
      <c r="M48" s="124"/>
      <c r="N48" s="124"/>
      <c r="O48" s="124"/>
      <c r="P48" s="124"/>
      <c r="Q48" s="124"/>
      <c r="R48" s="124"/>
      <c r="S48" s="124"/>
    </row>
    <row r="49" spans="1:47" outlineLevel="1">
      <c r="C49" s="117" t="s">
        <v>117</v>
      </c>
      <c r="D49" s="116" t="s">
        <v>30</v>
      </c>
      <c r="E49" s="30" t="s">
        <v>31</v>
      </c>
      <c r="F49" s="30" t="s">
        <v>36</v>
      </c>
      <c r="J49" s="124">
        <f>'Input|Rate of change'!K93</f>
        <v>0</v>
      </c>
      <c r="K49" s="124">
        <f>'Input|Rate of change'!L93</f>
        <v>0</v>
      </c>
      <c r="L49" s="124">
        <f>'Input|Rate of change'!M93</f>
        <v>0</v>
      </c>
      <c r="M49" s="124">
        <f>'Input|Rate of change'!N93</f>
        <v>0</v>
      </c>
      <c r="N49" s="124">
        <f>'Input|Rate of change'!O93</f>
        <v>0</v>
      </c>
      <c r="O49" s="124">
        <f>'Input|Rate of change'!P93</f>
        <v>0</v>
      </c>
      <c r="P49" s="124">
        <f>'Input|Rate of change'!Q93</f>
        <v>0</v>
      </c>
      <c r="Q49" s="124">
        <f>'Input|Rate of change'!R93</f>
        <v>0</v>
      </c>
      <c r="R49" s="124">
        <f>'Input|Rate of change'!S93</f>
        <v>0</v>
      </c>
      <c r="S49" s="124">
        <f>'Input|Rate of change'!T93</f>
        <v>0</v>
      </c>
    </row>
    <row r="50" spans="1:47" outlineLevel="1">
      <c r="C50" s="117"/>
      <c r="J50" s="119"/>
      <c r="K50" s="119"/>
      <c r="L50" s="119"/>
      <c r="M50" s="119"/>
      <c r="N50" s="119"/>
      <c r="O50" s="119"/>
      <c r="P50" s="119"/>
      <c r="Q50" s="119"/>
      <c r="R50" s="119"/>
      <c r="S50" s="119"/>
    </row>
    <row r="51" spans="1:47" outlineLevel="1">
      <c r="C51" s="125" t="s">
        <v>118</v>
      </c>
      <c r="D51" s="121" t="s">
        <v>30</v>
      </c>
      <c r="E51" s="121" t="s">
        <v>31</v>
      </c>
      <c r="F51" s="121" t="s">
        <v>36</v>
      </c>
      <c r="J51" s="124">
        <f>(1+J45)*(1+J47)*(1-J49)-1</f>
        <v>0</v>
      </c>
      <c r="K51" s="124">
        <f t="shared" ref="K51:S51" si="1">(1+K45)*(1+K47)*(1-K49)-1</f>
        <v>0</v>
      </c>
      <c r="L51" s="124">
        <f t="shared" si="1"/>
        <v>0</v>
      </c>
      <c r="M51" s="124">
        <f t="shared" si="1"/>
        <v>0</v>
      </c>
      <c r="N51" s="124">
        <f t="shared" si="1"/>
        <v>0</v>
      </c>
      <c r="O51" s="124">
        <f t="shared" si="1"/>
        <v>5.2191198272764083E-3</v>
      </c>
      <c r="P51" s="124">
        <f t="shared" si="1"/>
        <v>5.8224724678506146E-3</v>
      </c>
      <c r="Q51" s="124">
        <f t="shared" si="1"/>
        <v>6.6070757637590738E-3</v>
      </c>
      <c r="R51" s="124">
        <f t="shared" si="1"/>
        <v>8.0835105612440117E-3</v>
      </c>
      <c r="S51" s="124">
        <f t="shared" si="1"/>
        <v>8.8811830156565463E-3</v>
      </c>
    </row>
    <row r="52" spans="1:47">
      <c r="J52" s="113"/>
      <c r="K52" s="113"/>
      <c r="L52" s="113"/>
      <c r="M52" s="113"/>
      <c r="N52" s="113"/>
      <c r="O52" s="126"/>
      <c r="P52" s="126"/>
      <c r="Q52" s="126"/>
      <c r="R52" s="126"/>
      <c r="S52" s="126"/>
    </row>
    <row r="53" spans="1:47" s="108" customFormat="1" ht="12.75">
      <c r="A53" s="99"/>
      <c r="B53" s="100" t="s">
        <v>100</v>
      </c>
      <c r="C53" s="99"/>
      <c r="D53" s="99"/>
      <c r="E53" s="99"/>
      <c r="F53" s="101"/>
      <c r="G53" s="101"/>
      <c r="H53" s="101"/>
      <c r="I53" s="101"/>
      <c r="J53" s="102"/>
      <c r="K53" s="103"/>
      <c r="L53" s="102"/>
      <c r="M53" s="103"/>
      <c r="N53" s="102"/>
      <c r="O53" s="102"/>
      <c r="P53" s="102"/>
      <c r="Q53" s="102"/>
      <c r="R53" s="102"/>
      <c r="S53" s="102"/>
      <c r="T53" s="102"/>
      <c r="U53" s="102"/>
      <c r="V53" s="103"/>
      <c r="W53" s="103"/>
      <c r="X53" s="104"/>
      <c r="Y53" s="104"/>
      <c r="Z53" s="104"/>
      <c r="AA53" s="104"/>
      <c r="AB53" s="105"/>
      <c r="AC53" s="106"/>
      <c r="AD53" s="106"/>
      <c r="AE53" s="107"/>
      <c r="AF53" s="107"/>
      <c r="AG53" s="107"/>
      <c r="AH53" s="107"/>
      <c r="AI53" s="107"/>
      <c r="AJ53" s="107"/>
      <c r="AK53" s="107"/>
      <c r="AL53" s="107"/>
      <c r="AM53" s="107"/>
      <c r="AN53" s="107"/>
      <c r="AO53" s="107"/>
      <c r="AP53" s="107"/>
      <c r="AQ53" s="107"/>
      <c r="AR53" s="107"/>
      <c r="AS53" s="107"/>
      <c r="AT53" s="107"/>
      <c r="AU53" s="107"/>
    </row>
    <row r="54" spans="1:47" outlineLevel="1">
      <c r="C54" s="112"/>
      <c r="J54" s="113"/>
      <c r="K54" s="113"/>
      <c r="L54" s="113"/>
    </row>
    <row r="55" spans="1:47" outlineLevel="1">
      <c r="C55" s="70" t="s">
        <v>119</v>
      </c>
      <c r="D55" s="32" t="s">
        <v>7</v>
      </c>
      <c r="E55" s="32" t="s">
        <v>8</v>
      </c>
      <c r="F55" s="32" t="s">
        <v>22</v>
      </c>
      <c r="J55" s="111" t="str">
        <f>IF(RIGHT(J$4,2)&gt;=RIGHT('Input|General'!$G$11,2),IF(RIGHT(J$4,2)&lt;=RIGHT('Input|General'!$G$12,2),J$4,""),"")</f>
        <v/>
      </c>
      <c r="K55" s="111" t="str">
        <f ca="1">IF(RIGHT(K$4,2)&gt;=RIGHT('Input|General'!$G$11,2),IF(RIGHT(K$4,2)&lt;=RIGHT('Input|General'!$G$12,2),K$4,""),"")</f>
        <v/>
      </c>
      <c r="L55" s="111" t="str">
        <f ca="1">IF(RIGHT(L$4,2)&gt;=RIGHT('Input|General'!$G$11,2),IF(RIGHT(L$4,2)&lt;=RIGHT('Input|General'!$G$12,2),L$4,""),"")</f>
        <v/>
      </c>
      <c r="M55" s="111" t="str">
        <f ca="1">IF(RIGHT(M$4,2)&gt;=RIGHT('Input|General'!$G$11,2),IF(RIGHT(M$4,2)&lt;=RIGHT('Input|General'!$G$12,2),M$4,""),"")</f>
        <v/>
      </c>
      <c r="N55" s="111" t="str">
        <f ca="1">IF(RIGHT(N$4,2)&gt;=RIGHT('Input|General'!$G$11,2),IF(RIGHT(N$4,2)&lt;=RIGHT('Input|General'!$G$12,2),N$4,""),"")</f>
        <v/>
      </c>
      <c r="O55" s="175">
        <f ca="1">IF(RIGHT(O$4,2)&gt;=RIGHT('Input|General'!$G$11,2),IF(RIGHT(O$4,2)&lt;=RIGHT('Input|General'!$G$12,2),O$4,""),"")</f>
        <v>2018</v>
      </c>
      <c r="P55" s="175">
        <f ca="1">IF(RIGHT(P$4,2)&gt;=RIGHT('Input|General'!$G$11,2),IF(RIGHT(P$4,2)&lt;=RIGHT('Input|General'!$G$12,2),P$4,""),"")</f>
        <v>2019</v>
      </c>
      <c r="Q55" s="175">
        <f ca="1">IF(RIGHT(Q$4,2)&gt;=RIGHT('Input|General'!$G$11,2),IF(RIGHT(Q$4,2)&lt;=RIGHT('Input|General'!$G$12,2),Q$4,""),"")</f>
        <v>2020</v>
      </c>
      <c r="R55" s="175">
        <f ca="1">IF(RIGHT(R$4,2)&gt;=RIGHT('Input|General'!$G$11,2),IF(RIGHT(R$4,2)&lt;=RIGHT('Input|General'!$G$12,2),R$4,""),"")</f>
        <v>2021</v>
      </c>
      <c r="S55" s="175">
        <f ca="1">IF(RIGHT(S$4,2)&gt;=RIGHT('Input|General'!$G$11,2),IF(RIGHT(S$4,2)&lt;=RIGHT('Input|General'!$G$12,2),S$4,""),"")</f>
        <v>2022</v>
      </c>
    </row>
    <row r="56" spans="1:47" outlineLevel="1">
      <c r="C56" s="70"/>
      <c r="J56" s="127"/>
      <c r="K56" s="127"/>
      <c r="L56" s="127"/>
      <c r="M56" s="127"/>
      <c r="N56" s="127"/>
      <c r="O56" s="127"/>
      <c r="P56" s="127"/>
      <c r="Q56" s="127"/>
      <c r="R56" s="127"/>
      <c r="S56" s="127"/>
    </row>
    <row r="57" spans="1:47" outlineLevel="1">
      <c r="C57" s="128" t="str">
        <f>'Input|Step changes'!C12</f>
        <v>Marketing</v>
      </c>
      <c r="D57" s="116" t="s">
        <v>30</v>
      </c>
      <c r="E57" s="30" t="str">
        <f t="shared" ref="E57:E75" si="2">$E$8</f>
        <v>$millions</v>
      </c>
      <c r="F57" s="178">
        <v>2017</v>
      </c>
      <c r="J57" s="134">
        <f ca="1">'Input|Step changes'!J12*IF('Input|Step changes'!$F12="nominal",LOOKUP($F57,Nominal_to_Real,'Input|Rate of change'!N$25:N$30),INDEX('Input|Rate of change'!$C$14:$O$21,MATCH('Input|Step changes'!$F12,'Input|Rate of change'!$C$14:$C$21,0),MATCH('Calc|Opex forecast'!$F57,'Input|Rate of change'!$C$14:$O$14,0)))*IF('Input|Step changes'!$E12="$millions",1000000,IF('Input|Step changes'!$E12="$000",1000,1))/IF($E57="$millions",1000000,IF($E57="$000",1000,1))</f>
        <v>0</v>
      </c>
      <c r="K57" s="134">
        <f ca="1">'Input|Step changes'!K12*IF('Input|Step changes'!$F12="nominal",LOOKUP($F57,Nominal_to_Real,'Input|Rate of change'!O$25:O$30),INDEX('Input|Rate of change'!$C$14:$O$21,MATCH('Input|Step changes'!$F12,'Input|Rate of change'!$C$14:$C$21,0),MATCH('Calc|Opex forecast'!$F57,'Input|Rate of change'!$C$14:$O$14,0)))*IF('Input|Step changes'!$E12="$millions",1000000,IF('Input|Step changes'!$E12="$000",1000,1))/IF($E57="$millions",1000000,IF($E57="$000",1000,1))</f>
        <v>0</v>
      </c>
      <c r="L57" s="134">
        <f ca="1">'Input|Step changes'!L12*IF('Input|Step changes'!$F12="nominal",LOOKUP($F57,Nominal_to_Real,'Input|Rate of change'!P$25:P$30),INDEX('Input|Rate of change'!$C$14:$O$21,MATCH('Input|Step changes'!$F12,'Input|Rate of change'!$C$14:$C$21,0),MATCH('Calc|Opex forecast'!$F57,'Input|Rate of change'!$C$14:$O$14,0)))*IF('Input|Step changes'!$E12="$millions",1000000,IF('Input|Step changes'!$E12="$000",1000,1))/IF($E57="$millions",1000000,IF($E57="$000",1000,1))</f>
        <v>0</v>
      </c>
      <c r="M57" s="134">
        <f ca="1">'Input|Step changes'!M12*IF('Input|Step changes'!$F12="nominal",LOOKUP($F57,Nominal_to_Real,'Input|Rate of change'!Q$25:Q$30),INDEX('Input|Rate of change'!$C$14:$O$21,MATCH('Input|Step changes'!$F12,'Input|Rate of change'!$C$14:$C$21,0),MATCH('Calc|Opex forecast'!$F57,'Input|Rate of change'!$C$14:$O$14,0)))*IF('Input|Step changes'!$E12="$millions",1000000,IF('Input|Step changes'!$E12="$000",1000,1))/IF($E57="$millions",1000000,IF($E57="$000",1000,1))</f>
        <v>0</v>
      </c>
      <c r="N57" s="134">
        <f ca="1">'Input|Step changes'!N12*IF('Input|Step changes'!$F12="nominal",LOOKUP($F57,Nominal_to_Real,'Input|Rate of change'!R$25:R$30),INDEX('Input|Rate of change'!$C$14:$O$21,MATCH('Input|Step changes'!$F12,'Input|Rate of change'!$C$14:$C$21,0),MATCH('Calc|Opex forecast'!$F57,'Input|Rate of change'!$C$14:$O$14,0)))*IF('Input|Step changes'!$E12="$millions",1000000,IF('Input|Step changes'!$E12="$000",1000,1))/IF($E57="$millions",1000000,IF($E57="$000",1000,1))</f>
        <v>0</v>
      </c>
      <c r="O57" s="134">
        <f ca="1">'Input|Step changes'!O12*IF('Input|Step changes'!$F12="nominal",LOOKUP($F57,Nominal_to_Real,'Input|Rate of change'!S$25:S$30),INDEX('Input|Rate of change'!$C$14:$O$21,MATCH('Input|Step changes'!$F12,'Input|Rate of change'!$C$14:$C$21,0),MATCH('Calc|Opex forecast'!$F57,'Input|Rate of change'!$C$14:$O$14,0)))*IF('Input|Step changes'!$E12="$millions",1000000,IF('Input|Step changes'!$E12="$000",1000,1))/IF($E57="$millions",1000000,IF($E57="$000",1000,1))</f>
        <v>0</v>
      </c>
      <c r="P57" s="134">
        <f ca="1">'Input|Step changes'!P12*IF('Input|Step changes'!$F12="nominal",LOOKUP($F57,Nominal_to_Real,'Input|Rate of change'!T$25:T$30),INDEX('Input|Rate of change'!$C$14:$O$21,MATCH('Input|Step changes'!$F12,'Input|Rate of change'!$C$14:$C$21,0),MATCH('Calc|Opex forecast'!$F57,'Input|Rate of change'!$C$14:$O$14,0)))*IF('Input|Step changes'!$E12="$millions",1000000,IF('Input|Step changes'!$E12="$000",1000,1))/IF($E57="$millions",1000000,IF($E57="$000",1000,1))</f>
        <v>0</v>
      </c>
      <c r="Q57" s="134">
        <f ca="1">'Input|Step changes'!Q12*IF('Input|Step changes'!$F12="nominal",LOOKUP($F57,Nominal_to_Real,'Input|Rate of change'!U$25:U$30),INDEX('Input|Rate of change'!$C$14:$O$21,MATCH('Input|Step changes'!$F12,'Input|Rate of change'!$C$14:$C$21,0),MATCH('Calc|Opex forecast'!$F57,'Input|Rate of change'!$C$14:$O$14,0)))*IF('Input|Step changes'!$E12="$millions",1000000,IF('Input|Step changes'!$E12="$000",1000,1))/IF($E57="$millions",1000000,IF($E57="$000",1000,1))</f>
        <v>0</v>
      </c>
      <c r="R57" s="134">
        <f ca="1">'Input|Step changes'!R12*IF('Input|Step changes'!$F12="nominal",LOOKUP($F57,Nominal_to_Real,'Input|Rate of change'!V$25:V$30),INDEX('Input|Rate of change'!$C$14:$O$21,MATCH('Input|Step changes'!$F12,'Input|Rate of change'!$C$14:$C$21,0),MATCH('Calc|Opex forecast'!$F57,'Input|Rate of change'!$C$14:$O$14,0)))*IF('Input|Step changes'!$E12="$millions",1000000,IF('Input|Step changes'!$E12="$000",1000,1))/IF($E57="$millions",1000000,IF($E57="$000",1000,1))</f>
        <v>0</v>
      </c>
      <c r="S57" s="134">
        <f ca="1">'Input|Step changes'!S12*IF('Input|Step changes'!$F12="nominal",LOOKUP($F57,Nominal_to_Real,'Input|Rate of change'!W$25:W$30),INDEX('Input|Rate of change'!$C$14:$O$21,MATCH('Input|Step changes'!$F12,'Input|Rate of change'!$C$14:$C$21,0),MATCH('Calc|Opex forecast'!$F57,'Input|Rate of change'!$C$14:$O$14,0)))*IF('Input|Step changes'!$E12="$millions",1000000,IF('Input|Step changes'!$E12="$000",1000,1))/IF($E57="$millions",1000000,IF($E57="$000",1000,1))</f>
        <v>0</v>
      </c>
    </row>
    <row r="58" spans="1:47" outlineLevel="1">
      <c r="C58" s="128">
        <f>'Input|Step changes'!C13</f>
        <v>0</v>
      </c>
      <c r="D58" s="116" t="s">
        <v>30</v>
      </c>
      <c r="E58" s="30" t="str">
        <f t="shared" si="2"/>
        <v>$millions</v>
      </c>
      <c r="F58" s="178">
        <v>2017</v>
      </c>
      <c r="J58" s="134">
        <f ca="1">'Input|Step changes'!J13*IF('Input|Step changes'!$F13="nominal",LOOKUP($F58,Nominal_to_Real,'Input|Rate of change'!N$25:N$30),INDEX('Input|Rate of change'!$C$14:$O$21,MATCH('Input|Step changes'!$F13,'Input|Rate of change'!$C$14:$C$21,0),MATCH('Calc|Opex forecast'!$F58,'Input|Rate of change'!$C$14:$O$14,0)))*IF('Input|Step changes'!$E13="$millions",1000000,IF('Input|Step changes'!$E13="$000",1000,1))/IF($E58="$millions",1000000,IF($E58="$000",1000,1))</f>
        <v>0</v>
      </c>
      <c r="K58" s="134">
        <f ca="1">'Input|Step changes'!K13*IF('Input|Step changes'!$F13="nominal",LOOKUP($F58,Nominal_to_Real,'Input|Rate of change'!O$25:O$30),INDEX('Input|Rate of change'!$C$14:$O$21,MATCH('Input|Step changes'!$F13,'Input|Rate of change'!$C$14:$C$21,0),MATCH('Calc|Opex forecast'!$F58,'Input|Rate of change'!$C$14:$O$14,0)))*IF('Input|Step changes'!$E13="$millions",1000000,IF('Input|Step changes'!$E13="$000",1000,1))/IF($E58="$millions",1000000,IF($E58="$000",1000,1))</f>
        <v>0</v>
      </c>
      <c r="L58" s="134">
        <f ca="1">'Input|Step changes'!L13*IF('Input|Step changes'!$F13="nominal",LOOKUP($F58,Nominal_to_Real,'Input|Rate of change'!P$25:P$30),INDEX('Input|Rate of change'!$C$14:$O$21,MATCH('Input|Step changes'!$F13,'Input|Rate of change'!$C$14:$C$21,0),MATCH('Calc|Opex forecast'!$F58,'Input|Rate of change'!$C$14:$O$14,0)))*IF('Input|Step changes'!$E13="$millions",1000000,IF('Input|Step changes'!$E13="$000",1000,1))/IF($E58="$millions",1000000,IF($E58="$000",1000,1))</f>
        <v>0</v>
      </c>
      <c r="M58" s="134">
        <f ca="1">'Input|Step changes'!M13*IF('Input|Step changes'!$F13="nominal",LOOKUP($F58,Nominal_to_Real,'Input|Rate of change'!Q$25:Q$30),INDEX('Input|Rate of change'!$C$14:$O$21,MATCH('Input|Step changes'!$F13,'Input|Rate of change'!$C$14:$C$21,0),MATCH('Calc|Opex forecast'!$F58,'Input|Rate of change'!$C$14:$O$14,0)))*IF('Input|Step changes'!$E13="$millions",1000000,IF('Input|Step changes'!$E13="$000",1000,1))/IF($E58="$millions",1000000,IF($E58="$000",1000,1))</f>
        <v>0</v>
      </c>
      <c r="N58" s="134">
        <f ca="1">'Input|Step changes'!N13*IF('Input|Step changes'!$F13="nominal",LOOKUP($F58,Nominal_to_Real,'Input|Rate of change'!R$25:R$30),INDEX('Input|Rate of change'!$C$14:$O$21,MATCH('Input|Step changes'!$F13,'Input|Rate of change'!$C$14:$C$21,0),MATCH('Calc|Opex forecast'!$F58,'Input|Rate of change'!$C$14:$O$14,0)))*IF('Input|Step changes'!$E13="$millions",1000000,IF('Input|Step changes'!$E13="$000",1000,1))/IF($E58="$millions",1000000,IF($E58="$000",1000,1))</f>
        <v>0</v>
      </c>
      <c r="O58" s="134">
        <f ca="1">'Input|Step changes'!O13*IF('Input|Step changes'!$F13="nominal",LOOKUP($F58,Nominal_to_Real,'Input|Rate of change'!S$25:S$30),INDEX('Input|Rate of change'!$C$14:$O$21,MATCH('Input|Step changes'!$F13,'Input|Rate of change'!$C$14:$C$21,0),MATCH('Calc|Opex forecast'!$F58,'Input|Rate of change'!$C$14:$O$14,0)))*IF('Input|Step changes'!$E13="$millions",1000000,IF('Input|Step changes'!$E13="$000",1000,1))/IF($E58="$millions",1000000,IF($E58="$000",1000,1))</f>
        <v>0</v>
      </c>
      <c r="P58" s="134">
        <f ca="1">'Input|Step changes'!P13*IF('Input|Step changes'!$F13="nominal",LOOKUP($F58,Nominal_to_Real,'Input|Rate of change'!T$25:T$30),INDEX('Input|Rate of change'!$C$14:$O$21,MATCH('Input|Step changes'!$F13,'Input|Rate of change'!$C$14:$C$21,0),MATCH('Calc|Opex forecast'!$F58,'Input|Rate of change'!$C$14:$O$14,0)))*IF('Input|Step changes'!$E13="$millions",1000000,IF('Input|Step changes'!$E13="$000",1000,1))/IF($E58="$millions",1000000,IF($E58="$000",1000,1))</f>
        <v>0</v>
      </c>
      <c r="Q58" s="134">
        <f ca="1">'Input|Step changes'!Q13*IF('Input|Step changes'!$F13="nominal",LOOKUP($F58,Nominal_to_Real,'Input|Rate of change'!U$25:U$30),INDEX('Input|Rate of change'!$C$14:$O$21,MATCH('Input|Step changes'!$F13,'Input|Rate of change'!$C$14:$C$21,0),MATCH('Calc|Opex forecast'!$F58,'Input|Rate of change'!$C$14:$O$14,0)))*IF('Input|Step changes'!$E13="$millions",1000000,IF('Input|Step changes'!$E13="$000",1000,1))/IF($E58="$millions",1000000,IF($E58="$000",1000,1))</f>
        <v>0</v>
      </c>
      <c r="R58" s="134">
        <f ca="1">'Input|Step changes'!R13*IF('Input|Step changes'!$F13="nominal",LOOKUP($F58,Nominal_to_Real,'Input|Rate of change'!V$25:V$30),INDEX('Input|Rate of change'!$C$14:$O$21,MATCH('Input|Step changes'!$F13,'Input|Rate of change'!$C$14:$C$21,0),MATCH('Calc|Opex forecast'!$F58,'Input|Rate of change'!$C$14:$O$14,0)))*IF('Input|Step changes'!$E13="$millions",1000000,IF('Input|Step changes'!$E13="$000",1000,1))/IF($E58="$millions",1000000,IF($E58="$000",1000,1))</f>
        <v>0</v>
      </c>
      <c r="S58" s="134">
        <f ca="1">'Input|Step changes'!S13*IF('Input|Step changes'!$F13="nominal",LOOKUP($F58,Nominal_to_Real,'Input|Rate of change'!W$25:W$30),INDEX('Input|Rate of change'!$C$14:$O$21,MATCH('Input|Step changes'!$F13,'Input|Rate of change'!$C$14:$C$21,0),MATCH('Calc|Opex forecast'!$F58,'Input|Rate of change'!$C$14:$O$14,0)))*IF('Input|Step changes'!$E13="$millions",1000000,IF('Input|Step changes'!$E13="$000",1000,1))/IF($E58="$millions",1000000,IF($E58="$000",1000,1))</f>
        <v>0</v>
      </c>
    </row>
    <row r="59" spans="1:47" outlineLevel="1">
      <c r="C59" s="128">
        <f>'Input|Step changes'!C14</f>
        <v>0</v>
      </c>
      <c r="D59" s="116" t="s">
        <v>30</v>
      </c>
      <c r="E59" s="30" t="str">
        <f t="shared" si="2"/>
        <v>$millions</v>
      </c>
      <c r="F59" s="178">
        <v>2017</v>
      </c>
      <c r="J59" s="134">
        <f ca="1">'Input|Step changes'!J14*IF('Input|Step changes'!$F14="nominal",LOOKUP($F59,Nominal_to_Real,'Input|Rate of change'!N$25:N$30),INDEX('Input|Rate of change'!$C$14:$O$21,MATCH('Input|Step changes'!$F14,'Input|Rate of change'!$C$14:$C$21,0),MATCH('Calc|Opex forecast'!$F59,'Input|Rate of change'!$C$14:$O$14,0)))*IF('Input|Step changes'!$E14="$millions",1000000,IF('Input|Step changes'!$E14="$000",1000,1))/IF($E59="$millions",1000000,IF($E59="$000",1000,1))</f>
        <v>0</v>
      </c>
      <c r="K59" s="134">
        <f ca="1">'Input|Step changes'!K14*IF('Input|Step changes'!$F14="nominal",LOOKUP($F59,Nominal_to_Real,'Input|Rate of change'!O$25:O$30),INDEX('Input|Rate of change'!$C$14:$O$21,MATCH('Input|Step changes'!$F14,'Input|Rate of change'!$C$14:$C$21,0),MATCH('Calc|Opex forecast'!$F59,'Input|Rate of change'!$C$14:$O$14,0)))*IF('Input|Step changes'!$E14="$millions",1000000,IF('Input|Step changes'!$E14="$000",1000,1))/IF($E59="$millions",1000000,IF($E59="$000",1000,1))</f>
        <v>0</v>
      </c>
      <c r="L59" s="134">
        <f ca="1">'Input|Step changes'!L14*IF('Input|Step changes'!$F14="nominal",LOOKUP($F59,Nominal_to_Real,'Input|Rate of change'!P$25:P$30),INDEX('Input|Rate of change'!$C$14:$O$21,MATCH('Input|Step changes'!$F14,'Input|Rate of change'!$C$14:$C$21,0),MATCH('Calc|Opex forecast'!$F59,'Input|Rate of change'!$C$14:$O$14,0)))*IF('Input|Step changes'!$E14="$millions",1000000,IF('Input|Step changes'!$E14="$000",1000,1))/IF($E59="$millions",1000000,IF($E59="$000",1000,1))</f>
        <v>0</v>
      </c>
      <c r="M59" s="134">
        <f ca="1">'Input|Step changes'!M14*IF('Input|Step changes'!$F14="nominal",LOOKUP($F59,Nominal_to_Real,'Input|Rate of change'!Q$25:Q$30),INDEX('Input|Rate of change'!$C$14:$O$21,MATCH('Input|Step changes'!$F14,'Input|Rate of change'!$C$14:$C$21,0),MATCH('Calc|Opex forecast'!$F59,'Input|Rate of change'!$C$14:$O$14,0)))*IF('Input|Step changes'!$E14="$millions",1000000,IF('Input|Step changes'!$E14="$000",1000,1))/IF($E59="$millions",1000000,IF($E59="$000",1000,1))</f>
        <v>0</v>
      </c>
      <c r="N59" s="134">
        <f ca="1">'Input|Step changes'!N14*IF('Input|Step changes'!$F14="nominal",LOOKUP($F59,Nominal_to_Real,'Input|Rate of change'!R$25:R$30),INDEX('Input|Rate of change'!$C$14:$O$21,MATCH('Input|Step changes'!$F14,'Input|Rate of change'!$C$14:$C$21,0),MATCH('Calc|Opex forecast'!$F59,'Input|Rate of change'!$C$14:$O$14,0)))*IF('Input|Step changes'!$E14="$millions",1000000,IF('Input|Step changes'!$E14="$000",1000,1))/IF($E59="$millions",1000000,IF($E59="$000",1000,1))</f>
        <v>0</v>
      </c>
      <c r="O59" s="134">
        <f ca="1">'Input|Step changes'!O14*IF('Input|Step changes'!$F14="nominal",LOOKUP($F59,Nominal_to_Real,'Input|Rate of change'!S$25:S$30),INDEX('Input|Rate of change'!$C$14:$O$21,MATCH('Input|Step changes'!$F14,'Input|Rate of change'!$C$14:$C$21,0),MATCH('Calc|Opex forecast'!$F59,'Input|Rate of change'!$C$14:$O$14,0)))*IF('Input|Step changes'!$E14="$millions",1000000,IF('Input|Step changes'!$E14="$000",1000,1))/IF($E59="$millions",1000000,IF($E59="$000",1000,1))</f>
        <v>0</v>
      </c>
      <c r="P59" s="134">
        <f ca="1">'Input|Step changes'!P14*IF('Input|Step changes'!$F14="nominal",LOOKUP($F59,Nominal_to_Real,'Input|Rate of change'!T$25:T$30),INDEX('Input|Rate of change'!$C$14:$O$21,MATCH('Input|Step changes'!$F14,'Input|Rate of change'!$C$14:$C$21,0),MATCH('Calc|Opex forecast'!$F59,'Input|Rate of change'!$C$14:$O$14,0)))*IF('Input|Step changes'!$E14="$millions",1000000,IF('Input|Step changes'!$E14="$000",1000,1))/IF($E59="$millions",1000000,IF($E59="$000",1000,1))</f>
        <v>0</v>
      </c>
      <c r="Q59" s="134">
        <f ca="1">'Input|Step changes'!Q14*IF('Input|Step changes'!$F14="nominal",LOOKUP($F59,Nominal_to_Real,'Input|Rate of change'!U$25:U$30),INDEX('Input|Rate of change'!$C$14:$O$21,MATCH('Input|Step changes'!$F14,'Input|Rate of change'!$C$14:$C$21,0),MATCH('Calc|Opex forecast'!$F59,'Input|Rate of change'!$C$14:$O$14,0)))*IF('Input|Step changes'!$E14="$millions",1000000,IF('Input|Step changes'!$E14="$000",1000,1))/IF($E59="$millions",1000000,IF($E59="$000",1000,1))</f>
        <v>0</v>
      </c>
      <c r="R59" s="134">
        <f ca="1">'Input|Step changes'!R14*IF('Input|Step changes'!$F14="nominal",LOOKUP($F59,Nominal_to_Real,'Input|Rate of change'!V$25:V$30),INDEX('Input|Rate of change'!$C$14:$O$21,MATCH('Input|Step changes'!$F14,'Input|Rate of change'!$C$14:$C$21,0),MATCH('Calc|Opex forecast'!$F59,'Input|Rate of change'!$C$14:$O$14,0)))*IF('Input|Step changes'!$E14="$millions",1000000,IF('Input|Step changes'!$E14="$000",1000,1))/IF($E59="$millions",1000000,IF($E59="$000",1000,1))</f>
        <v>0</v>
      </c>
      <c r="S59" s="134">
        <f ca="1">'Input|Step changes'!S14*IF('Input|Step changes'!$F14="nominal",LOOKUP($F59,Nominal_to_Real,'Input|Rate of change'!W$25:W$30),INDEX('Input|Rate of change'!$C$14:$O$21,MATCH('Input|Step changes'!$F14,'Input|Rate of change'!$C$14:$C$21,0),MATCH('Calc|Opex forecast'!$F59,'Input|Rate of change'!$C$14:$O$14,0)))*IF('Input|Step changes'!$E14="$millions",1000000,IF('Input|Step changes'!$E14="$000",1000,1))/IF($E59="$millions",1000000,IF($E59="$000",1000,1))</f>
        <v>0</v>
      </c>
    </row>
    <row r="60" spans="1:47" outlineLevel="1">
      <c r="C60" s="128">
        <f>'Input|Step changes'!C15</f>
        <v>0</v>
      </c>
      <c r="D60" s="116" t="s">
        <v>30</v>
      </c>
      <c r="E60" s="30" t="str">
        <f t="shared" si="2"/>
        <v>$millions</v>
      </c>
      <c r="F60" s="178">
        <v>2017</v>
      </c>
      <c r="J60" s="134">
        <f ca="1">'Input|Step changes'!J15*IF('Input|Step changes'!$F15="nominal",LOOKUP($F60,Nominal_to_Real,'Input|Rate of change'!N$25:N$30),INDEX('Input|Rate of change'!$C$14:$O$21,MATCH('Input|Step changes'!$F15,'Input|Rate of change'!$C$14:$C$21,0),MATCH('Calc|Opex forecast'!$F60,'Input|Rate of change'!$C$14:$O$14,0)))*IF('Input|Step changes'!$E15="$millions",1000000,IF('Input|Step changes'!$E15="$000",1000,1))/IF($E60="$millions",1000000,IF($E60="$000",1000,1))</f>
        <v>0</v>
      </c>
      <c r="K60" s="134">
        <f ca="1">'Input|Step changes'!K15*IF('Input|Step changes'!$F15="nominal",LOOKUP($F60,Nominal_to_Real,'Input|Rate of change'!O$25:O$30),INDEX('Input|Rate of change'!$C$14:$O$21,MATCH('Input|Step changes'!$F15,'Input|Rate of change'!$C$14:$C$21,0),MATCH('Calc|Opex forecast'!$F60,'Input|Rate of change'!$C$14:$O$14,0)))*IF('Input|Step changes'!$E15="$millions",1000000,IF('Input|Step changes'!$E15="$000",1000,1))/IF($E60="$millions",1000000,IF($E60="$000",1000,1))</f>
        <v>0</v>
      </c>
      <c r="L60" s="134">
        <f ca="1">'Input|Step changes'!L15*IF('Input|Step changes'!$F15="nominal",LOOKUP($F60,Nominal_to_Real,'Input|Rate of change'!P$25:P$30),INDEX('Input|Rate of change'!$C$14:$O$21,MATCH('Input|Step changes'!$F15,'Input|Rate of change'!$C$14:$C$21,0),MATCH('Calc|Opex forecast'!$F60,'Input|Rate of change'!$C$14:$O$14,0)))*IF('Input|Step changes'!$E15="$millions",1000000,IF('Input|Step changes'!$E15="$000",1000,1))/IF($E60="$millions",1000000,IF($E60="$000",1000,1))</f>
        <v>0</v>
      </c>
      <c r="M60" s="134">
        <f ca="1">'Input|Step changes'!M15*IF('Input|Step changes'!$F15="nominal",LOOKUP($F60,Nominal_to_Real,'Input|Rate of change'!Q$25:Q$30),INDEX('Input|Rate of change'!$C$14:$O$21,MATCH('Input|Step changes'!$F15,'Input|Rate of change'!$C$14:$C$21,0),MATCH('Calc|Opex forecast'!$F60,'Input|Rate of change'!$C$14:$O$14,0)))*IF('Input|Step changes'!$E15="$millions",1000000,IF('Input|Step changes'!$E15="$000",1000,1))/IF($E60="$millions",1000000,IF($E60="$000",1000,1))</f>
        <v>0</v>
      </c>
      <c r="N60" s="134">
        <f ca="1">'Input|Step changes'!N15*IF('Input|Step changes'!$F15="nominal",LOOKUP($F60,Nominal_to_Real,'Input|Rate of change'!R$25:R$30),INDEX('Input|Rate of change'!$C$14:$O$21,MATCH('Input|Step changes'!$F15,'Input|Rate of change'!$C$14:$C$21,0),MATCH('Calc|Opex forecast'!$F60,'Input|Rate of change'!$C$14:$O$14,0)))*IF('Input|Step changes'!$E15="$millions",1000000,IF('Input|Step changes'!$E15="$000",1000,1))/IF($E60="$millions",1000000,IF($E60="$000",1000,1))</f>
        <v>0</v>
      </c>
      <c r="O60" s="134">
        <f ca="1">'Input|Step changes'!O15*IF('Input|Step changes'!$F15="nominal",LOOKUP($F60,Nominal_to_Real,'Input|Rate of change'!S$25:S$30),INDEX('Input|Rate of change'!$C$14:$O$21,MATCH('Input|Step changes'!$F15,'Input|Rate of change'!$C$14:$C$21,0),MATCH('Calc|Opex forecast'!$F60,'Input|Rate of change'!$C$14:$O$14,0)))*IF('Input|Step changes'!$E15="$millions",1000000,IF('Input|Step changes'!$E15="$000",1000,1))/IF($E60="$millions",1000000,IF($E60="$000",1000,1))</f>
        <v>0</v>
      </c>
      <c r="P60" s="134">
        <f ca="1">'Input|Step changes'!P15*IF('Input|Step changes'!$F15="nominal",LOOKUP($F60,Nominal_to_Real,'Input|Rate of change'!T$25:T$30),INDEX('Input|Rate of change'!$C$14:$O$21,MATCH('Input|Step changes'!$F15,'Input|Rate of change'!$C$14:$C$21,0),MATCH('Calc|Opex forecast'!$F60,'Input|Rate of change'!$C$14:$O$14,0)))*IF('Input|Step changes'!$E15="$millions",1000000,IF('Input|Step changes'!$E15="$000",1000,1))/IF($E60="$millions",1000000,IF($E60="$000",1000,1))</f>
        <v>0</v>
      </c>
      <c r="Q60" s="134">
        <f ca="1">'Input|Step changes'!Q15*IF('Input|Step changes'!$F15="nominal",LOOKUP($F60,Nominal_to_Real,'Input|Rate of change'!U$25:U$30),INDEX('Input|Rate of change'!$C$14:$O$21,MATCH('Input|Step changes'!$F15,'Input|Rate of change'!$C$14:$C$21,0),MATCH('Calc|Opex forecast'!$F60,'Input|Rate of change'!$C$14:$O$14,0)))*IF('Input|Step changes'!$E15="$millions",1000000,IF('Input|Step changes'!$E15="$000",1000,1))/IF($E60="$millions",1000000,IF($E60="$000",1000,1))</f>
        <v>0</v>
      </c>
      <c r="R60" s="134">
        <f ca="1">'Input|Step changes'!R15*IF('Input|Step changes'!$F15="nominal",LOOKUP($F60,Nominal_to_Real,'Input|Rate of change'!V$25:V$30),INDEX('Input|Rate of change'!$C$14:$O$21,MATCH('Input|Step changes'!$F15,'Input|Rate of change'!$C$14:$C$21,0),MATCH('Calc|Opex forecast'!$F60,'Input|Rate of change'!$C$14:$O$14,0)))*IF('Input|Step changes'!$E15="$millions",1000000,IF('Input|Step changes'!$E15="$000",1000,1))/IF($E60="$millions",1000000,IF($E60="$000",1000,1))</f>
        <v>0</v>
      </c>
      <c r="S60" s="134">
        <f ca="1">'Input|Step changes'!S15*IF('Input|Step changes'!$F15="nominal",LOOKUP($F60,Nominal_to_Real,'Input|Rate of change'!W$25:W$30),INDEX('Input|Rate of change'!$C$14:$O$21,MATCH('Input|Step changes'!$F15,'Input|Rate of change'!$C$14:$C$21,0),MATCH('Calc|Opex forecast'!$F60,'Input|Rate of change'!$C$14:$O$14,0)))*IF('Input|Step changes'!$E15="$millions",1000000,IF('Input|Step changes'!$E15="$000",1000,1))/IF($E60="$millions",1000000,IF($E60="$000",1000,1))</f>
        <v>0</v>
      </c>
    </row>
    <row r="61" spans="1:47" outlineLevel="1">
      <c r="C61" s="128">
        <f>'Input|Step changes'!C16</f>
        <v>0</v>
      </c>
      <c r="D61" s="116" t="s">
        <v>30</v>
      </c>
      <c r="E61" s="30" t="str">
        <f t="shared" si="2"/>
        <v>$millions</v>
      </c>
      <c r="F61" s="178">
        <v>2017</v>
      </c>
      <c r="J61" s="134">
        <f ca="1">'Input|Step changes'!J16*IF('Input|Step changes'!$F16="nominal",LOOKUP($F61,Nominal_to_Real,'Input|Rate of change'!N$25:N$30),INDEX('Input|Rate of change'!$C$14:$O$21,MATCH('Input|Step changes'!$F16,'Input|Rate of change'!$C$14:$C$21,0),MATCH('Calc|Opex forecast'!$F61,'Input|Rate of change'!$C$14:$O$14,0)))*IF('Input|Step changes'!$E16="$millions",1000000,IF('Input|Step changes'!$E16="$000",1000,1))/IF($E61="$millions",1000000,IF($E61="$000",1000,1))</f>
        <v>0</v>
      </c>
      <c r="K61" s="134">
        <f ca="1">'Input|Step changes'!K16*IF('Input|Step changes'!$F16="nominal",LOOKUP($F61,Nominal_to_Real,'Input|Rate of change'!O$25:O$30),INDEX('Input|Rate of change'!$C$14:$O$21,MATCH('Input|Step changes'!$F16,'Input|Rate of change'!$C$14:$C$21,0),MATCH('Calc|Opex forecast'!$F61,'Input|Rate of change'!$C$14:$O$14,0)))*IF('Input|Step changes'!$E16="$millions",1000000,IF('Input|Step changes'!$E16="$000",1000,1))/IF($E61="$millions",1000000,IF($E61="$000",1000,1))</f>
        <v>0</v>
      </c>
      <c r="L61" s="134">
        <f ca="1">'Input|Step changes'!L16*IF('Input|Step changes'!$F16="nominal",LOOKUP($F61,Nominal_to_Real,'Input|Rate of change'!P$25:P$30),INDEX('Input|Rate of change'!$C$14:$O$21,MATCH('Input|Step changes'!$F16,'Input|Rate of change'!$C$14:$C$21,0),MATCH('Calc|Opex forecast'!$F61,'Input|Rate of change'!$C$14:$O$14,0)))*IF('Input|Step changes'!$E16="$millions",1000000,IF('Input|Step changes'!$E16="$000",1000,1))/IF($E61="$millions",1000000,IF($E61="$000",1000,1))</f>
        <v>0</v>
      </c>
      <c r="M61" s="134">
        <f ca="1">'Input|Step changes'!M16*IF('Input|Step changes'!$F16="nominal",LOOKUP($F61,Nominal_to_Real,'Input|Rate of change'!Q$25:Q$30),INDEX('Input|Rate of change'!$C$14:$O$21,MATCH('Input|Step changes'!$F16,'Input|Rate of change'!$C$14:$C$21,0),MATCH('Calc|Opex forecast'!$F61,'Input|Rate of change'!$C$14:$O$14,0)))*IF('Input|Step changes'!$E16="$millions",1000000,IF('Input|Step changes'!$E16="$000",1000,1))/IF($E61="$millions",1000000,IF($E61="$000",1000,1))</f>
        <v>0</v>
      </c>
      <c r="N61" s="134">
        <f ca="1">'Input|Step changes'!N16*IF('Input|Step changes'!$F16="nominal",LOOKUP($F61,Nominal_to_Real,'Input|Rate of change'!R$25:R$30),INDEX('Input|Rate of change'!$C$14:$O$21,MATCH('Input|Step changes'!$F16,'Input|Rate of change'!$C$14:$C$21,0),MATCH('Calc|Opex forecast'!$F61,'Input|Rate of change'!$C$14:$O$14,0)))*IF('Input|Step changes'!$E16="$millions",1000000,IF('Input|Step changes'!$E16="$000",1000,1))/IF($E61="$millions",1000000,IF($E61="$000",1000,1))</f>
        <v>0</v>
      </c>
      <c r="O61" s="134">
        <f ca="1">'Input|Step changes'!O16*IF('Input|Step changes'!$F16="nominal",LOOKUP($F61,Nominal_to_Real,'Input|Rate of change'!S$25:S$30),INDEX('Input|Rate of change'!$C$14:$O$21,MATCH('Input|Step changes'!$F16,'Input|Rate of change'!$C$14:$C$21,0),MATCH('Calc|Opex forecast'!$F61,'Input|Rate of change'!$C$14:$O$14,0)))*IF('Input|Step changes'!$E16="$millions",1000000,IF('Input|Step changes'!$E16="$000",1000,1))/IF($E61="$millions",1000000,IF($E61="$000",1000,1))</f>
        <v>0</v>
      </c>
      <c r="P61" s="134">
        <f ca="1">'Input|Step changes'!P16*IF('Input|Step changes'!$F16="nominal",LOOKUP($F61,Nominal_to_Real,'Input|Rate of change'!T$25:T$30),INDEX('Input|Rate of change'!$C$14:$O$21,MATCH('Input|Step changes'!$F16,'Input|Rate of change'!$C$14:$C$21,0),MATCH('Calc|Opex forecast'!$F61,'Input|Rate of change'!$C$14:$O$14,0)))*IF('Input|Step changes'!$E16="$millions",1000000,IF('Input|Step changes'!$E16="$000",1000,1))/IF($E61="$millions",1000000,IF($E61="$000",1000,1))</f>
        <v>0</v>
      </c>
      <c r="Q61" s="134">
        <f ca="1">'Input|Step changes'!Q16*IF('Input|Step changes'!$F16="nominal",LOOKUP($F61,Nominal_to_Real,'Input|Rate of change'!U$25:U$30),INDEX('Input|Rate of change'!$C$14:$O$21,MATCH('Input|Step changes'!$F16,'Input|Rate of change'!$C$14:$C$21,0),MATCH('Calc|Opex forecast'!$F61,'Input|Rate of change'!$C$14:$O$14,0)))*IF('Input|Step changes'!$E16="$millions",1000000,IF('Input|Step changes'!$E16="$000",1000,1))/IF($E61="$millions",1000000,IF($E61="$000",1000,1))</f>
        <v>0</v>
      </c>
      <c r="R61" s="134">
        <f ca="1">'Input|Step changes'!R16*IF('Input|Step changes'!$F16="nominal",LOOKUP($F61,Nominal_to_Real,'Input|Rate of change'!V$25:V$30),INDEX('Input|Rate of change'!$C$14:$O$21,MATCH('Input|Step changes'!$F16,'Input|Rate of change'!$C$14:$C$21,0),MATCH('Calc|Opex forecast'!$F61,'Input|Rate of change'!$C$14:$O$14,0)))*IF('Input|Step changes'!$E16="$millions",1000000,IF('Input|Step changes'!$E16="$000",1000,1))/IF($E61="$millions",1000000,IF($E61="$000",1000,1))</f>
        <v>0</v>
      </c>
      <c r="S61" s="134">
        <f ca="1">'Input|Step changes'!S16*IF('Input|Step changes'!$F16="nominal",LOOKUP($F61,Nominal_to_Real,'Input|Rate of change'!W$25:W$30),INDEX('Input|Rate of change'!$C$14:$O$21,MATCH('Input|Step changes'!$F16,'Input|Rate of change'!$C$14:$C$21,0),MATCH('Calc|Opex forecast'!$F61,'Input|Rate of change'!$C$14:$O$14,0)))*IF('Input|Step changes'!$E16="$millions",1000000,IF('Input|Step changes'!$E16="$000",1000,1))/IF($E61="$millions",1000000,IF($E61="$000",1000,1))</f>
        <v>0</v>
      </c>
    </row>
    <row r="62" spans="1:47" outlineLevel="1">
      <c r="C62" s="128">
        <f>'Input|Step changes'!C17</f>
        <v>0</v>
      </c>
      <c r="D62" s="116" t="s">
        <v>30</v>
      </c>
      <c r="E62" s="30" t="str">
        <f t="shared" si="2"/>
        <v>$millions</v>
      </c>
      <c r="F62" s="178">
        <v>2017</v>
      </c>
      <c r="J62" s="134">
        <f ca="1">'Input|Step changes'!J17*IF('Input|Step changes'!$F17="nominal",LOOKUP($F62,Nominal_to_Real,'Input|Rate of change'!N$25:N$30),INDEX('Input|Rate of change'!$C$14:$O$21,MATCH('Input|Step changes'!$F17,'Input|Rate of change'!$C$14:$C$21,0),MATCH('Calc|Opex forecast'!$F62,'Input|Rate of change'!$C$14:$O$14,0)))*IF('Input|Step changes'!$E17="$millions",1000000,IF('Input|Step changes'!$E17="$000",1000,1))/IF($E62="$millions",1000000,IF($E62="$000",1000,1))</f>
        <v>0</v>
      </c>
      <c r="K62" s="134">
        <f ca="1">'Input|Step changes'!K17*IF('Input|Step changes'!$F17="nominal",LOOKUP($F62,Nominal_to_Real,'Input|Rate of change'!O$25:O$30),INDEX('Input|Rate of change'!$C$14:$O$21,MATCH('Input|Step changes'!$F17,'Input|Rate of change'!$C$14:$C$21,0),MATCH('Calc|Opex forecast'!$F62,'Input|Rate of change'!$C$14:$O$14,0)))*IF('Input|Step changes'!$E17="$millions",1000000,IF('Input|Step changes'!$E17="$000",1000,1))/IF($E62="$millions",1000000,IF($E62="$000",1000,1))</f>
        <v>0</v>
      </c>
      <c r="L62" s="134">
        <f ca="1">'Input|Step changes'!L17*IF('Input|Step changes'!$F17="nominal",LOOKUP($F62,Nominal_to_Real,'Input|Rate of change'!P$25:P$30),INDEX('Input|Rate of change'!$C$14:$O$21,MATCH('Input|Step changes'!$F17,'Input|Rate of change'!$C$14:$C$21,0),MATCH('Calc|Opex forecast'!$F62,'Input|Rate of change'!$C$14:$O$14,0)))*IF('Input|Step changes'!$E17="$millions",1000000,IF('Input|Step changes'!$E17="$000",1000,1))/IF($E62="$millions",1000000,IF($E62="$000",1000,1))</f>
        <v>0</v>
      </c>
      <c r="M62" s="134">
        <f ca="1">'Input|Step changes'!M17*IF('Input|Step changes'!$F17="nominal",LOOKUP($F62,Nominal_to_Real,'Input|Rate of change'!Q$25:Q$30),INDEX('Input|Rate of change'!$C$14:$O$21,MATCH('Input|Step changes'!$F17,'Input|Rate of change'!$C$14:$C$21,0),MATCH('Calc|Opex forecast'!$F62,'Input|Rate of change'!$C$14:$O$14,0)))*IF('Input|Step changes'!$E17="$millions",1000000,IF('Input|Step changes'!$E17="$000",1000,1))/IF($E62="$millions",1000000,IF($E62="$000",1000,1))</f>
        <v>0</v>
      </c>
      <c r="N62" s="134">
        <f ca="1">'Input|Step changes'!N17*IF('Input|Step changes'!$F17="nominal",LOOKUP($F62,Nominal_to_Real,'Input|Rate of change'!R$25:R$30),INDEX('Input|Rate of change'!$C$14:$O$21,MATCH('Input|Step changes'!$F17,'Input|Rate of change'!$C$14:$C$21,0),MATCH('Calc|Opex forecast'!$F62,'Input|Rate of change'!$C$14:$O$14,0)))*IF('Input|Step changes'!$E17="$millions",1000000,IF('Input|Step changes'!$E17="$000",1000,1))/IF($E62="$millions",1000000,IF($E62="$000",1000,1))</f>
        <v>0</v>
      </c>
      <c r="O62" s="134">
        <f ca="1">'Input|Step changes'!O17*IF('Input|Step changes'!$F17="nominal",LOOKUP($F62,Nominal_to_Real,'Input|Rate of change'!S$25:S$30),INDEX('Input|Rate of change'!$C$14:$O$21,MATCH('Input|Step changes'!$F17,'Input|Rate of change'!$C$14:$C$21,0),MATCH('Calc|Opex forecast'!$F62,'Input|Rate of change'!$C$14:$O$14,0)))*IF('Input|Step changes'!$E17="$millions",1000000,IF('Input|Step changes'!$E17="$000",1000,1))/IF($E62="$millions",1000000,IF($E62="$000",1000,1))</f>
        <v>0</v>
      </c>
      <c r="P62" s="134">
        <f ca="1">'Input|Step changes'!P17*IF('Input|Step changes'!$F17="nominal",LOOKUP($F62,Nominal_to_Real,'Input|Rate of change'!T$25:T$30),INDEX('Input|Rate of change'!$C$14:$O$21,MATCH('Input|Step changes'!$F17,'Input|Rate of change'!$C$14:$C$21,0),MATCH('Calc|Opex forecast'!$F62,'Input|Rate of change'!$C$14:$O$14,0)))*IF('Input|Step changes'!$E17="$millions",1000000,IF('Input|Step changes'!$E17="$000",1000,1))/IF($E62="$millions",1000000,IF($E62="$000",1000,1))</f>
        <v>0</v>
      </c>
      <c r="Q62" s="134">
        <f ca="1">'Input|Step changes'!Q17*IF('Input|Step changes'!$F17="nominal",LOOKUP($F62,Nominal_to_Real,'Input|Rate of change'!U$25:U$30),INDEX('Input|Rate of change'!$C$14:$O$21,MATCH('Input|Step changes'!$F17,'Input|Rate of change'!$C$14:$C$21,0),MATCH('Calc|Opex forecast'!$F62,'Input|Rate of change'!$C$14:$O$14,0)))*IF('Input|Step changes'!$E17="$millions",1000000,IF('Input|Step changes'!$E17="$000",1000,1))/IF($E62="$millions",1000000,IF($E62="$000",1000,1))</f>
        <v>0</v>
      </c>
      <c r="R62" s="134">
        <f ca="1">'Input|Step changes'!R17*IF('Input|Step changes'!$F17="nominal",LOOKUP($F62,Nominal_to_Real,'Input|Rate of change'!V$25:V$30),INDEX('Input|Rate of change'!$C$14:$O$21,MATCH('Input|Step changes'!$F17,'Input|Rate of change'!$C$14:$C$21,0),MATCH('Calc|Opex forecast'!$F62,'Input|Rate of change'!$C$14:$O$14,0)))*IF('Input|Step changes'!$E17="$millions",1000000,IF('Input|Step changes'!$E17="$000",1000,1))/IF($E62="$millions",1000000,IF($E62="$000",1000,1))</f>
        <v>0</v>
      </c>
      <c r="S62" s="134">
        <f ca="1">'Input|Step changes'!S17*IF('Input|Step changes'!$F17="nominal",LOOKUP($F62,Nominal_to_Real,'Input|Rate of change'!W$25:W$30),INDEX('Input|Rate of change'!$C$14:$O$21,MATCH('Input|Step changes'!$F17,'Input|Rate of change'!$C$14:$C$21,0),MATCH('Calc|Opex forecast'!$F62,'Input|Rate of change'!$C$14:$O$14,0)))*IF('Input|Step changes'!$E17="$millions",1000000,IF('Input|Step changes'!$E17="$000",1000,1))/IF($E62="$millions",1000000,IF($E62="$000",1000,1))</f>
        <v>0</v>
      </c>
    </row>
    <row r="63" spans="1:47" outlineLevel="1">
      <c r="C63" s="128">
        <f>'Input|Step changes'!C18</f>
        <v>0</v>
      </c>
      <c r="D63" s="116" t="s">
        <v>30</v>
      </c>
      <c r="E63" s="30" t="str">
        <f t="shared" si="2"/>
        <v>$millions</v>
      </c>
      <c r="F63" s="178">
        <v>2017</v>
      </c>
      <c r="J63" s="134">
        <f ca="1">'Input|Step changes'!J18*IF('Input|Step changes'!$F18="nominal",LOOKUP($F63,Nominal_to_Real,'Input|Rate of change'!N$25:N$30),INDEX('Input|Rate of change'!$C$14:$O$21,MATCH('Input|Step changes'!$F18,'Input|Rate of change'!$C$14:$C$21,0),MATCH('Calc|Opex forecast'!$F63,'Input|Rate of change'!$C$14:$O$14,0)))*IF('Input|Step changes'!$E18="$millions",1000000,IF('Input|Step changes'!$E18="$000",1000,1))/IF($E63="$millions",1000000,IF($E63="$000",1000,1))</f>
        <v>0</v>
      </c>
      <c r="K63" s="134">
        <f ca="1">'Input|Step changes'!K18*IF('Input|Step changes'!$F18="nominal",LOOKUP($F63,Nominal_to_Real,'Input|Rate of change'!O$25:O$30),INDEX('Input|Rate of change'!$C$14:$O$21,MATCH('Input|Step changes'!$F18,'Input|Rate of change'!$C$14:$C$21,0),MATCH('Calc|Opex forecast'!$F63,'Input|Rate of change'!$C$14:$O$14,0)))*IF('Input|Step changes'!$E18="$millions",1000000,IF('Input|Step changes'!$E18="$000",1000,1))/IF($E63="$millions",1000000,IF($E63="$000",1000,1))</f>
        <v>0</v>
      </c>
      <c r="L63" s="134">
        <f ca="1">'Input|Step changes'!L18*IF('Input|Step changes'!$F18="nominal",LOOKUP($F63,Nominal_to_Real,'Input|Rate of change'!P$25:P$30),INDEX('Input|Rate of change'!$C$14:$O$21,MATCH('Input|Step changes'!$F18,'Input|Rate of change'!$C$14:$C$21,0),MATCH('Calc|Opex forecast'!$F63,'Input|Rate of change'!$C$14:$O$14,0)))*IF('Input|Step changes'!$E18="$millions",1000000,IF('Input|Step changes'!$E18="$000",1000,1))/IF($E63="$millions",1000000,IF($E63="$000",1000,1))</f>
        <v>0</v>
      </c>
      <c r="M63" s="134">
        <f ca="1">'Input|Step changes'!M18*IF('Input|Step changes'!$F18="nominal",LOOKUP($F63,Nominal_to_Real,'Input|Rate of change'!Q$25:Q$30),INDEX('Input|Rate of change'!$C$14:$O$21,MATCH('Input|Step changes'!$F18,'Input|Rate of change'!$C$14:$C$21,0),MATCH('Calc|Opex forecast'!$F63,'Input|Rate of change'!$C$14:$O$14,0)))*IF('Input|Step changes'!$E18="$millions",1000000,IF('Input|Step changes'!$E18="$000",1000,1))/IF($E63="$millions",1000000,IF($E63="$000",1000,1))</f>
        <v>0</v>
      </c>
      <c r="N63" s="134">
        <f ca="1">'Input|Step changes'!N18*IF('Input|Step changes'!$F18="nominal",LOOKUP($F63,Nominal_to_Real,'Input|Rate of change'!R$25:R$30),INDEX('Input|Rate of change'!$C$14:$O$21,MATCH('Input|Step changes'!$F18,'Input|Rate of change'!$C$14:$C$21,0),MATCH('Calc|Opex forecast'!$F63,'Input|Rate of change'!$C$14:$O$14,0)))*IF('Input|Step changes'!$E18="$millions",1000000,IF('Input|Step changes'!$E18="$000",1000,1))/IF($E63="$millions",1000000,IF($E63="$000",1000,1))</f>
        <v>0</v>
      </c>
      <c r="O63" s="134">
        <f ca="1">'Input|Step changes'!O18*IF('Input|Step changes'!$F18="nominal",LOOKUP($F63,Nominal_to_Real,'Input|Rate of change'!S$25:S$30),INDEX('Input|Rate of change'!$C$14:$O$21,MATCH('Input|Step changes'!$F18,'Input|Rate of change'!$C$14:$C$21,0),MATCH('Calc|Opex forecast'!$F63,'Input|Rate of change'!$C$14:$O$14,0)))*IF('Input|Step changes'!$E18="$millions",1000000,IF('Input|Step changes'!$E18="$000",1000,1))/IF($E63="$millions",1000000,IF($E63="$000",1000,1))</f>
        <v>0</v>
      </c>
      <c r="P63" s="134">
        <f ca="1">'Input|Step changes'!P18*IF('Input|Step changes'!$F18="nominal",LOOKUP($F63,Nominal_to_Real,'Input|Rate of change'!T$25:T$30),INDEX('Input|Rate of change'!$C$14:$O$21,MATCH('Input|Step changes'!$F18,'Input|Rate of change'!$C$14:$C$21,0),MATCH('Calc|Opex forecast'!$F63,'Input|Rate of change'!$C$14:$O$14,0)))*IF('Input|Step changes'!$E18="$millions",1000000,IF('Input|Step changes'!$E18="$000",1000,1))/IF($E63="$millions",1000000,IF($E63="$000",1000,1))</f>
        <v>0</v>
      </c>
      <c r="Q63" s="134">
        <f ca="1">'Input|Step changes'!Q18*IF('Input|Step changes'!$F18="nominal",LOOKUP($F63,Nominal_to_Real,'Input|Rate of change'!U$25:U$30),INDEX('Input|Rate of change'!$C$14:$O$21,MATCH('Input|Step changes'!$F18,'Input|Rate of change'!$C$14:$C$21,0),MATCH('Calc|Opex forecast'!$F63,'Input|Rate of change'!$C$14:$O$14,0)))*IF('Input|Step changes'!$E18="$millions",1000000,IF('Input|Step changes'!$E18="$000",1000,1))/IF($E63="$millions",1000000,IF($E63="$000",1000,1))</f>
        <v>0</v>
      </c>
      <c r="R63" s="134">
        <f ca="1">'Input|Step changes'!R18*IF('Input|Step changes'!$F18="nominal",LOOKUP($F63,Nominal_to_Real,'Input|Rate of change'!V$25:V$30),INDEX('Input|Rate of change'!$C$14:$O$21,MATCH('Input|Step changes'!$F18,'Input|Rate of change'!$C$14:$C$21,0),MATCH('Calc|Opex forecast'!$F63,'Input|Rate of change'!$C$14:$O$14,0)))*IF('Input|Step changes'!$E18="$millions",1000000,IF('Input|Step changes'!$E18="$000",1000,1))/IF($E63="$millions",1000000,IF($E63="$000",1000,1))</f>
        <v>0</v>
      </c>
      <c r="S63" s="134">
        <f ca="1">'Input|Step changes'!S18*IF('Input|Step changes'!$F18="nominal",LOOKUP($F63,Nominal_to_Real,'Input|Rate of change'!W$25:W$30),INDEX('Input|Rate of change'!$C$14:$O$21,MATCH('Input|Step changes'!$F18,'Input|Rate of change'!$C$14:$C$21,0),MATCH('Calc|Opex forecast'!$F63,'Input|Rate of change'!$C$14:$O$14,0)))*IF('Input|Step changes'!$E18="$millions",1000000,IF('Input|Step changes'!$E18="$000",1000,1))/IF($E63="$millions",1000000,IF($E63="$000",1000,1))</f>
        <v>0</v>
      </c>
    </row>
    <row r="64" spans="1:47" outlineLevel="1">
      <c r="C64" s="128">
        <f>'Input|Step changes'!C19</f>
        <v>0</v>
      </c>
      <c r="D64" s="116" t="s">
        <v>30</v>
      </c>
      <c r="E64" s="30" t="str">
        <f t="shared" si="2"/>
        <v>$millions</v>
      </c>
      <c r="F64" s="178">
        <v>2017</v>
      </c>
      <c r="J64" s="134">
        <f ca="1">'Input|Step changes'!J19*IF('Input|Step changes'!$F19="nominal",LOOKUP($F64,Nominal_to_Real,'Input|Rate of change'!N$25:N$30),INDEX('Input|Rate of change'!$C$14:$O$21,MATCH('Input|Step changes'!$F19,'Input|Rate of change'!$C$14:$C$21,0),MATCH('Calc|Opex forecast'!$F64,'Input|Rate of change'!$C$14:$O$14,0)))*IF('Input|Step changes'!$E19="$millions",1000000,IF('Input|Step changes'!$E19="$000",1000,1))/IF($E64="$millions",1000000,IF($E64="$000",1000,1))</f>
        <v>0</v>
      </c>
      <c r="K64" s="134">
        <f ca="1">'Input|Step changes'!K19*IF('Input|Step changes'!$F19="nominal",LOOKUP($F64,Nominal_to_Real,'Input|Rate of change'!O$25:O$30),INDEX('Input|Rate of change'!$C$14:$O$21,MATCH('Input|Step changes'!$F19,'Input|Rate of change'!$C$14:$C$21,0),MATCH('Calc|Opex forecast'!$F64,'Input|Rate of change'!$C$14:$O$14,0)))*IF('Input|Step changes'!$E19="$millions",1000000,IF('Input|Step changes'!$E19="$000",1000,1))/IF($E64="$millions",1000000,IF($E64="$000",1000,1))</f>
        <v>0</v>
      </c>
      <c r="L64" s="134">
        <f ca="1">'Input|Step changes'!L19*IF('Input|Step changes'!$F19="nominal",LOOKUP($F64,Nominal_to_Real,'Input|Rate of change'!P$25:P$30),INDEX('Input|Rate of change'!$C$14:$O$21,MATCH('Input|Step changes'!$F19,'Input|Rate of change'!$C$14:$C$21,0),MATCH('Calc|Opex forecast'!$F64,'Input|Rate of change'!$C$14:$O$14,0)))*IF('Input|Step changes'!$E19="$millions",1000000,IF('Input|Step changes'!$E19="$000",1000,1))/IF($E64="$millions",1000000,IF($E64="$000",1000,1))</f>
        <v>0</v>
      </c>
      <c r="M64" s="134">
        <f ca="1">'Input|Step changes'!M19*IF('Input|Step changes'!$F19="nominal",LOOKUP($F64,Nominal_to_Real,'Input|Rate of change'!Q$25:Q$30),INDEX('Input|Rate of change'!$C$14:$O$21,MATCH('Input|Step changes'!$F19,'Input|Rate of change'!$C$14:$C$21,0),MATCH('Calc|Opex forecast'!$F64,'Input|Rate of change'!$C$14:$O$14,0)))*IF('Input|Step changes'!$E19="$millions",1000000,IF('Input|Step changes'!$E19="$000",1000,1))/IF($E64="$millions",1000000,IF($E64="$000",1000,1))</f>
        <v>0</v>
      </c>
      <c r="N64" s="134">
        <f ca="1">'Input|Step changes'!N19*IF('Input|Step changes'!$F19="nominal",LOOKUP($F64,Nominal_to_Real,'Input|Rate of change'!R$25:R$30),INDEX('Input|Rate of change'!$C$14:$O$21,MATCH('Input|Step changes'!$F19,'Input|Rate of change'!$C$14:$C$21,0),MATCH('Calc|Opex forecast'!$F64,'Input|Rate of change'!$C$14:$O$14,0)))*IF('Input|Step changes'!$E19="$millions",1000000,IF('Input|Step changes'!$E19="$000",1000,1))/IF($E64="$millions",1000000,IF($E64="$000",1000,1))</f>
        <v>0</v>
      </c>
      <c r="O64" s="134">
        <f ca="1">'Input|Step changes'!O19*IF('Input|Step changes'!$F19="nominal",LOOKUP($F64,Nominal_to_Real,'Input|Rate of change'!S$25:S$30),INDEX('Input|Rate of change'!$C$14:$O$21,MATCH('Input|Step changes'!$F19,'Input|Rate of change'!$C$14:$C$21,0),MATCH('Calc|Opex forecast'!$F64,'Input|Rate of change'!$C$14:$O$14,0)))*IF('Input|Step changes'!$E19="$millions",1000000,IF('Input|Step changes'!$E19="$000",1000,1))/IF($E64="$millions",1000000,IF($E64="$000",1000,1))</f>
        <v>0</v>
      </c>
      <c r="P64" s="134">
        <f ca="1">'Input|Step changes'!P19*IF('Input|Step changes'!$F19="nominal",LOOKUP($F64,Nominal_to_Real,'Input|Rate of change'!T$25:T$30),INDEX('Input|Rate of change'!$C$14:$O$21,MATCH('Input|Step changes'!$F19,'Input|Rate of change'!$C$14:$C$21,0),MATCH('Calc|Opex forecast'!$F64,'Input|Rate of change'!$C$14:$O$14,0)))*IF('Input|Step changes'!$E19="$millions",1000000,IF('Input|Step changes'!$E19="$000",1000,1))/IF($E64="$millions",1000000,IF($E64="$000",1000,1))</f>
        <v>0</v>
      </c>
      <c r="Q64" s="134">
        <f ca="1">'Input|Step changes'!Q19*IF('Input|Step changes'!$F19="nominal",LOOKUP($F64,Nominal_to_Real,'Input|Rate of change'!U$25:U$30),INDEX('Input|Rate of change'!$C$14:$O$21,MATCH('Input|Step changes'!$F19,'Input|Rate of change'!$C$14:$C$21,0),MATCH('Calc|Opex forecast'!$F64,'Input|Rate of change'!$C$14:$O$14,0)))*IF('Input|Step changes'!$E19="$millions",1000000,IF('Input|Step changes'!$E19="$000",1000,1))/IF($E64="$millions",1000000,IF($E64="$000",1000,1))</f>
        <v>0</v>
      </c>
      <c r="R64" s="134">
        <f ca="1">'Input|Step changes'!R19*IF('Input|Step changes'!$F19="nominal",LOOKUP($F64,Nominal_to_Real,'Input|Rate of change'!V$25:V$30),INDEX('Input|Rate of change'!$C$14:$O$21,MATCH('Input|Step changes'!$F19,'Input|Rate of change'!$C$14:$C$21,0),MATCH('Calc|Opex forecast'!$F64,'Input|Rate of change'!$C$14:$O$14,0)))*IF('Input|Step changes'!$E19="$millions",1000000,IF('Input|Step changes'!$E19="$000",1000,1))/IF($E64="$millions",1000000,IF($E64="$000",1000,1))</f>
        <v>0</v>
      </c>
      <c r="S64" s="134">
        <f ca="1">'Input|Step changes'!S19*IF('Input|Step changes'!$F19="nominal",LOOKUP($F64,Nominal_to_Real,'Input|Rate of change'!W$25:W$30),INDEX('Input|Rate of change'!$C$14:$O$21,MATCH('Input|Step changes'!$F19,'Input|Rate of change'!$C$14:$C$21,0),MATCH('Calc|Opex forecast'!$F64,'Input|Rate of change'!$C$14:$O$14,0)))*IF('Input|Step changes'!$E19="$millions",1000000,IF('Input|Step changes'!$E19="$000",1000,1))/IF($E64="$millions",1000000,IF($E64="$000",1000,1))</f>
        <v>0</v>
      </c>
    </row>
    <row r="65" spans="1:47" outlineLevel="1">
      <c r="C65" s="128">
        <f>'Input|Step changes'!C20</f>
        <v>0</v>
      </c>
      <c r="D65" s="116" t="s">
        <v>30</v>
      </c>
      <c r="E65" s="30" t="str">
        <f t="shared" si="2"/>
        <v>$millions</v>
      </c>
      <c r="F65" s="178">
        <v>2017</v>
      </c>
      <c r="J65" s="134">
        <f ca="1">'Input|Step changes'!J20*IF('Input|Step changes'!$F20="nominal",LOOKUP($F65,Nominal_to_Real,'Input|Rate of change'!N$25:N$30),INDEX('Input|Rate of change'!$C$14:$O$21,MATCH('Input|Step changes'!$F20,'Input|Rate of change'!$C$14:$C$21,0),MATCH('Calc|Opex forecast'!$F65,'Input|Rate of change'!$C$14:$O$14,0)))*IF('Input|Step changes'!$E20="$millions",1000000,IF('Input|Step changes'!$E20="$000",1000,1))/IF($E65="$millions",1000000,IF($E65="$000",1000,1))</f>
        <v>0</v>
      </c>
      <c r="K65" s="134">
        <f ca="1">'Input|Step changes'!K20*IF('Input|Step changes'!$F20="nominal",LOOKUP($F65,Nominal_to_Real,'Input|Rate of change'!O$25:O$30),INDEX('Input|Rate of change'!$C$14:$O$21,MATCH('Input|Step changes'!$F20,'Input|Rate of change'!$C$14:$C$21,0),MATCH('Calc|Opex forecast'!$F65,'Input|Rate of change'!$C$14:$O$14,0)))*IF('Input|Step changes'!$E20="$millions",1000000,IF('Input|Step changes'!$E20="$000",1000,1))/IF($E65="$millions",1000000,IF($E65="$000",1000,1))</f>
        <v>0</v>
      </c>
      <c r="L65" s="134">
        <f ca="1">'Input|Step changes'!L20*IF('Input|Step changes'!$F20="nominal",LOOKUP($F65,Nominal_to_Real,'Input|Rate of change'!P$25:P$30),INDEX('Input|Rate of change'!$C$14:$O$21,MATCH('Input|Step changes'!$F20,'Input|Rate of change'!$C$14:$C$21,0),MATCH('Calc|Opex forecast'!$F65,'Input|Rate of change'!$C$14:$O$14,0)))*IF('Input|Step changes'!$E20="$millions",1000000,IF('Input|Step changes'!$E20="$000",1000,1))/IF($E65="$millions",1000000,IF($E65="$000",1000,1))</f>
        <v>0</v>
      </c>
      <c r="M65" s="134">
        <f ca="1">'Input|Step changes'!M20*IF('Input|Step changes'!$F20="nominal",LOOKUP($F65,Nominal_to_Real,'Input|Rate of change'!Q$25:Q$30),INDEX('Input|Rate of change'!$C$14:$O$21,MATCH('Input|Step changes'!$F20,'Input|Rate of change'!$C$14:$C$21,0),MATCH('Calc|Opex forecast'!$F65,'Input|Rate of change'!$C$14:$O$14,0)))*IF('Input|Step changes'!$E20="$millions",1000000,IF('Input|Step changes'!$E20="$000",1000,1))/IF($E65="$millions",1000000,IF($E65="$000",1000,1))</f>
        <v>0</v>
      </c>
      <c r="N65" s="134">
        <f ca="1">'Input|Step changes'!N20*IF('Input|Step changes'!$F20="nominal",LOOKUP($F65,Nominal_to_Real,'Input|Rate of change'!R$25:R$30),INDEX('Input|Rate of change'!$C$14:$O$21,MATCH('Input|Step changes'!$F20,'Input|Rate of change'!$C$14:$C$21,0),MATCH('Calc|Opex forecast'!$F65,'Input|Rate of change'!$C$14:$O$14,0)))*IF('Input|Step changes'!$E20="$millions",1000000,IF('Input|Step changes'!$E20="$000",1000,1))/IF($E65="$millions",1000000,IF($E65="$000",1000,1))</f>
        <v>0</v>
      </c>
      <c r="O65" s="134">
        <f ca="1">'Input|Step changes'!O20*IF('Input|Step changes'!$F20="nominal",LOOKUP($F65,Nominal_to_Real,'Input|Rate of change'!S$25:S$30),INDEX('Input|Rate of change'!$C$14:$O$21,MATCH('Input|Step changes'!$F20,'Input|Rate of change'!$C$14:$C$21,0),MATCH('Calc|Opex forecast'!$F65,'Input|Rate of change'!$C$14:$O$14,0)))*IF('Input|Step changes'!$E20="$millions",1000000,IF('Input|Step changes'!$E20="$000",1000,1))/IF($E65="$millions",1000000,IF($E65="$000",1000,1))</f>
        <v>0</v>
      </c>
      <c r="P65" s="134">
        <f ca="1">'Input|Step changes'!P20*IF('Input|Step changes'!$F20="nominal",LOOKUP($F65,Nominal_to_Real,'Input|Rate of change'!T$25:T$30),INDEX('Input|Rate of change'!$C$14:$O$21,MATCH('Input|Step changes'!$F20,'Input|Rate of change'!$C$14:$C$21,0),MATCH('Calc|Opex forecast'!$F65,'Input|Rate of change'!$C$14:$O$14,0)))*IF('Input|Step changes'!$E20="$millions",1000000,IF('Input|Step changes'!$E20="$000",1000,1))/IF($E65="$millions",1000000,IF($E65="$000",1000,1))</f>
        <v>0</v>
      </c>
      <c r="Q65" s="134">
        <f ca="1">'Input|Step changes'!Q20*IF('Input|Step changes'!$F20="nominal",LOOKUP($F65,Nominal_to_Real,'Input|Rate of change'!U$25:U$30),INDEX('Input|Rate of change'!$C$14:$O$21,MATCH('Input|Step changes'!$F20,'Input|Rate of change'!$C$14:$C$21,0),MATCH('Calc|Opex forecast'!$F65,'Input|Rate of change'!$C$14:$O$14,0)))*IF('Input|Step changes'!$E20="$millions",1000000,IF('Input|Step changes'!$E20="$000",1000,1))/IF($E65="$millions",1000000,IF($E65="$000",1000,1))</f>
        <v>0</v>
      </c>
      <c r="R65" s="134">
        <f ca="1">'Input|Step changes'!R20*IF('Input|Step changes'!$F20="nominal",LOOKUP($F65,Nominal_to_Real,'Input|Rate of change'!V$25:V$30),INDEX('Input|Rate of change'!$C$14:$O$21,MATCH('Input|Step changes'!$F20,'Input|Rate of change'!$C$14:$C$21,0),MATCH('Calc|Opex forecast'!$F65,'Input|Rate of change'!$C$14:$O$14,0)))*IF('Input|Step changes'!$E20="$millions",1000000,IF('Input|Step changes'!$E20="$000",1000,1))/IF($E65="$millions",1000000,IF($E65="$000",1000,1))</f>
        <v>0</v>
      </c>
      <c r="S65" s="134">
        <f ca="1">'Input|Step changes'!S20*IF('Input|Step changes'!$F20="nominal",LOOKUP($F65,Nominal_to_Real,'Input|Rate of change'!W$25:W$30),INDEX('Input|Rate of change'!$C$14:$O$21,MATCH('Input|Step changes'!$F20,'Input|Rate of change'!$C$14:$C$21,0),MATCH('Calc|Opex forecast'!$F65,'Input|Rate of change'!$C$14:$O$14,0)))*IF('Input|Step changes'!$E20="$millions",1000000,IF('Input|Step changes'!$E20="$000",1000,1))/IF($E65="$millions",1000000,IF($E65="$000",1000,1))</f>
        <v>0</v>
      </c>
    </row>
    <row r="66" spans="1:47" outlineLevel="1">
      <c r="C66" s="128"/>
      <c r="D66" s="116"/>
      <c r="F66" s="118"/>
      <c r="J66" s="135"/>
      <c r="K66" s="135"/>
      <c r="L66" s="135"/>
      <c r="M66" s="135"/>
      <c r="N66" s="135"/>
      <c r="O66" s="135"/>
      <c r="P66" s="135"/>
      <c r="Q66" s="135"/>
      <c r="R66" s="135"/>
      <c r="S66" s="135"/>
    </row>
    <row r="67" spans="1:47" outlineLevel="1">
      <c r="C67" s="120" t="s">
        <v>50</v>
      </c>
      <c r="D67" s="129" t="s">
        <v>30</v>
      </c>
      <c r="E67" s="129" t="str">
        <f>$E$8</f>
        <v>$millions</v>
      </c>
      <c r="F67" s="178">
        <v>2017</v>
      </c>
      <c r="G67" s="32"/>
      <c r="H67" s="32"/>
      <c r="I67" s="32"/>
      <c r="J67" s="136">
        <f ca="1">SUM(J56:J66)</f>
        <v>0</v>
      </c>
      <c r="K67" s="136">
        <f t="shared" ref="K67:S67" ca="1" si="3">SUM(K56:K66)</f>
        <v>0</v>
      </c>
      <c r="L67" s="136">
        <f t="shared" ca="1" si="3"/>
        <v>0</v>
      </c>
      <c r="M67" s="136">
        <f t="shared" ca="1" si="3"/>
        <v>0</v>
      </c>
      <c r="N67" s="136">
        <f t="shared" ca="1" si="3"/>
        <v>0</v>
      </c>
      <c r="O67" s="136">
        <f t="shared" ca="1" si="3"/>
        <v>0</v>
      </c>
      <c r="P67" s="136">
        <f t="shared" ca="1" si="3"/>
        <v>0</v>
      </c>
      <c r="Q67" s="136">
        <f t="shared" ca="1" si="3"/>
        <v>0</v>
      </c>
      <c r="R67" s="136">
        <f t="shared" ca="1" si="3"/>
        <v>0</v>
      </c>
      <c r="S67" s="136">
        <f t="shared" ca="1" si="3"/>
        <v>0</v>
      </c>
    </row>
    <row r="68" spans="1:47">
      <c r="C68" s="130"/>
      <c r="D68" s="116"/>
      <c r="E68" s="116"/>
      <c r="F68" s="116"/>
      <c r="J68" s="113"/>
      <c r="K68" s="113"/>
      <c r="L68" s="113"/>
      <c r="M68" s="113"/>
      <c r="N68" s="23"/>
      <c r="O68" s="23"/>
      <c r="P68" s="23"/>
      <c r="Q68" s="23"/>
      <c r="R68" s="23"/>
      <c r="S68" s="23"/>
    </row>
    <row r="69" spans="1:47" s="108" customFormat="1" ht="12.75">
      <c r="A69" s="99"/>
      <c r="B69" s="100" t="s">
        <v>139</v>
      </c>
      <c r="C69" s="99"/>
      <c r="D69" s="99"/>
      <c r="E69" s="99"/>
      <c r="F69" s="101"/>
      <c r="G69" s="101"/>
      <c r="H69" s="101"/>
      <c r="I69" s="101"/>
      <c r="J69" s="102"/>
      <c r="K69" s="103"/>
      <c r="L69" s="102"/>
      <c r="M69" s="103"/>
      <c r="N69" s="102"/>
      <c r="O69" s="102"/>
      <c r="P69" s="102"/>
      <c r="Q69" s="102"/>
      <c r="R69" s="102"/>
      <c r="S69" s="102"/>
      <c r="T69" s="102"/>
      <c r="U69" s="102"/>
      <c r="V69" s="103"/>
      <c r="W69" s="103"/>
      <c r="X69" s="104"/>
      <c r="Y69" s="104"/>
      <c r="Z69" s="104"/>
      <c r="AA69" s="104"/>
      <c r="AB69" s="105"/>
      <c r="AC69" s="106"/>
      <c r="AD69" s="106"/>
      <c r="AE69" s="107"/>
      <c r="AF69" s="107"/>
      <c r="AG69" s="107"/>
      <c r="AH69" s="107"/>
      <c r="AI69" s="107"/>
      <c r="AJ69" s="107"/>
      <c r="AK69" s="107"/>
      <c r="AL69" s="107"/>
      <c r="AM69" s="107"/>
      <c r="AN69" s="107"/>
      <c r="AO69" s="107"/>
      <c r="AP69" s="107"/>
      <c r="AQ69" s="107"/>
      <c r="AR69" s="107"/>
      <c r="AS69" s="107"/>
      <c r="AT69" s="107"/>
      <c r="AU69" s="107"/>
    </row>
    <row r="70" spans="1:47" outlineLevel="1">
      <c r="C70" s="112"/>
      <c r="J70" s="113"/>
      <c r="K70" s="113"/>
      <c r="L70" s="113"/>
    </row>
    <row r="71" spans="1:47" outlineLevel="1">
      <c r="C71" s="70" t="s">
        <v>119</v>
      </c>
      <c r="D71" s="32" t="s">
        <v>7</v>
      </c>
      <c r="E71" s="32" t="s">
        <v>8</v>
      </c>
      <c r="F71" s="32" t="s">
        <v>22</v>
      </c>
      <c r="J71" s="111" t="str">
        <f>IF(RIGHT(J$4,2)&gt;=RIGHT('Input|General'!$G$11,2),IF(RIGHT(J$4,2)&lt;=RIGHT('Input|General'!$G$12,2),J$4,""),"")</f>
        <v/>
      </c>
      <c r="K71" s="111" t="str">
        <f ca="1">IF(RIGHT(K$4,2)&gt;=RIGHT('Input|General'!$G$11,2),IF(RIGHT(K$4,2)&lt;=RIGHT('Input|General'!$G$12,2),K$4,""),"")</f>
        <v/>
      </c>
      <c r="L71" s="111" t="str">
        <f ca="1">IF(RIGHT(L$4,2)&gt;=RIGHT('Input|General'!$G$11,2),IF(RIGHT(L$4,2)&lt;=RIGHT('Input|General'!$G$12,2),L$4,""),"")</f>
        <v/>
      </c>
      <c r="M71" s="111" t="str">
        <f ca="1">IF(RIGHT(M$4,2)&gt;=RIGHT('Input|General'!$G$11,2),IF(RIGHT(M$4,2)&lt;=RIGHT('Input|General'!$G$12,2),M$4,""),"")</f>
        <v/>
      </c>
      <c r="N71" s="111" t="str">
        <f ca="1">IF(RIGHT(N$4,2)&gt;=RIGHT('Input|General'!$G$11,2),IF(RIGHT(N$4,2)&lt;=RIGHT('Input|General'!$G$12,2),N$4,""),"")</f>
        <v/>
      </c>
      <c r="O71" s="175">
        <f ca="1">IF(RIGHT(O$4,2)&gt;=RIGHT('Input|General'!$G$11,2),IF(RIGHT(O$4,2)&lt;=RIGHT('Input|General'!$G$12,2),O$4,""),"")</f>
        <v>2018</v>
      </c>
      <c r="P71" s="175">
        <f ca="1">IF(RIGHT(P$4,2)&gt;=RIGHT('Input|General'!$G$11,2),IF(RIGHT(P$4,2)&lt;=RIGHT('Input|General'!$G$12,2),P$4,""),"")</f>
        <v>2019</v>
      </c>
      <c r="Q71" s="175">
        <f ca="1">IF(RIGHT(Q$4,2)&gt;=RIGHT('Input|General'!$G$11,2),IF(RIGHT(Q$4,2)&lt;=RIGHT('Input|General'!$G$12,2),Q$4,""),"")</f>
        <v>2020</v>
      </c>
      <c r="R71" s="175">
        <f ca="1">IF(RIGHT(R$4,2)&gt;=RIGHT('Input|General'!$G$11,2),IF(RIGHT(R$4,2)&lt;=RIGHT('Input|General'!$G$12,2),R$4,""),"")</f>
        <v>2021</v>
      </c>
      <c r="S71" s="175">
        <f ca="1">IF(RIGHT(S$4,2)&gt;=RIGHT('Input|General'!$G$11,2),IF(RIGHT(S$4,2)&lt;=RIGHT('Input|General'!$G$12,2),S$4,""),"")</f>
        <v>2022</v>
      </c>
    </row>
    <row r="72" spans="1:47" outlineLevel="1">
      <c r="C72" s="70"/>
      <c r="J72" s="127"/>
      <c r="K72" s="127"/>
      <c r="L72" s="127"/>
      <c r="M72" s="127"/>
      <c r="N72" s="127"/>
      <c r="O72" s="127"/>
      <c r="P72" s="127"/>
      <c r="Q72" s="127"/>
      <c r="R72" s="127"/>
      <c r="S72" s="127"/>
    </row>
    <row r="73" spans="1:47" outlineLevel="1">
      <c r="C73" s="128" t="str">
        <f>'Input|Step changes'!C26</f>
        <v>Output growth</v>
      </c>
      <c r="D73" s="116" t="s">
        <v>30</v>
      </c>
      <c r="E73" s="30" t="str">
        <f t="shared" si="2"/>
        <v>$millions</v>
      </c>
      <c r="F73" s="178">
        <v>2017</v>
      </c>
      <c r="J73" s="134">
        <f ca="1">'Input|Step changes'!J26*IF('Input|Step changes'!$F26="nominal",LOOKUP($F73,Nominal_to_Real,'Input|Rate of change'!N$25:N$30),INDEX('Input|Rate of change'!$C$14:$O$21,MATCH('Input|Step changes'!$F26,'Input|Rate of change'!$C$14:$C$21,0),MATCH('Calc|Opex forecast'!$F73,'Input|Rate of change'!$C$14:$O$14,0)))*IF('Input|Step changes'!$E26="$millions",1000000,IF('Input|Step changes'!$E26="$000",1000,1))/IF($E73="$millions",1000000,IF($E73="$000",1000,1))</f>
        <v>0</v>
      </c>
      <c r="K73" s="134">
        <f ca="1">'Input|Step changes'!K26*IF('Input|Step changes'!$F26="nominal",LOOKUP($F73,Nominal_to_Real,'Input|Rate of change'!O$25:O$30),INDEX('Input|Rate of change'!$C$14:$O$21,MATCH('Input|Step changes'!$F26,'Input|Rate of change'!$C$14:$C$21,0),MATCH('Calc|Opex forecast'!$F73,'Input|Rate of change'!$C$14:$O$14,0)))*IF('Input|Step changes'!$E26="$millions",1000000,IF('Input|Step changes'!$E26="$000",1000,1))/IF($E73="$millions",1000000,IF($E73="$000",1000,1))</f>
        <v>0</v>
      </c>
      <c r="L73" s="134">
        <f ca="1">'Input|Step changes'!L26*IF('Input|Step changes'!$F26="nominal",LOOKUP($F73,Nominal_to_Real,'Input|Rate of change'!P$25:P$30),INDEX('Input|Rate of change'!$C$14:$O$21,MATCH('Input|Step changes'!$F26,'Input|Rate of change'!$C$14:$C$21,0),MATCH('Calc|Opex forecast'!$F73,'Input|Rate of change'!$C$14:$O$14,0)))*IF('Input|Step changes'!$E26="$millions",1000000,IF('Input|Step changes'!$E26="$000",1000,1))/IF($E73="$millions",1000000,IF($E73="$000",1000,1))</f>
        <v>0</v>
      </c>
      <c r="M73" s="134">
        <f ca="1">'Input|Step changes'!M26*IF('Input|Step changes'!$F26="nominal",LOOKUP($F73,Nominal_to_Real,'Input|Rate of change'!Q$25:Q$30),INDEX('Input|Rate of change'!$C$14:$O$21,MATCH('Input|Step changes'!$F26,'Input|Rate of change'!$C$14:$C$21,0),MATCH('Calc|Opex forecast'!$F73,'Input|Rate of change'!$C$14:$O$14,0)))*IF('Input|Step changes'!$E26="$millions",1000000,IF('Input|Step changes'!$E26="$000",1000,1))/IF($E73="$millions",1000000,IF($E73="$000",1000,1))</f>
        <v>0</v>
      </c>
      <c r="N73" s="134">
        <f ca="1">'Input|Step changes'!N26*IF('Input|Step changes'!$F26="nominal",LOOKUP($F73,Nominal_to_Real,'Input|Rate of change'!R$25:R$30),INDEX('Input|Rate of change'!$C$14:$O$21,MATCH('Input|Step changes'!$F26,'Input|Rate of change'!$C$14:$C$21,0),MATCH('Calc|Opex forecast'!$F73,'Input|Rate of change'!$C$14:$O$14,0)))*IF('Input|Step changes'!$E26="$millions",1000000,IF('Input|Step changes'!$E26="$000",1000,1))/IF($E73="$millions",1000000,IF($E73="$000",1000,1))</f>
        <v>0</v>
      </c>
      <c r="O73" s="134">
        <f ca="1">'Input|Step changes'!O26*IF('Input|Step changes'!$F26="nominal",LOOKUP($F73,Nominal_to_Real,'Input|Rate of change'!S$25:S$30),INDEX('Input|Rate of change'!$C$14:$O$21,MATCH('Input|Step changes'!$F26,'Input|Rate of change'!$C$14:$C$21,0),MATCH('Calc|Opex forecast'!$F73,'Input|Rate of change'!$C$14:$O$14,0)))*IF('Input|Step changes'!$E26="$millions",1000000,IF('Input|Step changes'!$E26="$000",1000,1))/IF($E73="$millions",1000000,IF($E73="$000",1000,1))</f>
        <v>0.18788711499179556</v>
      </c>
      <c r="P73" s="134">
        <f ca="1">'Input|Step changes'!P26*IF('Input|Step changes'!$F26="nominal",LOOKUP($F73,Nominal_to_Real,'Input|Rate of change'!T$25:T$30),INDEX('Input|Rate of change'!$C$14:$O$21,MATCH('Input|Step changes'!$F26,'Input|Rate of change'!$C$14:$C$21,0),MATCH('Calc|Opex forecast'!$F73,'Input|Rate of change'!$C$14:$O$14,0)))*IF('Input|Step changes'!$E26="$millions",1000000,IF('Input|Step changes'!$E26="$000",1000,1))/IF($E73="$millions",1000000,IF($E73="$000",1000,1))</f>
        <v>0.4898932104395044</v>
      </c>
      <c r="Q73" s="134">
        <f ca="1">'Input|Step changes'!Q26*IF('Input|Step changes'!$F26="nominal",LOOKUP($F73,Nominal_to_Real,'Input|Rate of change'!U$25:U$30),INDEX('Input|Rate of change'!$C$14:$O$21,MATCH('Input|Step changes'!$F26,'Input|Rate of change'!$C$14:$C$21,0),MATCH('Calc|Opex forecast'!$F73,'Input|Rate of change'!$C$14:$O$14,0)))*IF('Input|Step changes'!$E26="$millions",1000000,IF('Input|Step changes'!$E26="$000",1000,1))/IF($E73="$millions",1000000,IF($E73="$000",1000,1))</f>
        <v>0.7962860801504803</v>
      </c>
      <c r="R73" s="134">
        <f ca="1">'Input|Step changes'!R26*IF('Input|Step changes'!$F26="nominal",LOOKUP($F73,Nominal_to_Real,'Input|Rate of change'!V$25:V$30),INDEX('Input|Rate of change'!$C$14:$O$21,MATCH('Input|Step changes'!$F26,'Input|Rate of change'!$C$14:$C$21,0),MATCH('Calc|Opex forecast'!$F73,'Input|Rate of change'!$C$14:$O$14,0)))*IF('Input|Step changes'!$E26="$millions",1000000,IF('Input|Step changes'!$E26="$000",1000,1))/IF($E73="$millions",1000000,IF($E73="$000",1000,1))</f>
        <v>1.1088436060983184</v>
      </c>
      <c r="S73" s="134">
        <f ca="1">'Input|Step changes'!S26*IF('Input|Step changes'!$F26="nominal",LOOKUP($F73,Nominal_to_Real,'Input|Rate of change'!W$25:W$30),INDEX('Input|Rate of change'!$C$14:$O$21,MATCH('Input|Step changes'!$F26,'Input|Rate of change'!$C$14:$C$21,0),MATCH('Calc|Opex forecast'!$F73,'Input|Rate of change'!$C$14:$O$14,0)))*IF('Input|Step changes'!$E26="$millions",1000000,IF('Input|Step changes'!$E26="$000",1000,1))/IF($E73="$millions",1000000,IF($E73="$000",1000,1))</f>
        <v>1.4275897811953939</v>
      </c>
    </row>
    <row r="74" spans="1:47" outlineLevel="1">
      <c r="C74" s="128">
        <f>'Input|Step changes'!C27</f>
        <v>0</v>
      </c>
      <c r="D74" s="116" t="s">
        <v>30</v>
      </c>
      <c r="E74" s="30" t="str">
        <f t="shared" si="2"/>
        <v>$millions</v>
      </c>
      <c r="F74" s="178">
        <v>2017</v>
      </c>
      <c r="J74" s="134">
        <f ca="1">'Input|Step changes'!J27*IF('Input|Step changes'!$F27="nominal",LOOKUP($F74,Nominal_to_Real,'Input|Rate of change'!N$25:N$30),INDEX('Input|Rate of change'!$C$14:$O$21,MATCH('Input|Step changes'!$F27,'Input|Rate of change'!$C$14:$C$21,0),MATCH('Calc|Opex forecast'!$F74,'Input|Rate of change'!$C$14:$O$14,0)))*IF('Input|Step changes'!$E27="$millions",1000000,IF('Input|Step changes'!$E27="$000",1000,1))/IF($E74="$millions",1000000,IF($E74="$000",1000,1))</f>
        <v>0</v>
      </c>
      <c r="K74" s="134">
        <f ca="1">'Input|Step changes'!K27*IF('Input|Step changes'!$F27="nominal",LOOKUP($F74,Nominal_to_Real,'Input|Rate of change'!O$25:O$30),INDEX('Input|Rate of change'!$C$14:$O$21,MATCH('Input|Step changes'!$F27,'Input|Rate of change'!$C$14:$C$21,0),MATCH('Calc|Opex forecast'!$F74,'Input|Rate of change'!$C$14:$O$14,0)))*IF('Input|Step changes'!$E27="$millions",1000000,IF('Input|Step changes'!$E27="$000",1000,1))/IF($E74="$millions",1000000,IF($E74="$000",1000,1))</f>
        <v>0</v>
      </c>
      <c r="L74" s="134">
        <f ca="1">'Input|Step changes'!L27*IF('Input|Step changes'!$F27="nominal",LOOKUP($F74,Nominal_to_Real,'Input|Rate of change'!P$25:P$30),INDEX('Input|Rate of change'!$C$14:$O$21,MATCH('Input|Step changes'!$F27,'Input|Rate of change'!$C$14:$C$21,0),MATCH('Calc|Opex forecast'!$F74,'Input|Rate of change'!$C$14:$O$14,0)))*IF('Input|Step changes'!$E27="$millions",1000000,IF('Input|Step changes'!$E27="$000",1000,1))/IF($E74="$millions",1000000,IF($E74="$000",1000,1))</f>
        <v>0</v>
      </c>
      <c r="M74" s="134">
        <f ca="1">'Input|Step changes'!M27*IF('Input|Step changes'!$F27="nominal",LOOKUP($F74,Nominal_to_Real,'Input|Rate of change'!Q$25:Q$30),INDEX('Input|Rate of change'!$C$14:$O$21,MATCH('Input|Step changes'!$F27,'Input|Rate of change'!$C$14:$C$21,0),MATCH('Calc|Opex forecast'!$F74,'Input|Rate of change'!$C$14:$O$14,0)))*IF('Input|Step changes'!$E27="$millions",1000000,IF('Input|Step changes'!$E27="$000",1000,1))/IF($E74="$millions",1000000,IF($E74="$000",1000,1))</f>
        <v>0</v>
      </c>
      <c r="N74" s="134">
        <f ca="1">'Input|Step changes'!N27*IF('Input|Step changes'!$F27="nominal",LOOKUP($F74,Nominal_to_Real,'Input|Rate of change'!R$25:R$30),INDEX('Input|Rate of change'!$C$14:$O$21,MATCH('Input|Step changes'!$F27,'Input|Rate of change'!$C$14:$C$21,0),MATCH('Calc|Opex forecast'!$F74,'Input|Rate of change'!$C$14:$O$14,0)))*IF('Input|Step changes'!$E27="$millions",1000000,IF('Input|Step changes'!$E27="$000",1000,1))/IF($E74="$millions",1000000,IF($E74="$000",1000,1))</f>
        <v>0</v>
      </c>
      <c r="O74" s="134">
        <f ca="1">'Input|Step changes'!O27*IF('Input|Step changes'!$F27="nominal",LOOKUP($F74,Nominal_to_Real,'Input|Rate of change'!S$25:S$30),INDEX('Input|Rate of change'!$C$14:$O$21,MATCH('Input|Step changes'!$F27,'Input|Rate of change'!$C$14:$C$21,0),MATCH('Calc|Opex forecast'!$F74,'Input|Rate of change'!$C$14:$O$14,0)))*IF('Input|Step changes'!$E27="$millions",1000000,IF('Input|Step changes'!$E27="$000",1000,1))/IF($E74="$millions",1000000,IF($E74="$000",1000,1))</f>
        <v>0</v>
      </c>
      <c r="P74" s="134">
        <f ca="1">'Input|Step changes'!P27*IF('Input|Step changes'!$F27="nominal",LOOKUP($F74,Nominal_to_Real,'Input|Rate of change'!T$25:T$30),INDEX('Input|Rate of change'!$C$14:$O$21,MATCH('Input|Step changes'!$F27,'Input|Rate of change'!$C$14:$C$21,0),MATCH('Calc|Opex forecast'!$F74,'Input|Rate of change'!$C$14:$O$14,0)))*IF('Input|Step changes'!$E27="$millions",1000000,IF('Input|Step changes'!$E27="$000",1000,1))/IF($E74="$millions",1000000,IF($E74="$000",1000,1))</f>
        <v>0</v>
      </c>
      <c r="Q74" s="134">
        <f ca="1">'Input|Step changes'!Q27*IF('Input|Step changes'!$F27="nominal",LOOKUP($F74,Nominal_to_Real,'Input|Rate of change'!U$25:U$30),INDEX('Input|Rate of change'!$C$14:$O$21,MATCH('Input|Step changes'!$F27,'Input|Rate of change'!$C$14:$C$21,0),MATCH('Calc|Opex forecast'!$F74,'Input|Rate of change'!$C$14:$O$14,0)))*IF('Input|Step changes'!$E27="$millions",1000000,IF('Input|Step changes'!$E27="$000",1000,1))/IF($E74="$millions",1000000,IF($E74="$000",1000,1))</f>
        <v>0</v>
      </c>
      <c r="R74" s="134">
        <f ca="1">'Input|Step changes'!R27*IF('Input|Step changes'!$F27="nominal",LOOKUP($F74,Nominal_to_Real,'Input|Rate of change'!V$25:V$30),INDEX('Input|Rate of change'!$C$14:$O$21,MATCH('Input|Step changes'!$F27,'Input|Rate of change'!$C$14:$C$21,0),MATCH('Calc|Opex forecast'!$F74,'Input|Rate of change'!$C$14:$O$14,0)))*IF('Input|Step changes'!$E27="$millions",1000000,IF('Input|Step changes'!$E27="$000",1000,1))/IF($E74="$millions",1000000,IF($E74="$000",1000,1))</f>
        <v>0</v>
      </c>
      <c r="S74" s="134">
        <f ca="1">'Input|Step changes'!S27*IF('Input|Step changes'!$F27="nominal",LOOKUP($F74,Nominal_to_Real,'Input|Rate of change'!W$25:W$30),INDEX('Input|Rate of change'!$C$14:$O$21,MATCH('Input|Step changes'!$F27,'Input|Rate of change'!$C$14:$C$21,0),MATCH('Calc|Opex forecast'!$F74,'Input|Rate of change'!$C$14:$O$14,0)))*IF('Input|Step changes'!$E27="$millions",1000000,IF('Input|Step changes'!$E27="$000",1000,1))/IF($E74="$millions",1000000,IF($E74="$000",1000,1))</f>
        <v>0</v>
      </c>
    </row>
    <row r="75" spans="1:47" outlineLevel="1">
      <c r="C75" s="128">
        <f>'Input|Step changes'!C28</f>
        <v>0</v>
      </c>
      <c r="D75" s="116" t="s">
        <v>30</v>
      </c>
      <c r="E75" s="30" t="str">
        <f t="shared" si="2"/>
        <v>$millions</v>
      </c>
      <c r="F75" s="178">
        <v>2017</v>
      </c>
      <c r="J75" s="134">
        <f ca="1">'Input|Step changes'!J28*IF('Input|Step changes'!$F28="nominal",LOOKUP($F75,Nominal_to_Real,'Input|Rate of change'!N$25:N$30),INDEX('Input|Rate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K75" s="134">
        <f ca="1">'Input|Step changes'!K28*IF('Input|Step changes'!$F28="nominal",LOOKUP($F75,Nominal_to_Real,'Input|Rate of change'!O$25:O$30),INDEX('Input|Rate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L75" s="134">
        <f ca="1">'Input|Step changes'!L28*IF('Input|Step changes'!$F28="nominal",LOOKUP($F75,Nominal_to_Real,'Input|Rate of change'!P$25:P$30),INDEX('Input|Rate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M75" s="134">
        <f ca="1">'Input|Step changes'!M28*IF('Input|Step changes'!$F28="nominal",LOOKUP($F75,Nominal_to_Real,'Input|Rate of change'!Q$25:Q$30),INDEX('Input|Rate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N75" s="134">
        <f ca="1">'Input|Step changes'!N28*IF('Input|Step changes'!$F28="nominal",LOOKUP($F75,Nominal_to_Real,'Input|Rate of change'!R$25:R$30),INDEX('Input|Rate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O75" s="134">
        <f ca="1">'Input|Step changes'!O28*IF('Input|Step changes'!$F28="nominal",LOOKUP($F75,Nominal_to_Real,'Input|Rate of change'!S$25:S$30),INDEX('Input|Rate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P75" s="134">
        <f ca="1">'Input|Step changes'!P28*IF('Input|Step changes'!$F28="nominal",LOOKUP($F75,Nominal_to_Real,'Input|Rate of change'!T$25:T$30),INDEX('Input|Rate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Q75" s="134">
        <f ca="1">'Input|Step changes'!Q28*IF('Input|Step changes'!$F28="nominal",LOOKUP($F75,Nominal_to_Real,'Input|Rate of change'!U$25:U$30),INDEX('Input|Rate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R75" s="134">
        <f ca="1">'Input|Step changes'!R28*IF('Input|Step changes'!$F28="nominal",LOOKUP($F75,Nominal_to_Real,'Input|Rate of change'!V$25:V$30),INDEX('Input|Rate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S75" s="134">
        <f ca="1">'Input|Step changes'!S28*IF('Input|Step changes'!$F28="nominal",LOOKUP($F75,Nominal_to_Real,'Input|Rate of change'!W$25:W$30),INDEX('Input|Rate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</row>
    <row r="76" spans="1:47" outlineLevel="1">
      <c r="C76" s="128"/>
      <c r="D76" s="114"/>
      <c r="F76" s="118"/>
      <c r="J76" s="135"/>
      <c r="K76" s="135"/>
      <c r="L76" s="135"/>
      <c r="M76" s="135"/>
      <c r="N76" s="135"/>
      <c r="O76" s="135"/>
      <c r="P76" s="135"/>
      <c r="Q76" s="135"/>
      <c r="R76" s="135"/>
      <c r="S76" s="135"/>
      <c r="T76" s="113"/>
      <c r="U76" s="113"/>
      <c r="V76" s="113"/>
      <c r="W76" s="113"/>
      <c r="X76" s="113"/>
      <c r="Y76" s="113"/>
      <c r="Z76" s="113"/>
      <c r="AA76" s="113"/>
      <c r="AB76" s="113"/>
      <c r="AC76" s="113"/>
      <c r="AD76" s="113"/>
      <c r="AE76" s="113"/>
      <c r="AF76" s="113"/>
      <c r="AG76" s="113"/>
      <c r="AH76" s="113"/>
      <c r="AI76" s="113"/>
      <c r="AJ76" s="113"/>
      <c r="AK76" s="113"/>
      <c r="AL76" s="113"/>
    </row>
    <row r="77" spans="1:47" outlineLevel="1">
      <c r="C77" s="120" t="s">
        <v>140</v>
      </c>
      <c r="D77" s="129" t="s">
        <v>30</v>
      </c>
      <c r="E77" s="129" t="str">
        <f>$E$8</f>
        <v>$millions</v>
      </c>
      <c r="F77" s="178">
        <v>2017</v>
      </c>
      <c r="G77" s="32"/>
      <c r="H77" s="32"/>
      <c r="I77" s="32"/>
      <c r="J77" s="136">
        <f ca="1">SUM(J72:J76)</f>
        <v>0</v>
      </c>
      <c r="K77" s="136">
        <f t="shared" ref="K77:S77" ca="1" si="4">SUM(K72:K76)</f>
        <v>0</v>
      </c>
      <c r="L77" s="136">
        <f t="shared" ca="1" si="4"/>
        <v>0</v>
      </c>
      <c r="M77" s="136">
        <f t="shared" ca="1" si="4"/>
        <v>0</v>
      </c>
      <c r="N77" s="136">
        <f t="shared" ca="1" si="4"/>
        <v>0</v>
      </c>
      <c r="O77" s="136">
        <f t="shared" ca="1" si="4"/>
        <v>0.18788711499179556</v>
      </c>
      <c r="P77" s="136">
        <f t="shared" ca="1" si="4"/>
        <v>0.4898932104395044</v>
      </c>
      <c r="Q77" s="136">
        <f t="shared" ca="1" si="4"/>
        <v>0.7962860801504803</v>
      </c>
      <c r="R77" s="136">
        <f t="shared" ca="1" si="4"/>
        <v>1.1088436060983184</v>
      </c>
      <c r="S77" s="136">
        <f t="shared" ca="1" si="4"/>
        <v>1.4275897811953939</v>
      </c>
    </row>
    <row r="78" spans="1:47">
      <c r="C78" s="130"/>
      <c r="D78" s="116"/>
      <c r="E78" s="116"/>
      <c r="F78" s="116"/>
      <c r="J78" s="113"/>
      <c r="K78" s="113"/>
      <c r="L78" s="113"/>
      <c r="M78" s="113"/>
      <c r="N78" s="23"/>
      <c r="O78" s="23"/>
      <c r="P78" s="23"/>
      <c r="Q78" s="23"/>
      <c r="R78" s="23"/>
      <c r="S78" s="23"/>
    </row>
    <row r="79" spans="1:47" s="108" customFormat="1" ht="12.75">
      <c r="A79" s="99"/>
      <c r="B79" s="100" t="s">
        <v>101</v>
      </c>
      <c r="C79" s="99"/>
      <c r="D79" s="99"/>
      <c r="E79" s="99"/>
      <c r="F79" s="101"/>
      <c r="G79" s="101"/>
      <c r="H79" s="101"/>
      <c r="I79" s="101"/>
      <c r="J79" s="102"/>
      <c r="K79" s="103"/>
      <c r="L79" s="102"/>
      <c r="M79" s="103"/>
      <c r="N79" s="102"/>
      <c r="O79" s="102"/>
      <c r="P79" s="102"/>
      <c r="Q79" s="102"/>
      <c r="R79" s="102"/>
      <c r="S79" s="102"/>
      <c r="T79" s="102"/>
      <c r="U79" s="102"/>
      <c r="V79" s="103"/>
      <c r="W79" s="103"/>
      <c r="X79" s="104"/>
      <c r="Y79" s="104"/>
      <c r="Z79" s="104"/>
      <c r="AA79" s="104"/>
      <c r="AB79" s="105"/>
      <c r="AC79" s="106"/>
      <c r="AD79" s="106"/>
      <c r="AE79" s="107"/>
      <c r="AF79" s="107"/>
      <c r="AG79" s="107"/>
      <c r="AH79" s="107"/>
      <c r="AI79" s="107"/>
      <c r="AJ79" s="107"/>
      <c r="AK79" s="107"/>
      <c r="AL79" s="107"/>
      <c r="AM79" s="107"/>
      <c r="AN79" s="107"/>
      <c r="AO79" s="107"/>
      <c r="AP79" s="107"/>
      <c r="AQ79" s="107"/>
      <c r="AR79" s="107"/>
      <c r="AS79" s="107"/>
      <c r="AT79" s="107"/>
      <c r="AU79" s="107"/>
    </row>
    <row r="80" spans="1:47" outlineLevel="1">
      <c r="C80" s="112"/>
      <c r="J80" s="113"/>
      <c r="K80" s="113"/>
      <c r="L80" s="113"/>
    </row>
    <row r="81" spans="1:47" outlineLevel="1">
      <c r="C81" s="70"/>
      <c r="J81" s="111" t="str">
        <f>IF(RIGHT(J$4,2)&gt;=RIGHT('Input|General'!$G$9,2),IF(RIGHT(J$4,2)&lt;=RIGHT('Input|General'!$G$12,2),J$4,""),"")</f>
        <v/>
      </c>
      <c r="K81" s="111" t="str">
        <f ca="1">IF(RIGHT(K$4,2)&gt;=RIGHT('Input|General'!$G$9,2),IF(RIGHT(K$4,2)&lt;=RIGHT('Input|General'!$G$12,2),K$4,""),"")</f>
        <v/>
      </c>
      <c r="L81" s="111" t="str">
        <f ca="1">IF(RIGHT(L$4,2)&gt;=RIGHT('Input|General'!$G$9,2),IF(RIGHT(L$4,2)&lt;=RIGHT('Input|General'!$G$12,2),L$4,""),"")</f>
        <v/>
      </c>
      <c r="M81" s="175">
        <f ca="1">IF(RIGHT(M$4,2)&gt;=RIGHT('Input|General'!$G$9,2),IF(RIGHT(M$4,2)&lt;=RIGHT('Input|General'!$G$12,2),M$4,""),"")</f>
        <v>2016</v>
      </c>
      <c r="N81" s="175">
        <f ca="1">IF(RIGHT(N$4,2)&gt;=RIGHT('Input|General'!$G$9,2),IF(RIGHT(N$4,2)&lt;=RIGHT('Input|General'!$G$12,2),N$4,""),"")</f>
        <v>2017</v>
      </c>
      <c r="O81" s="175">
        <f ca="1">IF(RIGHT(O$4,2)&gt;=RIGHT('Input|General'!$G$9,2),IF(RIGHT(O$4,2)&lt;=RIGHT('Input|General'!$G$12,2),O$4,""),"")</f>
        <v>2018</v>
      </c>
      <c r="P81" s="175">
        <f ca="1">IF(RIGHT(P$4,2)&gt;=RIGHT('Input|General'!$G$9,2),IF(RIGHT(P$4,2)&lt;=RIGHT('Input|General'!$G$12,2),P$4,""),"")</f>
        <v>2019</v>
      </c>
      <c r="Q81" s="175">
        <f ca="1">IF(RIGHT(Q$4,2)&gt;=RIGHT('Input|General'!$G$9,2),IF(RIGHT(Q$4,2)&lt;=RIGHT('Input|General'!$G$12,2),Q$4,""),"")</f>
        <v>2020</v>
      </c>
      <c r="R81" s="175">
        <f ca="1">IF(RIGHT(R$4,2)&gt;=RIGHT('Input|General'!$G$9,2),IF(RIGHT(R$4,2)&lt;=RIGHT('Input|General'!$G$12,2),R$4,""),"")</f>
        <v>2021</v>
      </c>
      <c r="S81" s="175">
        <f ca="1">IF(RIGHT(S$4,2)&gt;=RIGHT('Input|General'!$G$9,2),IF(RIGHT(S$4,2)&lt;=RIGHT('Input|General'!$G$12,2),S$4,""),"")</f>
        <v>2022</v>
      </c>
    </row>
    <row r="82" spans="1:47" outlineLevel="1">
      <c r="C82" s="131"/>
      <c r="D82" s="116"/>
      <c r="E82" s="116"/>
      <c r="F82" s="116"/>
      <c r="J82" s="132"/>
      <c r="K82" s="132"/>
      <c r="L82" s="132"/>
      <c r="M82" s="132"/>
      <c r="N82" s="132"/>
      <c r="O82" s="132"/>
      <c r="P82" s="132"/>
      <c r="Q82" s="132"/>
      <c r="R82" s="132"/>
      <c r="S82" s="132"/>
    </row>
    <row r="83" spans="1:47" outlineLevel="1">
      <c r="C83" s="130" t="s">
        <v>125</v>
      </c>
      <c r="D83" s="133" t="s">
        <v>30</v>
      </c>
      <c r="E83" s="133" t="str">
        <f>$E$8</f>
        <v>$millions</v>
      </c>
      <c r="F83" s="178">
        <v>2017</v>
      </c>
      <c r="J83" s="164">
        <f ca="1">J13</f>
        <v>0</v>
      </c>
      <c r="K83" s="164">
        <f ca="1">K13</f>
        <v>0</v>
      </c>
      <c r="L83" s="164">
        <f ca="1">L13</f>
        <v>0</v>
      </c>
      <c r="M83" s="164">
        <f ca="1">M13</f>
        <v>65.550375942841043</v>
      </c>
      <c r="N83" s="164">
        <f ca="1">N19</f>
        <v>66.665961428669121</v>
      </c>
      <c r="O83" s="164">
        <f t="array" aca="1" ref="O83" ca="1">IF(RIGHT(O$4,2)&gt;=RIGHT('Input|General'!$G$11,2),IF(RIGHT(O$4,2)&lt;=RIGHT('Input|General'!$G$12,2),IF(ISBLANK(O81),"",PRODUCT(1+$J51:O51)*SUM($J38:$S38)+O77),""),"")</f>
        <v>67.201786184757722</v>
      </c>
      <c r="P83" s="164">
        <f t="array" aca="1" ref="P83" ca="1">IF(RIGHT(P$4,2)&gt;=RIGHT('Input|General'!$G$11,2),IF(RIGHT(P$4,2)&lt;=RIGHT('Input|General'!$G$12,2),IF(ISBLANK(P81),"",PRODUCT(1+$J51:P51)*SUM($J38:$S38)+P77),""),"")</f>
        <v>67.893978862502465</v>
      </c>
      <c r="Q83" s="164">
        <f t="array" aca="1" ref="Q83" ca="1">IF(RIGHT(Q$4,2)&gt;=RIGHT('Input|General'!$G$11,2),IF(RIGHT(Q$4,2)&lt;=RIGHT('Input|General'!$G$12,2),IF(ISBLANK(Q81),"",PRODUCT(1+$J51:Q51)*SUM($J38:$S38)+Q77),""),"")</f>
        <v>68.645715632903531</v>
      </c>
      <c r="R83" s="164">
        <f t="array" aca="1" ref="R83" ca="1">IF(RIGHT(R$4,2)&gt;=RIGHT('Input|General'!$G$11,2),IF(RIGHT(R$4,2)&lt;=RIGHT('Input|General'!$G$12,2),IF(ISBLANK(R81),"",PRODUCT(1+$J51:R51)*SUM($J38:$S38)+R77),""),"")</f>
        <v>69.506734739215432</v>
      </c>
      <c r="S83" s="164">
        <f t="array" aca="1" ref="S83" ca="1">IF(RIGHT(S$4,2)&gt;=RIGHT('Input|General'!$G$11,2),IF(RIGHT(S$4,2)&lt;=RIGHT('Input|General'!$G$12,2),IF(ISBLANK(S81),"",PRODUCT(1+$J51:S51)*SUM($J38:$S38)+S77),""),"")</f>
        <v>70.432935103350673</v>
      </c>
      <c r="T83" s="150">
        <f ca="1">SUM(O83:S83)</f>
        <v>343.68115052272981</v>
      </c>
    </row>
    <row r="84" spans="1:47" outlineLevel="1">
      <c r="C84" s="130" t="s">
        <v>126</v>
      </c>
      <c r="D84" s="133" t="s">
        <v>30</v>
      </c>
      <c r="E84" s="133" t="str">
        <f>$E$8</f>
        <v>$millions</v>
      </c>
      <c r="F84" s="178">
        <v>2017</v>
      </c>
      <c r="J84" s="164"/>
      <c r="K84" s="164"/>
      <c r="L84" s="164"/>
      <c r="M84" s="164"/>
      <c r="N84" s="164"/>
      <c r="O84" s="164">
        <f ca="1">O83+'Input|Step changes'!O34</f>
        <v>67.971786184757718</v>
      </c>
      <c r="P84" s="164">
        <f ca="1">P83+'Input|Step changes'!P34</f>
        <v>68.683978862502471</v>
      </c>
      <c r="Q84" s="164">
        <f ca="1">Q83+'Input|Step changes'!Q34</f>
        <v>69.465715632903525</v>
      </c>
      <c r="R84" s="164">
        <f ca="1">R83+'Input|Step changes'!R34</f>
        <v>70.346734739215435</v>
      </c>
      <c r="S84" s="164">
        <f ca="1">S83+'Input|Step changes'!S34</f>
        <v>71.282935103350667</v>
      </c>
      <c r="T84" s="150">
        <f ca="1">SUM(O84:S84)</f>
        <v>347.7511505227298</v>
      </c>
    </row>
    <row r="85" spans="1:47">
      <c r="C85" s="130"/>
      <c r="D85" s="116"/>
      <c r="E85" s="116"/>
      <c r="F85" s="116"/>
      <c r="J85" s="113"/>
      <c r="K85" s="113"/>
      <c r="L85" s="113"/>
      <c r="M85" s="113"/>
      <c r="N85" s="23"/>
      <c r="O85" s="23"/>
      <c r="P85" s="23"/>
      <c r="Q85" s="23"/>
      <c r="R85" s="23"/>
      <c r="S85" s="23"/>
    </row>
    <row r="86" spans="1:47" s="108" customFormat="1" ht="12.75">
      <c r="A86" s="99"/>
      <c r="B86" s="100" t="s">
        <v>21</v>
      </c>
      <c r="C86" s="99"/>
      <c r="D86" s="99"/>
      <c r="E86" s="99"/>
      <c r="F86" s="101"/>
      <c r="G86" s="101"/>
      <c r="H86" s="101"/>
      <c r="I86" s="101"/>
      <c r="J86" s="102"/>
      <c r="K86" s="103"/>
      <c r="L86" s="102"/>
      <c r="M86" s="103"/>
      <c r="N86" s="102"/>
      <c r="O86" s="102"/>
      <c r="P86" s="102"/>
      <c r="Q86" s="102"/>
      <c r="R86" s="102"/>
      <c r="S86" s="102"/>
      <c r="T86" s="102"/>
      <c r="U86" s="102"/>
      <c r="V86" s="103"/>
      <c r="W86" s="103"/>
      <c r="X86" s="104"/>
      <c r="Y86" s="104"/>
      <c r="Z86" s="104"/>
      <c r="AA86" s="104"/>
      <c r="AB86" s="105"/>
      <c r="AC86" s="106"/>
      <c r="AD86" s="106"/>
      <c r="AE86" s="107"/>
      <c r="AF86" s="107"/>
      <c r="AG86" s="107"/>
      <c r="AH86" s="107"/>
      <c r="AI86" s="107"/>
      <c r="AJ86" s="107"/>
      <c r="AK86" s="107"/>
      <c r="AL86" s="107"/>
      <c r="AM86" s="107"/>
      <c r="AN86" s="107"/>
      <c r="AO86" s="107"/>
      <c r="AP86" s="107"/>
      <c r="AQ86" s="107"/>
      <c r="AR86" s="107"/>
      <c r="AS86" s="107"/>
      <c r="AT86" s="107"/>
      <c r="AU86" s="107"/>
    </row>
    <row r="87" spans="1:47" hidden="1"/>
    <row r="88" spans="1:47" hidden="1"/>
    <row r="89" spans="1:47" hidden="1"/>
    <row r="90" spans="1:47" hidden="1"/>
    <row r="91" spans="1:47" hidden="1"/>
    <row r="92" spans="1:47" hidden="1"/>
    <row r="93" spans="1:47" hidden="1"/>
    <row r="94" spans="1:47" hidden="1"/>
    <row r="95" spans="1:47" hidden="1"/>
    <row r="96" spans="1:47" hidden="1"/>
    <row r="97" hidden="1"/>
    <row r="98" hidden="1"/>
    <row r="99" hidden="1"/>
    <row r="100" hidden="1"/>
    <row r="101" hidden="1"/>
    <row r="102" hidden="1"/>
    <row r="103" hidden="1"/>
    <row r="104" hidden="1"/>
    <row r="105" hidden="1"/>
    <row r="106" hidden="1"/>
    <row r="107" hidden="1"/>
    <row r="108" hidden="1"/>
    <row r="109" hidden="1"/>
    <row r="110" hidden="1"/>
    <row r="111" hidden="1"/>
    <row r="112" hidden="1"/>
    <row r="113" hidden="1"/>
    <row r="114" hidden="1"/>
    <row r="115" hidden="1"/>
    <row r="116" hidden="1"/>
    <row r="117" hidden="1"/>
    <row r="118" hidden="1"/>
    <row r="119" hidden="1"/>
    <row r="120" hidden="1"/>
    <row r="121" hidden="1"/>
    <row r="122" hidden="1"/>
    <row r="123" hidden="1"/>
    <row r="124" hidden="1"/>
    <row r="125" hidden="1"/>
    <row r="126" hidden="1"/>
    <row r="127" hidden="1"/>
    <row r="128" hidden="1"/>
    <row r="129" hidden="1"/>
    <row r="130" hidden="1"/>
    <row r="131" hidden="1"/>
    <row r="132" hidden="1"/>
    <row r="133" hidden="1"/>
    <row r="134" hidden="1"/>
    <row r="135" hidden="1"/>
    <row r="136" hidden="1"/>
    <row r="137" hidden="1"/>
    <row r="138" hidden="1"/>
    <row r="139" hidden="1"/>
    <row r="140" hidden="1"/>
    <row r="141" hidden="1"/>
    <row r="142" hidden="1"/>
    <row r="143" hidden="1"/>
    <row r="144" hidden="1"/>
    <row r="145" hidden="1"/>
    <row r="146" hidden="1"/>
    <row r="147" hidden="1"/>
    <row r="148" hidden="1"/>
    <row r="149" hidden="1"/>
    <row r="150" hidden="1"/>
    <row r="151" hidden="1"/>
    <row r="152" hidden="1"/>
    <row r="153" hidden="1"/>
    <row r="154" hidden="1"/>
    <row r="155" hidden="1"/>
    <row r="156" hidden="1"/>
    <row r="157" hidden="1"/>
    <row r="158" hidden="1"/>
    <row r="159" hidden="1"/>
    <row r="160" hidden="1"/>
    <row r="161" hidden="1"/>
    <row r="162" hidden="1"/>
    <row r="163" hidden="1"/>
    <row r="164" hidden="1"/>
    <row r="165" hidden="1"/>
    <row r="166" hidden="1"/>
    <row r="167" hidden="1"/>
    <row r="168" hidden="1"/>
    <row r="169" hidden="1"/>
    <row r="170" hidden="1"/>
    <row r="171" hidden="1"/>
  </sheetData>
  <mergeCells count="2">
    <mergeCell ref="J3:L3"/>
    <mergeCell ref="N3:S3"/>
  </mergeCells>
  <conditionalFormatting sqref="S1">
    <cfRule type="cellIs" dxfId="65" priority="67" operator="equal">
      <formula>"Check"</formula>
    </cfRule>
    <cfRule type="cellIs" dxfId="64" priority="68" operator="equal">
      <formula>"Ok"</formula>
    </cfRule>
  </conditionalFormatting>
  <conditionalFormatting sqref="V1">
    <cfRule type="cellIs" dxfId="63" priority="69" operator="equal">
      <formula>"Check"</formula>
    </cfRule>
    <cfRule type="cellIs" dxfId="62" priority="70" operator="equal">
      <formula>"Ok"</formula>
    </cfRule>
  </conditionalFormatting>
  <conditionalFormatting sqref="J12:S17 R21:S21 R23:S24 R26:S27 R29:S30 R32:S32">
    <cfRule type="cellIs" dxfId="61" priority="66" operator="equal">
      <formula>0</formula>
    </cfRule>
  </conditionalFormatting>
  <conditionalFormatting sqref="J13:S13">
    <cfRule type="cellIs" dxfId="60" priority="65" operator="equal">
      <formula>0</formula>
    </cfRule>
  </conditionalFormatting>
  <conditionalFormatting sqref="J14:S14">
    <cfRule type="cellIs" dxfId="59" priority="64" operator="equal">
      <formula>0</formula>
    </cfRule>
  </conditionalFormatting>
  <conditionalFormatting sqref="J15:S15">
    <cfRule type="cellIs" dxfId="58" priority="63" operator="equal">
      <formula>0</formula>
    </cfRule>
  </conditionalFormatting>
  <conditionalFormatting sqref="J16:S16">
    <cfRule type="cellIs" dxfId="57" priority="62" operator="equal">
      <formula>0</formula>
    </cfRule>
  </conditionalFormatting>
  <conditionalFormatting sqref="J17:S17">
    <cfRule type="cellIs" dxfId="56" priority="61" operator="equal">
      <formula>0</formula>
    </cfRule>
  </conditionalFormatting>
  <conditionalFormatting sqref="J45:S49">
    <cfRule type="cellIs" dxfId="55" priority="60" operator="equal">
      <formula>0</formula>
    </cfRule>
  </conditionalFormatting>
  <conditionalFormatting sqref="J51:S51">
    <cfRule type="cellIs" dxfId="54" priority="59" operator="equal">
      <formula>0</formula>
    </cfRule>
  </conditionalFormatting>
  <conditionalFormatting sqref="J57:S65 J73:S75">
    <cfRule type="cellIs" dxfId="53" priority="58" operator="equal">
      <formula>0</formula>
    </cfRule>
  </conditionalFormatting>
  <conditionalFormatting sqref="J77:S77">
    <cfRule type="cellIs" dxfId="52" priority="57" operator="equal">
      <formula>0</formula>
    </cfRule>
  </conditionalFormatting>
  <conditionalFormatting sqref="J19:S20 J35:S38">
    <cfRule type="cellIs" dxfId="51" priority="56" operator="equal">
      <formula>0</formula>
    </cfRule>
  </conditionalFormatting>
  <conditionalFormatting sqref="J19:S20 J35:S38">
    <cfRule type="cellIs" dxfId="50" priority="55" operator="equal">
      <formula>0</formula>
    </cfRule>
  </conditionalFormatting>
  <conditionalFormatting sqref="J83:S84">
    <cfRule type="cellIs" dxfId="49" priority="54" operator="equal">
      <formula>0</formula>
    </cfRule>
  </conditionalFormatting>
  <conditionalFormatting sqref="J83:S84">
    <cfRule type="cellIs" dxfId="48" priority="53" operator="equal">
      <formula>0</formula>
    </cfRule>
  </conditionalFormatting>
  <conditionalFormatting sqref="J67:S67">
    <cfRule type="cellIs" dxfId="47" priority="39" operator="equal">
      <formula>0</formula>
    </cfRule>
  </conditionalFormatting>
  <conditionalFormatting sqref="J30:Q30">
    <cfRule type="cellIs" dxfId="46" priority="16" operator="equal">
      <formula>0</formula>
    </cfRule>
  </conditionalFormatting>
  <conditionalFormatting sqref="J23:Q23 J26:Q26 J29:Q29">
    <cfRule type="cellIs" dxfId="45" priority="34" operator="equal">
      <formula>0</formula>
    </cfRule>
  </conditionalFormatting>
  <conditionalFormatting sqref="J23:Q23 J26:Q26 J29:Q29">
    <cfRule type="cellIs" dxfId="44" priority="33" operator="equal">
      <formula>0</formula>
    </cfRule>
  </conditionalFormatting>
  <conditionalFormatting sqref="J21:Q21">
    <cfRule type="cellIs" dxfId="43" priority="29" operator="equal">
      <formula>0</formula>
    </cfRule>
  </conditionalFormatting>
  <conditionalFormatting sqref="J21:Q21">
    <cfRule type="cellIs" dxfId="42" priority="28" operator="equal">
      <formula>0</formula>
    </cfRule>
  </conditionalFormatting>
  <conditionalFormatting sqref="J32:Q32">
    <cfRule type="cellIs" dxfId="41" priority="19" operator="equal">
      <formula>0</formula>
    </cfRule>
  </conditionalFormatting>
  <conditionalFormatting sqref="J32:Q32">
    <cfRule type="cellIs" dxfId="40" priority="18" operator="equal">
      <formula>0</formula>
    </cfRule>
  </conditionalFormatting>
  <conditionalFormatting sqref="J24:Q24">
    <cfRule type="cellIs" dxfId="39" priority="25" operator="equal">
      <formula>0</formula>
    </cfRule>
  </conditionalFormatting>
  <conditionalFormatting sqref="J24:Q24">
    <cfRule type="cellIs" dxfId="38" priority="24" operator="equal">
      <formula>0</formula>
    </cfRule>
  </conditionalFormatting>
  <conditionalFormatting sqref="J30:Q30">
    <cfRule type="cellIs" dxfId="37" priority="17" operator="equal">
      <formula>0</formula>
    </cfRule>
  </conditionalFormatting>
  <conditionalFormatting sqref="J27:Q27">
    <cfRule type="cellIs" dxfId="36" priority="21" operator="equal">
      <formula>0</formula>
    </cfRule>
  </conditionalFormatting>
  <conditionalFormatting sqref="J27:Q27">
    <cfRule type="cellIs" dxfId="35" priority="20" operator="equal">
      <formula>0</formula>
    </cfRule>
  </conditionalFormatting>
  <conditionalFormatting sqref="J33:S33">
    <cfRule type="cellIs" dxfId="34" priority="11" operator="equal">
      <formula>0</formula>
    </cfRule>
  </conditionalFormatting>
  <conditionalFormatting sqref="J33:S33">
    <cfRule type="cellIs" dxfId="33" priority="12" operator="equal">
      <formula>0</formula>
    </cfRule>
  </conditionalFormatting>
  <conditionalFormatting sqref="J22:S22">
    <cfRule type="cellIs" dxfId="32" priority="10" operator="equal">
      <formula>0</formula>
    </cfRule>
  </conditionalFormatting>
  <conditionalFormatting sqref="J22:S22">
    <cfRule type="cellIs" dxfId="31" priority="9" operator="equal">
      <formula>0</formula>
    </cfRule>
  </conditionalFormatting>
  <conditionalFormatting sqref="J25:S25">
    <cfRule type="cellIs" dxfId="30" priority="8" operator="equal">
      <formula>0</formula>
    </cfRule>
  </conditionalFormatting>
  <conditionalFormatting sqref="J25:S25">
    <cfRule type="cellIs" dxfId="29" priority="7" operator="equal">
      <formula>0</formula>
    </cfRule>
  </conditionalFormatting>
  <conditionalFormatting sqref="J28:S28">
    <cfRule type="cellIs" dxfId="28" priority="6" operator="equal">
      <formula>0</formula>
    </cfRule>
  </conditionalFormatting>
  <conditionalFormatting sqref="J28:S28">
    <cfRule type="cellIs" dxfId="27" priority="5" operator="equal">
      <formula>0</formula>
    </cfRule>
  </conditionalFormatting>
  <conditionalFormatting sqref="J31:S31">
    <cfRule type="cellIs" dxfId="26" priority="4" operator="equal">
      <formula>0</formula>
    </cfRule>
  </conditionalFormatting>
  <conditionalFormatting sqref="J31:S31">
    <cfRule type="cellIs" dxfId="25" priority="3" operator="equal">
      <formula>0</formula>
    </cfRule>
  </conditionalFormatting>
  <conditionalFormatting sqref="J34:S34">
    <cfRule type="cellIs" dxfId="24" priority="2" operator="equal">
      <formula>0</formula>
    </cfRule>
  </conditionalFormatting>
  <conditionalFormatting sqref="J34:S34">
    <cfRule type="cellIs" dxfId="23" priority="1" operator="equal">
      <formula>0</formula>
    </cfRule>
  </conditionalFormatting>
  <dataValidations count="5">
    <dataValidation type="list" allowBlank="1" showInputMessage="1" showErrorMessage="1" sqref="F18">
      <formula1>$C$52:$C$52</formula1>
    </dataValidation>
    <dataValidation type="list" allowBlank="1" showInputMessage="1" showErrorMessage="1" sqref="F78 F76 F85 F68">
      <formula1>"Real 2010,Real 2011,Real 2012,Real 2013,Real 2014,Real 2015,Nominal"</formula1>
    </dataValidation>
    <dataValidation type="list" allowBlank="1" showInputMessage="1" showErrorMessage="1" sqref="F35 F66 F37">
      <formula1>$G$44:$G$50</formula1>
    </dataValidation>
    <dataValidation type="list" allowBlank="1" showInputMessage="1" showErrorMessage="1" sqref="F20">
      <formula1>$G$40:$G$47</formula1>
    </dataValidation>
    <dataValidation type="list" allowBlank="1" showInputMessage="1" showErrorMessage="1" sqref="F8">
      <formula1>J$4:S$4</formula1>
    </dataValidation>
  </dataValidations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'Lookup|Tables'!$G$25:$G$32</xm:f>
          </x14:formula1>
          <xm:sqref>F12 F14 F16</xm:sqref>
        </x14:dataValidation>
        <x14:dataValidation type="list" allowBlank="1" showInputMessage="1" showErrorMessage="1">
          <x14:formula1>
            <xm:f>'Lookup|Tables'!$G$10:$G$12</xm:f>
          </x14:formula1>
          <xm:sqref>E8</xm:sqref>
        </x14:dataValidation>
        <x14:dataValidation type="list" allowBlank="1" showInputMessage="1" showErrorMessage="1">
          <x14:formula1>
            <xm:f>'Lookup|Tables'!$G$25:$G$42</xm:f>
          </x14:formula1>
          <xm:sqref>F13 F15 F17 F22 F25 F28 F31 F34 F36 F38 F19 F57:F65 F67 F73:F75 F77 F83:F84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4:S11"/>
  <sheetViews>
    <sheetView workbookViewId="0">
      <selection activeCell="J32" sqref="J32"/>
    </sheetView>
  </sheetViews>
  <sheetFormatPr defaultRowHeight="11.25"/>
  <cols>
    <col min="1" max="1" width="3.33203125" customWidth="1"/>
    <col min="2" max="2" width="64.83203125" bestFit="1" customWidth="1"/>
    <col min="3" max="3" width="13.1640625" bestFit="1" customWidth="1"/>
    <col min="4" max="4" width="11.6640625" bestFit="1" customWidth="1"/>
    <col min="5" max="5" width="7.83203125" customWidth="1"/>
  </cols>
  <sheetData>
    <row r="4" spans="2:19">
      <c r="B4" s="111" t="s">
        <v>151</v>
      </c>
      <c r="C4" s="111" t="s">
        <v>151</v>
      </c>
      <c r="D4" s="111" t="s">
        <v>151</v>
      </c>
      <c r="E4" s="111" t="s">
        <v>151</v>
      </c>
      <c r="F4" s="111" t="s">
        <v>151</v>
      </c>
      <c r="G4" s="111" t="s">
        <v>151</v>
      </c>
      <c r="H4" s="111" t="s">
        <v>151</v>
      </c>
      <c r="I4" s="111" t="s">
        <v>151</v>
      </c>
      <c r="J4" s="111" t="s">
        <v>151</v>
      </c>
      <c r="K4" s="111" t="s">
        <v>151</v>
      </c>
      <c r="L4" s="175">
        <v>2016</v>
      </c>
      <c r="M4" s="175">
        <v>2017</v>
      </c>
      <c r="N4" s="188">
        <v>2018</v>
      </c>
      <c r="O4" s="175">
        <v>2019</v>
      </c>
      <c r="P4" s="175">
        <v>2020</v>
      </c>
      <c r="Q4" s="175">
        <v>2021</v>
      </c>
      <c r="R4" s="175">
        <v>2022</v>
      </c>
      <c r="S4" s="188" t="s">
        <v>154</v>
      </c>
    </row>
    <row r="5" spans="2:19">
      <c r="B5" s="131"/>
      <c r="C5" s="116"/>
      <c r="D5" s="116"/>
      <c r="E5" s="116"/>
      <c r="F5" s="30"/>
      <c r="G5" s="30"/>
      <c r="H5" s="30"/>
      <c r="I5" s="132"/>
      <c r="J5" s="132"/>
      <c r="K5" s="132"/>
      <c r="L5" s="132"/>
      <c r="M5" s="132"/>
      <c r="N5" s="189"/>
      <c r="O5" s="132"/>
      <c r="P5" s="132"/>
      <c r="Q5" s="132"/>
      <c r="R5" s="132"/>
      <c r="S5" s="194"/>
    </row>
    <row r="6" spans="2:19">
      <c r="B6" s="130" t="s">
        <v>125</v>
      </c>
      <c r="C6" s="133" t="s">
        <v>30</v>
      </c>
      <c r="D6" s="133" t="s">
        <v>15</v>
      </c>
      <c r="E6" s="187">
        <v>2017</v>
      </c>
      <c r="F6" s="30"/>
      <c r="G6" s="30"/>
      <c r="H6" s="30"/>
      <c r="I6" s="164">
        <v>0</v>
      </c>
      <c r="J6" s="164">
        <v>0</v>
      </c>
      <c r="K6" s="164">
        <v>0</v>
      </c>
      <c r="L6" s="186">
        <f ca="1">'Calc|Opex forecast'!M83</f>
        <v>65.550375942841043</v>
      </c>
      <c r="M6" s="186">
        <f ca="1">'Calc|Opex forecast'!N83</f>
        <v>66.665961428669121</v>
      </c>
      <c r="N6" s="190">
        <f ca="1">'Calc|Opex forecast'!O83</f>
        <v>67.201786184757722</v>
      </c>
      <c r="O6" s="186">
        <f ca="1">'Calc|Opex forecast'!P83</f>
        <v>67.893978862502465</v>
      </c>
      <c r="P6" s="186">
        <f ca="1">'Calc|Opex forecast'!Q83</f>
        <v>68.645715632903531</v>
      </c>
      <c r="Q6" s="186">
        <f ca="1">'Calc|Opex forecast'!R83</f>
        <v>69.506734739215432</v>
      </c>
      <c r="R6" s="186">
        <f ca="1">'Calc|Opex forecast'!S83</f>
        <v>70.432935103350673</v>
      </c>
      <c r="S6" s="195">
        <f ca="1">SUM(N6:R6)</f>
        <v>343.68115052272981</v>
      </c>
    </row>
    <row r="7" spans="2:19">
      <c r="B7" s="130"/>
      <c r="C7" s="133"/>
      <c r="D7" s="133"/>
      <c r="E7" s="178"/>
      <c r="F7" s="30"/>
      <c r="G7" s="30"/>
      <c r="H7" s="30"/>
      <c r="I7" s="164"/>
      <c r="J7" s="164"/>
      <c r="K7" s="164"/>
      <c r="L7" s="164"/>
      <c r="M7" s="164"/>
      <c r="N7" s="191"/>
      <c r="O7" s="164"/>
      <c r="P7" s="164"/>
      <c r="Q7" s="164"/>
      <c r="R7" s="164"/>
      <c r="S7" s="196"/>
    </row>
    <row r="8" spans="2:19">
      <c r="B8" s="130" t="s">
        <v>152</v>
      </c>
      <c r="E8" s="187">
        <v>2017</v>
      </c>
      <c r="L8" s="184">
        <v>3.8947357466991916</v>
      </c>
      <c r="M8" s="185">
        <v>3.8947357466991916</v>
      </c>
      <c r="N8" s="193">
        <v>3.9150628392567919</v>
      </c>
      <c r="O8" s="185">
        <v>3.937858184848269</v>
      </c>
      <c r="P8" s="185">
        <v>3.9638759122225009</v>
      </c>
      <c r="Q8" s="185">
        <v>3.9959179450224118</v>
      </c>
      <c r="R8" s="185">
        <v>4.0314064236077023</v>
      </c>
      <c r="S8" s="193">
        <f>SUM(N8:R8)</f>
        <v>19.844121304957678</v>
      </c>
    </row>
    <row r="9" spans="2:19">
      <c r="N9" s="192"/>
      <c r="S9" s="193"/>
    </row>
    <row r="10" spans="2:19">
      <c r="B10" s="130" t="s">
        <v>153</v>
      </c>
      <c r="E10" s="187">
        <v>2017</v>
      </c>
      <c r="L10" s="185">
        <f t="shared" ref="L10:R10" ca="1" si="0">L6-L8</f>
        <v>61.655640196141853</v>
      </c>
      <c r="M10" s="185">
        <f t="shared" ca="1" si="0"/>
        <v>62.771225681969931</v>
      </c>
      <c r="N10" s="193">
        <f t="shared" ca="1" si="0"/>
        <v>63.286723345500931</v>
      </c>
      <c r="O10" s="185">
        <f t="shared" ca="1" si="0"/>
        <v>63.956120677654198</v>
      </c>
      <c r="P10" s="185">
        <f t="shared" ca="1" si="0"/>
        <v>64.681839720681026</v>
      </c>
      <c r="Q10" s="185">
        <f t="shared" ca="1" si="0"/>
        <v>65.510816794193019</v>
      </c>
      <c r="R10" s="185">
        <f t="shared" ca="1" si="0"/>
        <v>66.401528679742967</v>
      </c>
      <c r="S10" s="193">
        <f t="shared" ref="S10" ca="1" si="1">SUM(N10:R10)</f>
        <v>323.83702921777217</v>
      </c>
    </row>
    <row r="11" spans="2:19">
      <c r="N11" s="192"/>
      <c r="S11" s="192"/>
    </row>
  </sheetData>
  <conditionalFormatting sqref="I6:R7">
    <cfRule type="cellIs" dxfId="22" priority="1" operator="equal">
      <formula>0</formula>
    </cfRule>
  </conditionalFormatting>
  <conditionalFormatting sqref="I6:R7">
    <cfRule type="cellIs" dxfId="21" priority="2" operator="equal">
      <formula>0</formula>
    </cfRule>
  </conditionalFormatting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theme="3" tint="0.59999389629810485"/>
  </sheetPr>
  <dimension ref="A1:AU32"/>
  <sheetViews>
    <sheetView showGridLines="0" workbookViewId="0">
      <selection activeCell="R13" sqref="R13"/>
    </sheetView>
  </sheetViews>
  <sheetFormatPr defaultColWidth="0" defaultRowHeight="11.25" zeroHeight="1"/>
  <cols>
    <col min="1" max="2" width="1.5" style="29" customWidth="1"/>
    <col min="3" max="3" width="42" style="29" customWidth="1"/>
    <col min="4" max="4" width="27.6640625" style="30" customWidth="1"/>
    <col min="5" max="5" width="15.83203125" style="30" customWidth="1"/>
    <col min="6" max="6" width="10.6640625" style="30" customWidth="1"/>
    <col min="7" max="9" width="3.33203125" style="30" customWidth="1"/>
    <col min="10" max="23" width="10.83203125" style="29" customWidth="1"/>
    <col min="24" max="47" width="0" style="29" hidden="1" customWidth="1"/>
    <col min="48" max="16384" width="10.5" style="29" hidden="1"/>
  </cols>
  <sheetData>
    <row r="1" spans="1:47" s="73" customFormat="1" ht="15.75">
      <c r="B1" s="74" t="str">
        <f>Index!$B$1</f>
        <v>AER opex model</v>
      </c>
      <c r="C1" s="74"/>
      <c r="D1" s="74"/>
      <c r="E1" s="74"/>
      <c r="F1" s="75"/>
      <c r="G1" s="75"/>
      <c r="H1" s="75"/>
      <c r="I1" s="75"/>
      <c r="J1" s="37" t="s">
        <v>2</v>
      </c>
      <c r="L1" s="76" t="s">
        <v>3</v>
      </c>
      <c r="M1" s="77" t="s">
        <v>4</v>
      </c>
      <c r="N1" s="78" t="s">
        <v>5</v>
      </c>
      <c r="O1" s="79" t="s">
        <v>6</v>
      </c>
      <c r="R1" s="76" t="s">
        <v>92</v>
      </c>
      <c r="S1" s="80" t="str">
        <f>IF(COUNTA($W$14:$W$471)=COUNTIF($W$14:$W$471,"OK"),"OK","Check")</f>
        <v>OK</v>
      </c>
      <c r="U1" s="183" t="s">
        <v>24</v>
      </c>
      <c r="V1" s="80" t="str">
        <f>'Check|List'!$S$1</f>
        <v>Ok</v>
      </c>
    </row>
    <row r="2" spans="1:47" s="81" customFormat="1" ht="13.5" thickBot="1">
      <c r="B2" s="82" t="str">
        <f>Index!$C$13</f>
        <v>Output | Models</v>
      </c>
      <c r="C2" s="82"/>
      <c r="D2" s="82"/>
      <c r="E2" s="82"/>
      <c r="F2" s="83"/>
      <c r="G2" s="83"/>
      <c r="H2" s="83"/>
      <c r="I2" s="83"/>
    </row>
    <row r="3" spans="1:47" s="84" customFormat="1">
      <c r="C3" s="85"/>
      <c r="D3" s="86"/>
      <c r="E3" s="86"/>
      <c r="F3" s="86"/>
      <c r="G3" s="86"/>
      <c r="H3" s="86"/>
      <c r="I3" s="86"/>
      <c r="J3" s="213"/>
      <c r="K3" s="213"/>
      <c r="L3" s="213"/>
      <c r="M3" s="86"/>
      <c r="N3" s="213"/>
      <c r="O3" s="213"/>
      <c r="P3" s="213"/>
      <c r="Q3" s="213"/>
      <c r="R3" s="213"/>
      <c r="S3" s="213"/>
      <c r="T3" s="87"/>
      <c r="U3" s="87"/>
      <c r="V3" s="87"/>
      <c r="W3" s="87"/>
      <c r="X3" s="87"/>
      <c r="Y3" s="87"/>
      <c r="Z3" s="87"/>
    </row>
    <row r="4" spans="1:47" s="98" customFormat="1" ht="10.5">
      <c r="A4" s="88"/>
      <c r="B4" s="88"/>
      <c r="C4" s="88"/>
      <c r="D4" s="89" t="s">
        <v>7</v>
      </c>
      <c r="E4" s="89" t="s">
        <v>8</v>
      </c>
      <c r="F4" s="90" t="s">
        <v>22</v>
      </c>
      <c r="G4" s="91"/>
      <c r="H4" s="91"/>
      <c r="I4" s="91"/>
      <c r="J4" s="152">
        <f>'Input|General'!$G$8</f>
        <v>2013</v>
      </c>
      <c r="K4" s="152">
        <f ca="1">IF(OFFSET('Lookup|Tables'!$G$28:$G$43,MATCH('Input|General'!$G$8,'Lookup|Tables'!$G$28:$G$42,0)+1,0,1,1)&lt;='Input|General'!$G$12,OFFSET('Lookup|Tables'!$G$28:$G$43,MATCH('Input|General'!$G$8,'Lookup|Tables'!$G$28:$G$42,0),0,1,1),"")</f>
        <v>2014</v>
      </c>
      <c r="L4" s="152">
        <f ca="1">IF(OFFSET('Lookup|Tables'!$G$28:$G$43,MATCH('Input|General'!$G$8,'Lookup|Tables'!$G$28:$G$42,0)+1,0,1,1)&lt;='Input|General'!$G$12,OFFSET('Lookup|Tables'!$G$28:$G$43,MATCH('Input|General'!$G$8,'Lookup|Tables'!$G$28:$G$42,0)+1,0,1,1),"")</f>
        <v>2015</v>
      </c>
      <c r="M4" s="152">
        <f ca="1">IF(OFFSET('Lookup|Tables'!$G$28:$G$43,MATCH('Input|General'!$G$8,'Lookup|Tables'!$G$28:$G$42,0)+2,0,1,1)&lt;='Input|General'!$G$12,OFFSET('Lookup|Tables'!$G$28:$G$43,MATCH('Input|General'!$G$8,'Lookup|Tables'!$G$28:$G$42,0)+2,0,1,1),"")</f>
        <v>2016</v>
      </c>
      <c r="N4" s="152">
        <f ca="1">IF(OFFSET('Lookup|Tables'!$G$28:$G$43,MATCH('Input|General'!$G$8,'Lookup|Tables'!$G$28:$G$42,0)+3,0,1,1)&lt;='Input|General'!$G$12,OFFSET('Lookup|Tables'!$G$28:$G$43,MATCH('Input|General'!$G$8,'Lookup|Tables'!$G$28:$G$42,0)+3,0,1,1),"")</f>
        <v>2017</v>
      </c>
      <c r="O4" s="152">
        <f ca="1">IF(OFFSET('Lookup|Tables'!$G$28:$G$43,MATCH('Input|General'!$G$8,'Lookup|Tables'!$G$28:$G$42,0)+4,0,1,1)&lt;='Input|General'!$G$12,OFFSET('Lookup|Tables'!$G$28:$G$43,MATCH('Input|General'!$G$8,'Lookup|Tables'!$G$28:$G$42,0)+4,0,1,1),"")</f>
        <v>2018</v>
      </c>
      <c r="P4" s="152">
        <f ca="1">IF(OFFSET('Lookup|Tables'!$G$28:$G$43,MATCH('Input|General'!$G$8,'Lookup|Tables'!$G$28:$G$42,0)+5,0,1,1)&lt;='Input|General'!$G$12,OFFSET('Lookup|Tables'!$G$28:$G$43,MATCH('Input|General'!$G$8,'Lookup|Tables'!$G$28:$G$42,0)+5,0,1,1),"")</f>
        <v>2019</v>
      </c>
      <c r="Q4" s="152">
        <f ca="1">IF(OFFSET('Lookup|Tables'!$G$28:$G$43,MATCH('Input|General'!$G$8,'Lookup|Tables'!$G$28:$G$42,0)+6,0,1,1)&lt;='Input|General'!$G$12,OFFSET('Lookup|Tables'!$G$28:$G$43,MATCH('Input|General'!$G$8,'Lookup|Tables'!$G$28:$G$42,0)+6,0,1,1),"")</f>
        <v>2020</v>
      </c>
      <c r="R4" s="152">
        <f ca="1">IF(OFFSET('Lookup|Tables'!$G$28:$G$43,MATCH('Input|General'!$G$8,'Lookup|Tables'!$G$28:$G$42,0)+7,0,1,1)&lt;='Input|General'!$G$12,OFFSET('Lookup|Tables'!$G$28:$G$43,MATCH('Input|General'!$G$8,'Lookup|Tables'!$G$28:$G$42,0)+7,0,1,1),"")</f>
        <v>2021</v>
      </c>
      <c r="S4" s="152">
        <f ca="1">IF(OFFSET('Lookup|Tables'!$G$28:$G$43,MATCH('Input|General'!$G$8,'Lookup|Tables'!$G$28:$G$42,0)+8,0,1,1)&lt;='Input|General'!$G$12,OFFSET('Lookup|Tables'!$G$28:$G$43,MATCH('Input|General'!$G$8,'Lookup|Tables'!$G$28:$G$42,0)+8,0,1,1),"")</f>
        <v>2022</v>
      </c>
      <c r="T4" s="92"/>
      <c r="U4" s="92"/>
      <c r="V4" s="93"/>
      <c r="W4" s="93"/>
      <c r="X4" s="94"/>
      <c r="Y4" s="94"/>
      <c r="Z4" s="94"/>
      <c r="AA4" s="94"/>
      <c r="AB4" s="95"/>
      <c r="AC4" s="96"/>
      <c r="AD4" s="96"/>
      <c r="AE4" s="97"/>
      <c r="AF4" s="97"/>
      <c r="AG4" s="97"/>
      <c r="AH4" s="97"/>
      <c r="AI4" s="97"/>
      <c r="AJ4" s="97"/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</row>
    <row r="5" spans="1:47" s="27" customFormat="1" ht="3" customHeight="1">
      <c r="D5" s="28"/>
      <c r="E5" s="28"/>
      <c r="F5" s="28"/>
      <c r="G5" s="28"/>
      <c r="H5" s="28"/>
      <c r="I5" s="28"/>
    </row>
    <row r="6" spans="1:47" s="27" customFormat="1" ht="9" customHeight="1">
      <c r="D6" s="28"/>
      <c r="E6" s="28"/>
      <c r="F6" s="28"/>
      <c r="G6" s="28"/>
      <c r="H6" s="28"/>
      <c r="I6" s="28"/>
    </row>
    <row r="7" spans="1:47" s="27" customFormat="1" ht="3" customHeight="1">
      <c r="D7" s="28"/>
      <c r="E7" s="28"/>
      <c r="F7" s="28"/>
      <c r="G7" s="28"/>
      <c r="H7" s="28"/>
      <c r="I7" s="28"/>
    </row>
    <row r="8" spans="1:47" s="108" customFormat="1" ht="12.75">
      <c r="A8" s="99"/>
      <c r="B8" s="100" t="s">
        <v>61</v>
      </c>
      <c r="C8" s="99"/>
      <c r="D8" s="99"/>
      <c r="E8" s="71" t="s">
        <v>15</v>
      </c>
      <c r="F8" s="180">
        <v>2017</v>
      </c>
      <c r="G8" s="101"/>
      <c r="H8" s="101"/>
      <c r="I8" s="101"/>
      <c r="J8" s="159" t="s">
        <v>62</v>
      </c>
      <c r="K8" s="103"/>
      <c r="L8" s="102"/>
      <c r="M8" s="103"/>
      <c r="N8" s="102"/>
      <c r="O8" s="102"/>
      <c r="P8" s="102"/>
      <c r="Q8" s="102"/>
      <c r="R8" s="102"/>
      <c r="S8" s="102"/>
      <c r="T8" s="102"/>
      <c r="U8" s="102"/>
      <c r="V8" s="103"/>
      <c r="W8" s="103"/>
    </row>
    <row r="9" spans="1:47" ht="4.5" customHeight="1"/>
    <row r="10" spans="1:47">
      <c r="M10" s="113"/>
      <c r="N10" s="113"/>
      <c r="O10" s="113"/>
      <c r="P10" s="113"/>
      <c r="Q10" s="113"/>
      <c r="R10" s="113"/>
      <c r="S10" s="113"/>
    </row>
    <row r="11" spans="1:47">
      <c r="C11" s="70" t="s">
        <v>47</v>
      </c>
      <c r="D11" s="32" t="s">
        <v>7</v>
      </c>
      <c r="E11" s="32" t="s">
        <v>8</v>
      </c>
      <c r="F11" s="32" t="s">
        <v>22</v>
      </c>
      <c r="H11" s="32"/>
      <c r="I11" s="32"/>
      <c r="J11" s="175" t="str">
        <f>IF(RIGHT(J$4,2)&gt;=RIGHT('Input|General'!$G$11,2),IF(RIGHT(J$4,2)&lt;=RIGHT('Input|General'!$G$12,2),J$4,""),"")</f>
        <v/>
      </c>
      <c r="K11" s="175" t="str">
        <f ca="1">IF(RIGHT(K$4,2)&gt;=RIGHT('Input|General'!$G$11,2),IF(RIGHT(K$4,2)&lt;=RIGHT('Input|General'!$G$12,2),K$4,""),"")</f>
        <v/>
      </c>
      <c r="L11" s="175" t="str">
        <f ca="1">IF(RIGHT(L$4,2)&gt;=RIGHT('Input|General'!$G$11,2),IF(RIGHT(L$4,2)&lt;=RIGHT('Input|General'!$G$12,2),L$4,""),"")</f>
        <v/>
      </c>
      <c r="M11" s="175" t="str">
        <f ca="1">IF(RIGHT(M$4,2)&gt;=RIGHT('Input|General'!$G$11,2),IF(RIGHT(M$4,2)&lt;=RIGHT('Input|General'!$G$12,2),M$4,""),"")</f>
        <v/>
      </c>
      <c r="N11" s="175" t="str">
        <f ca="1">IF(RIGHT(N$4,2)&gt;=RIGHT('Input|General'!$G$11,2),IF(RIGHT(N$4,2)&lt;=RIGHT('Input|General'!$G$12,2),N$4,""),"")</f>
        <v/>
      </c>
      <c r="O11" s="175">
        <f ca="1">IF(RIGHT(O$4,2)&gt;=RIGHT('Input|General'!$G$11,2),IF(RIGHT(O$4,2)&lt;=RIGHT('Input|General'!$G$12,2),O$4,""),"")</f>
        <v>2018</v>
      </c>
      <c r="P11" s="175">
        <f ca="1">IF(RIGHT(P$4,2)&gt;=RIGHT('Input|General'!$G$11,2),IF(RIGHT(P$4,2)&lt;=RIGHT('Input|General'!$G$12,2),P$4,""),"")</f>
        <v>2019</v>
      </c>
      <c r="Q11" s="175">
        <f ca="1">IF(RIGHT(Q$4,2)&gt;=RIGHT('Input|General'!$G$11,2),IF(RIGHT(Q$4,2)&lt;=RIGHT('Input|General'!$G$12,2),Q$4,""),"")</f>
        <v>2020</v>
      </c>
      <c r="R11" s="175">
        <f ca="1">IF(RIGHT(R$4,2)&gt;=RIGHT('Input|General'!$G$11,2),IF(RIGHT(R$4,2)&lt;=RIGHT('Input|General'!$G$12,2),R$4,""),"")</f>
        <v>2021</v>
      </c>
      <c r="S11" s="175">
        <f ca="1">IF(RIGHT(S$4,2)&gt;=RIGHT('Input|General'!$G$11,2),IF(RIGHT(S$4,2)&lt;=RIGHT('Input|General'!$G$12,2),S$4,""),"")</f>
        <v>2022</v>
      </c>
      <c r="U11" s="146" t="s">
        <v>59</v>
      </c>
      <c r="V11" s="147"/>
      <c r="W11" s="147"/>
    </row>
    <row r="12" spans="1:47">
      <c r="C12" s="117" t="s">
        <v>60</v>
      </c>
      <c r="D12" s="34" t="s">
        <v>120</v>
      </c>
      <c r="E12" s="30" t="str">
        <f>$E$8</f>
        <v>$millions</v>
      </c>
      <c r="F12" s="178">
        <f>$F$8</f>
        <v>2017</v>
      </c>
      <c r="H12" s="32"/>
      <c r="I12" s="32"/>
      <c r="J12" s="160">
        <f>IF(J11="",0,'Calc|Opex forecast'!J83*IF('Calc|Opex forecast'!$F$83="nominal",LOOKUP($F12,Nominal_to_Real,'Input|Rate of change'!P$25:P$30),INDEX('Input|Rate of change'!$C$14:$O$21,MATCH('Calc|Opex forecast'!$F$83,'Input|Rate of change'!$C$14:$C$21,0),MATCH('Output|Models'!$F12,'Input|Rate of change'!$C$14:$O$14,0)))*IF('Calc|Opex forecast'!$E$83="$millions",1000000,IF('Output|Models'!B47="$000",1000,1))/IF($E12="$millions",1000000,IF($E12="$000",1000,1)))</f>
        <v>0</v>
      </c>
      <c r="K12" s="160">
        <f ca="1">IF(K11="",0,'Calc|Opex forecast'!K83*IF('Calc|Opex forecast'!$F$83="nominal",LOOKUP($F12,Nominal_to_Real,'Input|Rate of change'!Q$25:Q$30),INDEX('Input|Rate of change'!$C$14:$O$21,MATCH('Calc|Opex forecast'!$F$83,'Input|Rate of change'!$C$14:$C$21,0),MATCH('Output|Models'!$F12,'Input|Rate of change'!$C$14:$O$14,0)))*IF('Calc|Opex forecast'!$E$83="$millions",1000000,IF('Output|Models'!C47="$000",1000,1))/IF($E12="$millions",1000000,IF($E12="$000",1000,1)))</f>
        <v>0</v>
      </c>
      <c r="L12" s="160">
        <f ca="1">IF(L11="",0,'Calc|Opex forecast'!L83*IF('Calc|Opex forecast'!$F$83="nominal",LOOKUP($F12,Nominal_to_Real,'Input|Rate of change'!R$25:R$30),INDEX('Input|Rate of change'!$C$14:$O$21,MATCH('Calc|Opex forecast'!$F$83,'Input|Rate of change'!$C$14:$C$21,0),MATCH('Output|Models'!$F12,'Input|Rate of change'!$C$14:$O$14,0)))*IF('Calc|Opex forecast'!$E$83="$millions",1000000,IF('Output|Models'!D47="$000",1000,1))/IF($E12="$millions",1000000,IF($E12="$000",1000,1)))</f>
        <v>0</v>
      </c>
      <c r="M12" s="160">
        <f ca="1">IF(M11="",0,'Calc|Opex forecast'!M83*IF('Calc|Opex forecast'!$F$83="nominal",LOOKUP($F12,Nominal_to_Real,'Input|Rate of change'!S$25:S$30),INDEX('Input|Rate of change'!$C$14:$O$21,MATCH('Calc|Opex forecast'!$F$83,'Input|Rate of change'!$C$14:$C$21,0),MATCH('Output|Models'!$F12,'Input|Rate of change'!$C$14:$O$14,0)))*IF('Calc|Opex forecast'!$E$83="$millions",1000000,IF('Output|Models'!E47="$000",1000,1))/IF($E12="$millions",1000000,IF($E12="$000",1000,1)))</f>
        <v>0</v>
      </c>
      <c r="N12" s="160">
        <f ca="1">IF(N11="",0,'Calc|Opex forecast'!N83*IF('Calc|Opex forecast'!$F$83="nominal",LOOKUP($F12,Nominal_to_Real,'Input|Rate of change'!T$25:T$30),INDEX('Input|Rate of change'!$C$14:$O$21,MATCH('Calc|Opex forecast'!$F$83,'Input|Rate of change'!$C$14:$C$21,0),MATCH('Output|Models'!$F12,'Input|Rate of change'!$C$14:$O$14,0)))*IF('Calc|Opex forecast'!$E$83="$millions",1000000,IF('Output|Models'!F47="$000",1000,1))/IF($E12="$millions",1000000,IF($E12="$000",1000,1)))</f>
        <v>0</v>
      </c>
      <c r="O12" s="160">
        <f ca="1">IF(O11="",0,'Calc|Opex forecast'!O83*IF('Calc|Opex forecast'!$F$83="nominal",LOOKUP($F12,Nominal_to_Real,'Input|Rate of change'!U$25:U$30),INDEX('Input|Rate of change'!$C$14:$O$21,MATCH('Calc|Opex forecast'!$F$83,'Input|Rate of change'!$C$14:$C$21,0),MATCH('Output|Models'!$F12,'Input|Rate of change'!$C$14:$O$14,0)))*IF('Calc|Opex forecast'!$E$83="$millions",1000000,IF('Output|Models'!G47="$000",1000,1))/IF($E12="$millions",1000000,IF($E12="$000",1000,1)))</f>
        <v>67.201786184757722</v>
      </c>
      <c r="P12" s="160">
        <f ca="1">IF(P11="",0,'Calc|Opex forecast'!P83*IF('Calc|Opex forecast'!$F$83="nominal",LOOKUP($F12,Nominal_to_Real,'Input|Rate of change'!V$25:V$30),INDEX('Input|Rate of change'!$C$14:$O$21,MATCH('Calc|Opex forecast'!$F$83,'Input|Rate of change'!$C$14:$C$21,0),MATCH('Output|Models'!$F12,'Input|Rate of change'!$C$14:$O$14,0)))*IF('Calc|Opex forecast'!$E$83="$millions",1000000,IF('Output|Models'!H47="$000",1000,1))/IF($E12="$millions",1000000,IF($E12="$000",1000,1)))</f>
        <v>67.893978862502465</v>
      </c>
      <c r="Q12" s="160">
        <f ca="1">IF(Q11="",0,'Calc|Opex forecast'!Q83*IF('Calc|Opex forecast'!$F$83="nominal",LOOKUP($F12,Nominal_to_Real,'Input|Rate of change'!W$25:W$30),INDEX('Input|Rate of change'!$C$14:$O$21,MATCH('Calc|Opex forecast'!$F$83,'Input|Rate of change'!$C$14:$C$21,0),MATCH('Output|Models'!$F12,'Input|Rate of change'!$C$14:$O$14,0)))*IF('Calc|Opex forecast'!$E$83="$millions",1000000,IF('Output|Models'!I47="$000",1000,1))/IF($E12="$millions",1000000,IF($E12="$000",1000,1)))</f>
        <v>68.645715632903531</v>
      </c>
      <c r="R12" s="160">
        <f ca="1">IF(R11="",0,'Calc|Opex forecast'!R83*IF('Calc|Opex forecast'!$F$83="nominal",LOOKUP($F12,Nominal_to_Real,'Input|Rate of change'!X$25:X$30),INDEX('Input|Rate of change'!$C$14:$O$21,MATCH('Calc|Opex forecast'!$F$83,'Input|Rate of change'!$C$14:$C$21,0),MATCH('Output|Models'!$F12,'Input|Rate of change'!$C$14:$O$14,0)))*IF('Calc|Opex forecast'!$E$83="$millions",1000000,IF('Output|Models'!J47="$000",1000,1))/IF($E12="$millions",1000000,IF($E12="$000",1000,1)))</f>
        <v>69.506734739215432</v>
      </c>
      <c r="S12" s="160">
        <f ca="1">IF(S11="",0,'Calc|Opex forecast'!S83*IF('Calc|Opex forecast'!$F$83="nominal",LOOKUP($F12,Nominal_to_Real,'Input|Rate of change'!Y$25:Y$30),INDEX('Input|Rate of change'!$C$14:$O$21,MATCH('Calc|Opex forecast'!$F$83,'Input|Rate of change'!$C$14:$C$21,0),MATCH('Output|Models'!$F12,'Input|Rate of change'!$C$14:$O$14,0)))*IF('Calc|Opex forecast'!$E$83="$millions",1000000,IF('Output|Models'!K47="$000",1000,1))/IF($E12="$millions",1000000,IF($E12="$000",1000,1)))</f>
        <v>70.432935103350673</v>
      </c>
      <c r="T12" s="117"/>
      <c r="U12" s="166"/>
    </row>
    <row r="13" spans="1:47">
      <c r="C13" s="117"/>
      <c r="D13" s="34"/>
      <c r="H13" s="32"/>
      <c r="I13" s="32"/>
      <c r="N13" s="151"/>
      <c r="S13" s="137">
        <f ca="1">SUM(O12:S12)</f>
        <v>343.68115052272981</v>
      </c>
    </row>
    <row r="14" spans="1:47">
      <c r="D14" s="34"/>
      <c r="H14" s="32"/>
      <c r="I14" s="32"/>
      <c r="N14" s="151"/>
      <c r="S14" s="23"/>
    </row>
    <row r="15" spans="1:47" s="108" customFormat="1" ht="12.75">
      <c r="A15" s="99"/>
      <c r="B15" s="100" t="s">
        <v>21</v>
      </c>
      <c r="C15" s="99"/>
      <c r="D15" s="99"/>
      <c r="E15" s="99"/>
      <c r="F15" s="101"/>
      <c r="G15" s="101"/>
      <c r="H15" s="101"/>
      <c r="I15" s="101"/>
      <c r="J15" s="102"/>
      <c r="K15" s="103"/>
      <c r="L15" s="102"/>
      <c r="M15" s="103"/>
      <c r="N15" s="102"/>
      <c r="O15" s="102"/>
      <c r="P15" s="102"/>
      <c r="Q15" s="102"/>
      <c r="R15" s="102"/>
      <c r="S15" s="102"/>
      <c r="T15" s="102"/>
      <c r="U15" s="102"/>
      <c r="V15" s="103"/>
      <c r="W15" s="103"/>
    </row>
    <row r="16" spans="1:47" hidden="1"/>
    <row r="17" spans="13:19" hidden="1"/>
    <row r="18" spans="13:19" hidden="1"/>
    <row r="19" spans="13:19" hidden="1"/>
    <row r="20" spans="13:19" hidden="1"/>
    <row r="21" spans="13:19" hidden="1">
      <c r="M21" s="156"/>
      <c r="N21" s="156"/>
      <c r="O21" s="156"/>
      <c r="P21" s="156"/>
      <c r="Q21" s="156"/>
      <c r="R21" s="156"/>
      <c r="S21" s="156"/>
    </row>
    <row r="22" spans="13:19" hidden="1"/>
    <row r="23" spans="13:19" hidden="1"/>
    <row r="24" spans="13:19" hidden="1"/>
    <row r="25" spans="13:19" hidden="1"/>
    <row r="26" spans="13:19" hidden="1"/>
    <row r="27" spans="13:19" hidden="1"/>
    <row r="28" spans="13:19" hidden="1"/>
    <row r="29" spans="13:19" hidden="1"/>
    <row r="30" spans="13:19" hidden="1"/>
    <row r="31" spans="13:19" hidden="1"/>
    <row r="32" spans="13:19" hidden="1"/>
  </sheetData>
  <mergeCells count="2">
    <mergeCell ref="J3:L3"/>
    <mergeCell ref="N3:S3"/>
  </mergeCells>
  <conditionalFormatting sqref="S1">
    <cfRule type="cellIs" dxfId="20" priority="4" operator="equal">
      <formula>"Check"</formula>
    </cfRule>
    <cfRule type="cellIs" dxfId="19" priority="5" operator="equal">
      <formula>"Ok"</formula>
    </cfRule>
  </conditionalFormatting>
  <conditionalFormatting sqref="V1">
    <cfRule type="cellIs" dxfId="18" priority="6" operator="equal">
      <formula>"Check"</formula>
    </cfRule>
    <cfRule type="cellIs" dxfId="17" priority="7" operator="equal">
      <formula>"Ok"</formula>
    </cfRule>
  </conditionalFormatting>
  <conditionalFormatting sqref="J12:S12">
    <cfRule type="cellIs" dxfId="16" priority="3" operator="equal">
      <formula>0</formula>
    </cfRule>
  </conditionalFormatting>
  <dataValidations count="2">
    <dataValidation type="list" allowBlank="1" showInputMessage="1" showErrorMessage="1" sqref="F13:F14">
      <formula1>#REF!</formula1>
    </dataValidation>
    <dataValidation type="list" allowBlank="1" showInputMessage="1" showErrorMessage="1" sqref="F12">
      <formula1>$G$17:$G$23</formula1>
    </dataValidation>
  </dataValidations>
  <hyperlinks>
    <hyperlink ref="J1" location="Index!A1" display="Back to Index"/>
    <hyperlink ref="D12" location="'Calc|Opex forecast'!A1" display="Calc | Opex forecast"/>
    <hyperlink ref="U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'Lookup|Tables'!$G$10:$G$12</xm:f>
          </x14:formula1>
          <xm:sqref>E8</xm:sqref>
        </x14:dataValidation>
        <x14:dataValidation type="list" allowBlank="1" showInputMessage="1" showErrorMessage="1">
          <x14:formula1>
            <xm:f>'Lookup|Tables'!$G$25:$G$42</xm:f>
          </x14:formula1>
          <xm:sqref>F8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theme="1"/>
  </sheetPr>
  <dimension ref="A1:XER51"/>
  <sheetViews>
    <sheetView showGridLines="0" workbookViewId="0">
      <selection activeCell="J1" sqref="J1"/>
    </sheetView>
  </sheetViews>
  <sheetFormatPr defaultColWidth="0" defaultRowHeight="11.25" zeroHeight="1"/>
  <cols>
    <col min="1" max="2" width="1.5" style="8" customWidth="1"/>
    <col min="3" max="3" width="42" style="8" customWidth="1"/>
    <col min="4" max="4" width="17" style="7" customWidth="1"/>
    <col min="5" max="5" width="15.83203125" style="7" customWidth="1"/>
    <col min="6" max="6" width="10.6640625" style="7" customWidth="1"/>
    <col min="7" max="7" width="15" style="16" customWidth="1"/>
    <col min="8" max="9" width="5.33203125" style="8" customWidth="1"/>
    <col min="10" max="23" width="10.83203125" style="8" customWidth="1"/>
    <col min="24" max="311" width="10.5" style="8" hidden="1" customWidth="1"/>
    <col min="312" max="16371" width="10.5" style="8" hidden="1"/>
    <col min="16372" max="16372" width="0" style="8" hidden="1"/>
    <col min="16373" max="16384" width="10.5" style="8" hidden="1"/>
  </cols>
  <sheetData>
    <row r="1" spans="1:47" s="38" customFormat="1" ht="15.75">
      <c r="B1" s="35" t="str">
        <f>Index!$B$1</f>
        <v>AER opex model</v>
      </c>
      <c r="C1" s="35"/>
      <c r="D1" s="35"/>
      <c r="E1" s="35"/>
      <c r="F1" s="36"/>
      <c r="G1" s="36"/>
      <c r="H1" s="36"/>
      <c r="I1" s="36"/>
      <c r="J1" s="37" t="s">
        <v>2</v>
      </c>
      <c r="L1" s="39" t="s">
        <v>3</v>
      </c>
      <c r="M1" s="59" t="s">
        <v>4</v>
      </c>
      <c r="N1" s="11" t="s">
        <v>5</v>
      </c>
      <c r="O1" s="12" t="s">
        <v>6</v>
      </c>
      <c r="R1" s="39"/>
      <c r="S1" s="40"/>
      <c r="U1" s="183" t="s">
        <v>24</v>
      </c>
      <c r="V1" s="40" t="str">
        <f>'Check|List'!$S$1</f>
        <v>Ok</v>
      </c>
    </row>
    <row r="2" spans="1:47" s="38" customFormat="1" ht="12.75">
      <c r="B2" s="53" t="str">
        <f>Index!$C$14</f>
        <v>Lookup | Tables</v>
      </c>
      <c r="C2" s="53"/>
      <c r="D2" s="53"/>
      <c r="E2" s="53"/>
      <c r="F2" s="54"/>
      <c r="G2" s="54"/>
      <c r="H2" s="54"/>
      <c r="I2" s="54"/>
    </row>
    <row r="3" spans="1:47" s="58" customFormat="1" ht="12.75">
      <c r="A3" s="43"/>
      <c r="B3" s="51"/>
      <c r="C3" s="43"/>
      <c r="D3" s="43"/>
      <c r="E3" s="43"/>
      <c r="F3" s="44"/>
      <c r="G3" s="44"/>
      <c r="H3" s="44"/>
      <c r="I3" s="44"/>
      <c r="J3" s="45"/>
      <c r="K3" s="46"/>
      <c r="L3" s="45"/>
      <c r="M3" s="46"/>
      <c r="N3" s="45"/>
      <c r="O3" s="45"/>
      <c r="P3" s="45"/>
      <c r="Q3" s="45"/>
      <c r="R3" s="45"/>
      <c r="S3" s="45"/>
      <c r="T3" s="45"/>
      <c r="U3" s="45"/>
      <c r="V3" s="46"/>
      <c r="W3" s="46"/>
      <c r="X3" s="55"/>
      <c r="Y3" s="55"/>
      <c r="Z3" s="55"/>
      <c r="AA3" s="55"/>
      <c r="AB3" s="55"/>
      <c r="AC3" s="56"/>
      <c r="AD3" s="56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</row>
    <row r="4" spans="1:47" s="6" customFormat="1" ht="3" customHeight="1">
      <c r="D4" s="20"/>
      <c r="E4" s="20"/>
    </row>
    <row r="5" spans="1:47" s="6" customFormat="1" ht="9" customHeight="1">
      <c r="D5" s="20"/>
      <c r="E5" s="20"/>
    </row>
    <row r="6" spans="1:47" s="6" customFormat="1" ht="3" customHeight="1">
      <c r="D6" s="20"/>
      <c r="E6" s="20"/>
    </row>
    <row r="7" spans="1:47" customFormat="1" ht="12.75">
      <c r="A7" s="43"/>
      <c r="B7" s="51" t="s">
        <v>19</v>
      </c>
      <c r="C7" s="43"/>
      <c r="D7" s="43"/>
      <c r="E7" s="43"/>
      <c r="F7" s="44"/>
      <c r="G7" s="44"/>
      <c r="H7" s="44"/>
      <c r="I7" s="44"/>
      <c r="J7" s="45"/>
      <c r="K7" s="46"/>
      <c r="L7" s="45"/>
      <c r="M7" s="46"/>
      <c r="N7" s="45"/>
      <c r="O7" s="45"/>
      <c r="P7" s="45"/>
      <c r="Q7" s="45"/>
      <c r="R7" s="45"/>
      <c r="S7" s="45"/>
      <c r="T7" s="45"/>
      <c r="U7" s="45"/>
      <c r="V7" s="46"/>
      <c r="W7" s="46"/>
      <c r="X7" s="47"/>
      <c r="Y7" s="47"/>
      <c r="Z7" s="47"/>
      <c r="AA7" s="47"/>
      <c r="AB7" s="48"/>
      <c r="AC7" s="49"/>
      <c r="AD7" s="49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1:47"/>
    <row r="9" spans="1:47">
      <c r="C9" s="13" t="str">
        <f>B7</f>
        <v>Unit Denominations</v>
      </c>
      <c r="D9" s="21" t="s">
        <v>7</v>
      </c>
      <c r="E9" s="21"/>
      <c r="F9" s="14"/>
      <c r="G9" s="14" t="s">
        <v>9</v>
      </c>
      <c r="H9" s="14"/>
    </row>
    <row r="10" spans="1:47">
      <c r="C10" s="15" t="s">
        <v>10</v>
      </c>
      <c r="D10" s="16" t="s">
        <v>79</v>
      </c>
      <c r="E10" s="16"/>
      <c r="F10" s="16"/>
      <c r="G10" s="52" t="s">
        <v>12</v>
      </c>
    </row>
    <row r="11" spans="1:47">
      <c r="C11" s="15" t="s">
        <v>13</v>
      </c>
      <c r="D11" s="16" t="s">
        <v>79</v>
      </c>
      <c r="E11" s="16"/>
      <c r="F11" s="16"/>
      <c r="G11" s="52" t="s">
        <v>20</v>
      </c>
    </row>
    <row r="12" spans="1:47">
      <c r="C12" s="15" t="s">
        <v>14</v>
      </c>
      <c r="D12" s="16" t="s">
        <v>79</v>
      </c>
      <c r="E12" s="16"/>
      <c r="F12" s="16"/>
      <c r="G12" s="52" t="s">
        <v>15</v>
      </c>
      <c r="T12" s="17"/>
    </row>
    <row r="13" spans="1:47">
      <c r="F13" s="8"/>
      <c r="G13" s="8"/>
    </row>
    <row r="14" spans="1:47">
      <c r="C14" s="15" t="s">
        <v>16</v>
      </c>
      <c r="D14" s="16" t="s">
        <v>79</v>
      </c>
      <c r="E14" s="16"/>
      <c r="F14" s="16"/>
      <c r="G14" s="52" t="s">
        <v>31</v>
      </c>
    </row>
    <row r="15" spans="1:47">
      <c r="C15" s="15" t="s">
        <v>8</v>
      </c>
      <c r="D15" s="16" t="s">
        <v>79</v>
      </c>
      <c r="E15" s="16"/>
      <c r="F15" s="16"/>
      <c r="G15" s="52" t="s">
        <v>11</v>
      </c>
    </row>
    <row r="16" spans="1:47">
      <c r="C16" s="15" t="s">
        <v>17</v>
      </c>
      <c r="D16" s="16" t="s">
        <v>79</v>
      </c>
      <c r="E16" s="16"/>
      <c r="F16" s="16"/>
      <c r="G16" s="52" t="s">
        <v>18</v>
      </c>
    </row>
    <row r="17" spans="1:47">
      <c r="C17" s="15" t="s">
        <v>37</v>
      </c>
      <c r="D17" s="16" t="s">
        <v>79</v>
      </c>
      <c r="E17" s="16"/>
      <c r="F17" s="16"/>
      <c r="G17" s="52" t="s">
        <v>38</v>
      </c>
    </row>
    <row r="18" spans="1:47">
      <c r="C18" s="15"/>
      <c r="D18" s="16"/>
      <c r="E18" s="16"/>
      <c r="F18" s="16"/>
      <c r="G18" s="8"/>
    </row>
    <row r="19" spans="1:47">
      <c r="C19" s="15" t="s">
        <v>23</v>
      </c>
      <c r="D19" s="16" t="s">
        <v>79</v>
      </c>
      <c r="E19" s="16"/>
      <c r="F19" s="16"/>
      <c r="G19" s="52" t="s">
        <v>23</v>
      </c>
    </row>
    <row r="20" spans="1:47">
      <c r="C20" s="15" t="s">
        <v>84</v>
      </c>
      <c r="D20" s="16" t="s">
        <v>79</v>
      </c>
      <c r="E20" s="16"/>
      <c r="F20" s="16"/>
      <c r="G20" s="52" t="s">
        <v>84</v>
      </c>
    </row>
    <row r="21" spans="1:47">
      <c r="C21" s="15"/>
      <c r="D21" s="16"/>
      <c r="E21" s="16"/>
      <c r="F21" s="16"/>
      <c r="G21" s="8"/>
    </row>
    <row r="22" spans="1:47" customFormat="1" ht="12.75">
      <c r="A22" s="43"/>
      <c r="B22" s="51" t="s">
        <v>80</v>
      </c>
      <c r="C22" s="43"/>
      <c r="D22" s="43"/>
      <c r="E22" s="43"/>
      <c r="F22" s="44"/>
      <c r="G22" s="44"/>
      <c r="H22" s="44"/>
      <c r="I22" s="44"/>
      <c r="J22" s="45"/>
      <c r="K22" s="46"/>
      <c r="L22" s="45"/>
      <c r="M22" s="46"/>
      <c r="N22" s="45"/>
      <c r="O22" s="45"/>
      <c r="P22" s="45"/>
      <c r="Q22" s="45"/>
      <c r="R22" s="45"/>
      <c r="S22" s="45"/>
      <c r="T22" s="45"/>
      <c r="U22" s="45"/>
      <c r="V22" s="46"/>
      <c r="W22" s="46"/>
      <c r="X22" s="47"/>
      <c r="Y22" s="47"/>
      <c r="Z22" s="47"/>
      <c r="AA22" s="47"/>
      <c r="AB22" s="48"/>
      <c r="AC22" s="49"/>
      <c r="AD22" s="49"/>
      <c r="AE22" s="50"/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50"/>
      <c r="AT22" s="50"/>
      <c r="AU22" s="50"/>
    </row>
    <row r="23" spans="1:47"/>
    <row r="24" spans="1:47">
      <c r="C24" s="13" t="str">
        <f>B22</f>
        <v>Years</v>
      </c>
      <c r="D24" s="21" t="s">
        <v>7</v>
      </c>
      <c r="E24" s="21"/>
      <c r="F24" s="14"/>
      <c r="G24" s="14" t="s">
        <v>9</v>
      </c>
      <c r="H24" s="14"/>
    </row>
    <row r="25" spans="1:47">
      <c r="C25" s="15" t="s">
        <v>115</v>
      </c>
      <c r="D25" s="16" t="s">
        <v>79</v>
      </c>
      <c r="E25" s="16"/>
      <c r="F25" s="16"/>
      <c r="G25" s="52" t="s">
        <v>115</v>
      </c>
      <c r="H25" s="14"/>
    </row>
    <row r="26" spans="1:47">
      <c r="C26" s="171">
        <v>2007</v>
      </c>
      <c r="D26" s="16" t="s">
        <v>79</v>
      </c>
      <c r="E26" s="16"/>
      <c r="F26" s="16"/>
      <c r="G26" s="170">
        <v>2007</v>
      </c>
      <c r="H26" s="14"/>
    </row>
    <row r="27" spans="1:47">
      <c r="C27" s="171">
        <v>2008</v>
      </c>
      <c r="D27" s="16" t="s">
        <v>79</v>
      </c>
      <c r="E27" s="16"/>
      <c r="F27" s="16"/>
      <c r="G27" s="170">
        <v>2008</v>
      </c>
      <c r="H27" s="14"/>
    </row>
    <row r="28" spans="1:47">
      <c r="C28" s="171">
        <v>2009</v>
      </c>
      <c r="D28" s="16" t="s">
        <v>79</v>
      </c>
      <c r="E28" s="16"/>
      <c r="F28" s="16"/>
      <c r="G28" s="170">
        <v>2009</v>
      </c>
    </row>
    <row r="29" spans="1:47">
      <c r="C29" s="171">
        <v>2010</v>
      </c>
      <c r="D29" s="16" t="s">
        <v>79</v>
      </c>
      <c r="E29" s="16"/>
      <c r="F29" s="16"/>
      <c r="G29" s="170">
        <v>2010</v>
      </c>
    </row>
    <row r="30" spans="1:47">
      <c r="C30" s="171">
        <v>2011</v>
      </c>
      <c r="D30" s="16" t="s">
        <v>79</v>
      </c>
      <c r="E30" s="16"/>
      <c r="F30" s="16"/>
      <c r="G30" s="170">
        <v>2011</v>
      </c>
      <c r="T30" s="17"/>
    </row>
    <row r="31" spans="1:47">
      <c r="C31" s="171">
        <v>2012</v>
      </c>
      <c r="D31" s="16" t="s">
        <v>79</v>
      </c>
      <c r="E31" s="16"/>
      <c r="F31" s="16"/>
      <c r="G31" s="170">
        <v>2012</v>
      </c>
      <c r="T31" s="17"/>
    </row>
    <row r="32" spans="1:47">
      <c r="C32" s="171">
        <v>2013</v>
      </c>
      <c r="D32" s="16" t="s">
        <v>79</v>
      </c>
      <c r="E32" s="16"/>
      <c r="F32" s="16"/>
      <c r="G32" s="170">
        <v>2013</v>
      </c>
      <c r="T32" s="17"/>
    </row>
    <row r="33" spans="1:47">
      <c r="C33" s="171">
        <v>2014</v>
      </c>
      <c r="D33" s="16" t="s">
        <v>79</v>
      </c>
      <c r="E33" s="16"/>
      <c r="F33" s="16"/>
      <c r="G33" s="170">
        <v>2014</v>
      </c>
      <c r="T33" s="17"/>
    </row>
    <row r="34" spans="1:47">
      <c r="C34" s="171">
        <v>2015</v>
      </c>
      <c r="D34" s="16" t="s">
        <v>79</v>
      </c>
      <c r="E34" s="16"/>
      <c r="F34" s="16"/>
      <c r="G34" s="170">
        <v>2015</v>
      </c>
      <c r="T34" s="17"/>
    </row>
    <row r="35" spans="1:47">
      <c r="C35" s="171">
        <v>2016</v>
      </c>
      <c r="D35" s="16" t="s">
        <v>79</v>
      </c>
      <c r="E35" s="16"/>
      <c r="F35" s="16"/>
      <c r="G35" s="170">
        <v>2016</v>
      </c>
      <c r="T35" s="17"/>
    </row>
    <row r="36" spans="1:47">
      <c r="C36" s="171">
        <v>2017</v>
      </c>
      <c r="D36" s="16" t="s">
        <v>79</v>
      </c>
      <c r="E36" s="16"/>
      <c r="F36" s="16"/>
      <c r="G36" s="170">
        <v>2017</v>
      </c>
      <c r="T36" s="17"/>
    </row>
    <row r="37" spans="1:47">
      <c r="C37" s="171">
        <v>2018</v>
      </c>
      <c r="D37" s="16" t="s">
        <v>79</v>
      </c>
      <c r="E37" s="16"/>
      <c r="F37" s="16"/>
      <c r="G37" s="170">
        <v>2018</v>
      </c>
      <c r="T37" s="17"/>
    </row>
    <row r="38" spans="1:47">
      <c r="C38" s="171">
        <v>2019</v>
      </c>
      <c r="D38" s="16" t="s">
        <v>79</v>
      </c>
      <c r="E38" s="16"/>
      <c r="F38" s="16"/>
      <c r="G38" s="170">
        <v>2019</v>
      </c>
      <c r="T38" s="17"/>
    </row>
    <row r="39" spans="1:47">
      <c r="C39" s="171">
        <v>2020</v>
      </c>
      <c r="D39" s="16" t="s">
        <v>79</v>
      </c>
      <c r="E39" s="16"/>
      <c r="F39" s="16"/>
      <c r="G39" s="170">
        <v>2020</v>
      </c>
      <c r="T39" s="17"/>
    </row>
    <row r="40" spans="1:47">
      <c r="C40" s="171">
        <v>2021</v>
      </c>
      <c r="D40" s="16" t="s">
        <v>79</v>
      </c>
      <c r="E40" s="16"/>
      <c r="F40" s="16"/>
      <c r="G40" s="170">
        <v>2021</v>
      </c>
      <c r="T40" s="17"/>
    </row>
    <row r="41" spans="1:47">
      <c r="C41" s="171">
        <v>2022</v>
      </c>
      <c r="D41" s="16" t="s">
        <v>79</v>
      </c>
      <c r="E41" s="16"/>
      <c r="F41" s="16"/>
      <c r="G41" s="170">
        <v>2022</v>
      </c>
      <c r="T41" s="17"/>
    </row>
    <row r="42" spans="1:47">
      <c r="C42" s="171">
        <v>2023</v>
      </c>
      <c r="D42" s="16" t="s">
        <v>79</v>
      </c>
      <c r="E42" s="16"/>
      <c r="F42" s="16"/>
      <c r="G42" s="170">
        <v>2023</v>
      </c>
      <c r="T42" s="17"/>
    </row>
    <row r="43" spans="1:47"/>
    <row r="44" spans="1:47" customFormat="1" ht="12.75">
      <c r="A44" s="43"/>
      <c r="B44" s="51" t="s">
        <v>21</v>
      </c>
      <c r="C44" s="43"/>
      <c r="D44" s="43"/>
      <c r="E44" s="43"/>
      <c r="F44" s="44"/>
      <c r="G44" s="44"/>
      <c r="H44" s="44"/>
      <c r="I44" s="44"/>
      <c r="J44" s="45"/>
      <c r="K44" s="46"/>
      <c r="L44" s="45"/>
      <c r="M44" s="46"/>
      <c r="N44" s="45"/>
      <c r="O44" s="45"/>
      <c r="P44" s="45"/>
      <c r="Q44" s="45"/>
      <c r="R44" s="45"/>
      <c r="S44" s="45"/>
      <c r="T44" s="45"/>
      <c r="U44" s="45"/>
      <c r="V44" s="46"/>
      <c r="W44" s="46"/>
      <c r="X44" s="47"/>
      <c r="Y44" s="47"/>
      <c r="Z44" s="47"/>
      <c r="AA44" s="47"/>
      <c r="AB44" s="48"/>
      <c r="AC44" s="49"/>
      <c r="AD44" s="49"/>
      <c r="AE44" s="50"/>
      <c r="AF44" s="50"/>
      <c r="AG44" s="50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</row>
    <row r="45" spans="1:47" hidden="1"/>
    <row r="46" spans="1:47" hidden="1"/>
    <row r="47" spans="1:47" hidden="1"/>
    <row r="48" spans="1:47" hidden="1"/>
    <row r="49" hidden="1"/>
    <row r="50" hidden="1"/>
    <row r="51" hidden="1"/>
  </sheetData>
  <conditionalFormatting sqref="P14:Q21">
    <cfRule type="expression" dxfId="15" priority="54" stopIfTrue="1">
      <formula>#REF!="Actual"</formula>
    </cfRule>
  </conditionalFormatting>
  <conditionalFormatting sqref="P14:P21">
    <cfRule type="expression" dxfId="14" priority="53" stopIfTrue="1">
      <formula>#REF!="Actual"</formula>
    </cfRule>
  </conditionalFormatting>
  <conditionalFormatting sqref="P43">
    <cfRule type="expression" dxfId="13" priority="51" stopIfTrue="1">
      <formula>#REF!="Actual"</formula>
    </cfRule>
  </conditionalFormatting>
  <conditionalFormatting sqref="Q43">
    <cfRule type="expression" dxfId="12" priority="48" stopIfTrue="1">
      <formula>#REF!="Actual"</formula>
    </cfRule>
  </conditionalFormatting>
  <conditionalFormatting sqref="V1">
    <cfRule type="cellIs" dxfId="11" priority="3" operator="equal">
      <formula>"Check"</formula>
    </cfRule>
    <cfRule type="cellIs" dxfId="10" priority="4" operator="equal">
      <formula>"Ok"</formula>
    </cfRule>
  </conditionalFormatting>
  <conditionalFormatting sqref="S1">
    <cfRule type="cellIs" dxfId="9" priority="1" operator="equal">
      <formula>"Check"</formula>
    </cfRule>
    <cfRule type="cellIs" dxfId="8" priority="2" operator="equal">
      <formula>"Ok"</formula>
    </cfRule>
  </conditionalFormatting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ignoredErrors>
    <ignoredError sqref="G11" numberStoredAsText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theme="1"/>
  </sheetPr>
  <dimension ref="A1:AU23"/>
  <sheetViews>
    <sheetView showGridLines="0" workbookViewId="0">
      <selection activeCell="J1" sqref="J1"/>
    </sheetView>
  </sheetViews>
  <sheetFormatPr defaultColWidth="0" defaultRowHeight="11.25" zeroHeight="1"/>
  <cols>
    <col min="1" max="2" width="1.5" style="8" customWidth="1"/>
    <col min="3" max="3" width="42" style="8" customWidth="1"/>
    <col min="4" max="4" width="20.33203125" style="7" bestFit="1" customWidth="1"/>
    <col min="5" max="5" width="15.83203125" style="7" customWidth="1"/>
    <col min="6" max="6" width="10.6640625" style="7" customWidth="1"/>
    <col min="7" max="7" width="15" style="16" customWidth="1"/>
    <col min="8" max="9" width="5.33203125" style="8" customWidth="1"/>
    <col min="10" max="20" width="10.83203125" style="8" customWidth="1"/>
    <col min="21" max="23" width="10.83203125" style="8" hidden="1" customWidth="1"/>
    <col min="24" max="38" width="10.5" style="8" hidden="1" customWidth="1"/>
    <col min="39" max="16384" width="10.5" style="8" hidden="1"/>
  </cols>
  <sheetData>
    <row r="1" spans="1:47" s="38" customFormat="1" ht="15.75">
      <c r="B1" s="35" t="str">
        <f>Index!$B$1</f>
        <v>AER opex model</v>
      </c>
      <c r="C1" s="35"/>
      <c r="D1" s="35"/>
      <c r="E1" s="35"/>
      <c r="F1" s="36"/>
      <c r="G1" s="36"/>
      <c r="H1" s="36"/>
      <c r="I1" s="36"/>
      <c r="J1" s="37" t="s">
        <v>2</v>
      </c>
      <c r="L1" s="39" t="s">
        <v>3</v>
      </c>
      <c r="M1" s="59" t="s">
        <v>4</v>
      </c>
      <c r="N1" s="11" t="s">
        <v>5</v>
      </c>
      <c r="O1" s="12" t="s">
        <v>6</v>
      </c>
      <c r="R1" s="183" t="s">
        <v>24</v>
      </c>
      <c r="S1" s="40" t="str">
        <f>IF(COUNTIF(G10:G15,"Check")=0,"Ok","Check")</f>
        <v>Ok</v>
      </c>
      <c r="U1" s="39"/>
      <c r="V1" s="40"/>
    </row>
    <row r="2" spans="1:47" s="38" customFormat="1" ht="12.75">
      <c r="B2" s="53" t="str">
        <f>Index!$C$15</f>
        <v>Check | List</v>
      </c>
      <c r="C2" s="53"/>
      <c r="D2" s="53"/>
      <c r="E2" s="53"/>
      <c r="F2" s="54"/>
      <c r="G2" s="54"/>
      <c r="H2" s="54"/>
      <c r="I2" s="54"/>
    </row>
    <row r="3" spans="1:47" s="58" customFormat="1" ht="12.75">
      <c r="A3" s="43"/>
      <c r="B3" s="51"/>
      <c r="C3" s="43"/>
      <c r="D3" s="43"/>
      <c r="E3" s="43"/>
      <c r="F3" s="44"/>
      <c r="G3" s="44"/>
      <c r="H3" s="44"/>
      <c r="I3" s="44"/>
      <c r="J3" s="45"/>
      <c r="K3" s="46"/>
      <c r="L3" s="45"/>
      <c r="M3" s="46"/>
      <c r="N3" s="45"/>
      <c r="O3" s="45"/>
      <c r="P3" s="45"/>
      <c r="Q3" s="45"/>
      <c r="R3" s="45"/>
      <c r="S3" s="45"/>
      <c r="T3" s="45"/>
      <c r="U3" s="45"/>
      <c r="V3" s="46"/>
      <c r="W3" s="46"/>
      <c r="X3" s="55"/>
      <c r="Y3" s="55"/>
      <c r="Z3" s="55"/>
      <c r="AA3" s="55"/>
      <c r="AB3" s="55"/>
      <c r="AC3" s="56"/>
      <c r="AD3" s="56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</row>
    <row r="4" spans="1:47" s="6" customFormat="1" ht="3" customHeight="1"/>
    <row r="5" spans="1:47" s="6" customFormat="1" ht="9" customHeight="1"/>
    <row r="6" spans="1:47" s="6" customFormat="1" ht="3" customHeight="1"/>
    <row r="7" spans="1:47" customFormat="1" ht="12.75">
      <c r="A7" s="43"/>
      <c r="B7" s="51" t="s">
        <v>26</v>
      </c>
      <c r="C7" s="43"/>
      <c r="D7" s="43"/>
      <c r="E7" s="43"/>
      <c r="F7" s="44"/>
      <c r="G7" s="44"/>
      <c r="H7" s="44"/>
      <c r="I7" s="44"/>
      <c r="J7" s="45"/>
      <c r="K7" s="46"/>
      <c r="L7" s="45"/>
      <c r="M7" s="46"/>
      <c r="N7" s="45"/>
      <c r="O7" s="45"/>
      <c r="P7" s="45"/>
      <c r="Q7" s="45"/>
      <c r="R7" s="45"/>
      <c r="S7" s="45"/>
      <c r="T7" s="45"/>
      <c r="U7" s="45"/>
      <c r="V7" s="46"/>
      <c r="W7" s="46"/>
      <c r="X7" s="47"/>
      <c r="Y7" s="47"/>
      <c r="Z7" s="47"/>
      <c r="AA7" s="47"/>
      <c r="AB7" s="48"/>
      <c r="AC7" s="49"/>
      <c r="AD7" s="49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  <c r="AQ7" s="50"/>
      <c r="AR7" s="50"/>
      <c r="AS7" s="50"/>
      <c r="AT7" s="50"/>
      <c r="AU7" s="50"/>
    </row>
    <row r="8" spans="1:47"/>
    <row r="9" spans="1:47">
      <c r="C9" s="13" t="s">
        <v>27</v>
      </c>
      <c r="D9" s="14" t="s">
        <v>7</v>
      </c>
      <c r="E9" s="14" t="s">
        <v>8</v>
      </c>
      <c r="F9" s="14"/>
      <c r="G9" s="14" t="s">
        <v>29</v>
      </c>
    </row>
    <row r="10" spans="1:47">
      <c r="C10" s="15" t="str">
        <f>Index!C7</f>
        <v>Input | General</v>
      </c>
      <c r="D10" s="34" t="str">
        <f>C10</f>
        <v>Input | General</v>
      </c>
      <c r="E10" s="16" t="s">
        <v>28</v>
      </c>
      <c r="F10" s="16"/>
      <c r="G10" s="18" t="str">
        <f>'Input|General'!S1</f>
        <v>OK</v>
      </c>
      <c r="T10" s="17"/>
    </row>
    <row r="11" spans="1:47">
      <c r="C11" s="15" t="str">
        <f>Index!C9</f>
        <v>Input | Reported opex</v>
      </c>
      <c r="D11" s="34" t="str">
        <f t="shared" ref="D11:D15" si="0">C11</f>
        <v>Input | Reported opex</v>
      </c>
      <c r="E11" s="16" t="s">
        <v>28</v>
      </c>
      <c r="G11" s="18" t="str">
        <f>'Input|Reported opex'!S1</f>
        <v>OK</v>
      </c>
      <c r="H11" s="16"/>
      <c r="T11" s="17"/>
    </row>
    <row r="12" spans="1:47">
      <c r="C12" s="15" t="str">
        <f>Index!C10</f>
        <v>Input | Rate of change</v>
      </c>
      <c r="D12" s="34" t="str">
        <f t="shared" si="0"/>
        <v>Input | Rate of change</v>
      </c>
      <c r="E12" s="16" t="s">
        <v>28</v>
      </c>
      <c r="F12" s="16"/>
      <c r="G12" s="18" t="str">
        <f>'Input|Rate of change'!T1</f>
        <v>Ok</v>
      </c>
      <c r="H12" s="16"/>
      <c r="T12" s="17"/>
    </row>
    <row r="13" spans="1:47">
      <c r="C13" s="15" t="str">
        <f>Index!C11</f>
        <v>Input | Step changes</v>
      </c>
      <c r="D13" s="34" t="str">
        <f t="shared" si="0"/>
        <v>Input | Step changes</v>
      </c>
      <c r="E13" s="16" t="s">
        <v>28</v>
      </c>
      <c r="F13" s="16"/>
      <c r="G13" s="18" t="str">
        <f>'Input|Step changes'!S1</f>
        <v>OK</v>
      </c>
      <c r="H13" s="16"/>
      <c r="T13" s="17"/>
    </row>
    <row r="14" spans="1:47">
      <c r="C14" s="15" t="str">
        <f>Index!C12</f>
        <v>Calc | Opex Forecast</v>
      </c>
      <c r="D14" s="34" t="str">
        <f t="shared" si="0"/>
        <v>Calc | Opex Forecast</v>
      </c>
      <c r="E14" s="16" t="s">
        <v>28</v>
      </c>
      <c r="F14" s="16"/>
      <c r="G14" s="18" t="str">
        <f>'Calc|Opex forecast'!S1</f>
        <v>n/a</v>
      </c>
      <c r="H14" s="16"/>
      <c r="T14" s="17"/>
    </row>
    <row r="15" spans="1:47">
      <c r="C15" s="15" t="str">
        <f>Index!C13</f>
        <v>Output | Models</v>
      </c>
      <c r="D15" s="34" t="str">
        <f t="shared" si="0"/>
        <v>Output | Models</v>
      </c>
      <c r="E15" s="16" t="s">
        <v>28</v>
      </c>
      <c r="F15" s="16"/>
      <c r="G15" s="18" t="str">
        <f>'Output|Models'!S1</f>
        <v>OK</v>
      </c>
      <c r="H15" s="16"/>
      <c r="T15" s="17"/>
    </row>
    <row r="16" spans="1:47">
      <c r="C16" s="15"/>
    </row>
    <row r="17" spans="1:47" customFormat="1" ht="12.75">
      <c r="A17" s="43"/>
      <c r="B17" s="51" t="s">
        <v>21</v>
      </c>
      <c r="C17" s="43"/>
      <c r="D17" s="43"/>
      <c r="E17" s="43"/>
      <c r="F17" s="44"/>
      <c r="G17" s="44"/>
      <c r="H17" s="44"/>
      <c r="I17" s="44"/>
      <c r="J17" s="45"/>
      <c r="K17" s="46"/>
      <c r="L17" s="45"/>
      <c r="M17" s="46"/>
      <c r="N17" s="45"/>
      <c r="O17" s="45"/>
      <c r="P17" s="45"/>
      <c r="Q17" s="45"/>
      <c r="R17" s="45"/>
      <c r="S17" s="45"/>
      <c r="T17" s="45"/>
      <c r="U17" s="45"/>
      <c r="V17" s="46"/>
      <c r="W17" s="46"/>
      <c r="X17" s="47"/>
      <c r="Y17" s="47"/>
      <c r="Z17" s="47"/>
      <c r="AA17" s="47"/>
      <c r="AB17" s="48"/>
      <c r="AC17" s="49"/>
      <c r="AD17" s="49"/>
      <c r="AE17" s="50"/>
      <c r="AF17" s="50"/>
      <c r="AG17" s="50"/>
      <c r="AH17" s="50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50"/>
      <c r="AT17" s="50"/>
      <c r="AU17" s="50"/>
    </row>
    <row r="18" spans="1:47" hidden="1">
      <c r="C18" s="15"/>
    </row>
    <row r="19" spans="1:47" hidden="1">
      <c r="C19" s="15"/>
    </row>
    <row r="20" spans="1:47" hidden="1">
      <c r="C20" s="15"/>
    </row>
    <row r="21" spans="1:47" hidden="1">
      <c r="C21" s="15"/>
    </row>
    <row r="22" spans="1:47" hidden="1"/>
    <row r="23" spans="1:47" hidden="1"/>
  </sheetData>
  <conditionalFormatting sqref="G10">
    <cfRule type="cellIs" dxfId="7" priority="13" operator="equal">
      <formula>"Check"</formula>
    </cfRule>
    <cfRule type="cellIs" dxfId="6" priority="14" operator="equal">
      <formula>"Ok"</formula>
    </cfRule>
  </conditionalFormatting>
  <conditionalFormatting sqref="G11:G15">
    <cfRule type="cellIs" dxfId="5" priority="5" operator="equal">
      <formula>"Check"</formula>
    </cfRule>
    <cfRule type="cellIs" dxfId="4" priority="6" operator="equal">
      <formula>"Ok"</formula>
    </cfRule>
  </conditionalFormatting>
  <conditionalFormatting sqref="V1">
    <cfRule type="cellIs" dxfId="3" priority="3" operator="equal">
      <formula>"Check"</formula>
    </cfRule>
    <cfRule type="cellIs" dxfId="2" priority="4" operator="equal">
      <formula>"Ok"</formula>
    </cfRule>
  </conditionalFormatting>
  <conditionalFormatting sqref="S1">
    <cfRule type="cellIs" dxfId="1" priority="1" operator="equal">
      <formula>"Check"</formula>
    </cfRule>
    <cfRule type="cellIs" dxfId="0" priority="2" operator="equal">
      <formula>"Ok"</formula>
    </cfRule>
  </conditionalFormatting>
  <hyperlinks>
    <hyperlink ref="J1" location="Index!A1" display="Back to Index"/>
    <hyperlink ref="D10" location="'Input|General'!A1" display="'Input|General'!A1"/>
    <hyperlink ref="D11" location="'Input|Reported opex'!A1" display="'Input|Reported opex'!A1"/>
    <hyperlink ref="D12" location="'Input|Rate of change'!A1" display="'Input|Rate of change'!A1"/>
    <hyperlink ref="D13" location="'Input|Step changes'!A1" display="'Input|Step changes'!A1"/>
    <hyperlink ref="D14" location="'Calc|Opex Forecast'!A1" display="'Calc|Opex Forecast'!A1"/>
    <hyperlink ref="D15" location="'Output|Models'!A1" display="'Output|Models'!A1"/>
    <hyperlink ref="R1" location="'Check|List'!A1" display="Overall Check:"/>
  </hyperlinks>
  <pageMargins left="0.7" right="0.7" top="0.75" bottom="0.75" header="0.3" footer="0.3"/>
  <pageSetup paperSize="9" orientation="portrait" verticalDpi="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9</vt:i4>
      </vt:variant>
    </vt:vector>
  </HeadingPairs>
  <TitlesOfParts>
    <vt:vector size="22" baseType="lpstr">
      <vt:lpstr>Cover</vt:lpstr>
      <vt:lpstr>AGN Changes</vt:lpstr>
      <vt:lpstr>Index</vt:lpstr>
      <vt:lpstr>Input|General</vt:lpstr>
      <vt:lpstr>Input|Inflation</vt:lpstr>
      <vt:lpstr>Input|Reported opex</vt:lpstr>
      <vt:lpstr>Input|Rate of change</vt:lpstr>
      <vt:lpstr>Input|Step changes</vt:lpstr>
      <vt:lpstr>Calc|Opex forecast</vt:lpstr>
      <vt:lpstr>PTRM Input</vt:lpstr>
      <vt:lpstr>Output|Models</vt:lpstr>
      <vt:lpstr>Lookup|Tables</vt:lpstr>
      <vt:lpstr>Check|List</vt:lpstr>
      <vt:lpstr>dollars</vt:lpstr>
      <vt:lpstr>factor</vt:lpstr>
      <vt:lpstr>millions</vt:lpstr>
      <vt:lpstr>Nominal_to_Real</vt:lpstr>
      <vt:lpstr>number</vt:lpstr>
      <vt:lpstr>percent</vt:lpstr>
      <vt:lpstr>Real_to_Nominal</vt:lpstr>
      <vt:lpstr>thousands</vt:lpstr>
      <vt:lpstr>unit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2017-07-03T01:52:37Z</dcterms:created>
  <dcterms:modified xsi:type="dcterms:W3CDTF">2017-08-09T06:31:31Z</dcterms:modified>
  <cp:contentStatus/>
</cp:coreProperties>
</file>