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VTS AA/1. Proposal final/7. Models/"/>
    </mc:Choice>
  </mc:AlternateContent>
  <xr:revisionPtr revIDLastSave="5" documentId="8_{1683BC04-3612-4724-9EEF-D70CDE807FF0}" xr6:coauthVersionLast="46" xr6:coauthVersionMax="47" xr10:uidLastSave="{04DB386A-8401-47CD-9339-55FC951252DF}"/>
  <bookViews>
    <workbookView xWindow="40860" yWindow="-120" windowWidth="20730" windowHeight="11160" firstSheet="1" activeTab="2" xr2:uid="{00000000-000D-0000-FFFF-FFFF00000000}"/>
  </bookViews>
  <sheets>
    <sheet name="Input" sheetId="21" r:id="rId1"/>
    <sheet name="Calc│Forecast" sheetId="20" r:id="rId2"/>
    <sheet name="Outputs│PTRM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1" l="1"/>
  <c r="F14" i="21"/>
  <c r="F15" i="21"/>
  <c r="G13" i="21"/>
  <c r="G14" i="21"/>
  <c r="G15" i="21"/>
  <c r="H13" i="21"/>
  <c r="H14" i="21"/>
  <c r="H15" i="21"/>
  <c r="G29" i="21"/>
  <c r="H29" i="21"/>
  <c r="G30" i="21"/>
  <c r="H30" i="21"/>
  <c r="G31" i="21"/>
  <c r="H31" i="21"/>
  <c r="H17" i="21"/>
  <c r="C47" i="20"/>
  <c r="D47" i="20"/>
  <c r="E47" i="20"/>
  <c r="F47" i="20"/>
  <c r="F29" i="21"/>
  <c r="F30" i="21"/>
  <c r="F31" i="21"/>
  <c r="F33" i="21"/>
  <c r="C13" i="20"/>
  <c r="C19" i="20"/>
  <c r="C25" i="20"/>
  <c r="D25" i="20"/>
  <c r="E25" i="20"/>
  <c r="F25" i="20"/>
  <c r="C102" i="21"/>
  <c r="C103" i="21"/>
  <c r="D103" i="21"/>
  <c r="D78" i="21"/>
  <c r="D79" i="21"/>
  <c r="D86" i="21"/>
  <c r="E103" i="21"/>
  <c r="E78" i="21"/>
  <c r="E79" i="21"/>
  <c r="C104" i="21"/>
  <c r="D104" i="21"/>
  <c r="D107" i="21"/>
  <c r="D109" i="21" s="1"/>
  <c r="D94" i="21" s="1"/>
  <c r="D96" i="21" s="1"/>
  <c r="D95" i="21"/>
  <c r="E104" i="21"/>
  <c r="G47" i="20"/>
  <c r="G25" i="20"/>
  <c r="F103" i="21"/>
  <c r="F78" i="21"/>
  <c r="F79" i="21"/>
  <c r="F104" i="21"/>
  <c r="H47" i="20"/>
  <c r="H25" i="20"/>
  <c r="G103" i="21"/>
  <c r="G106" i="21"/>
  <c r="G108" i="21" s="1"/>
  <c r="G85" i="21" s="1"/>
  <c r="G78" i="21"/>
  <c r="G79" i="21"/>
  <c r="G104" i="21"/>
  <c r="I47" i="20"/>
  <c r="I25" i="20"/>
  <c r="H103" i="21"/>
  <c r="H78" i="21"/>
  <c r="H79" i="21"/>
  <c r="H104" i="21"/>
  <c r="C48" i="20"/>
  <c r="D48" i="20"/>
  <c r="E48" i="20"/>
  <c r="F48" i="20"/>
  <c r="C50" i="20"/>
  <c r="D50" i="20"/>
  <c r="E50" i="20"/>
  <c r="F50" i="20"/>
  <c r="G48" i="20"/>
  <c r="G50" i="20"/>
  <c r="H48" i="20"/>
  <c r="H50" i="20"/>
  <c r="I48" i="20"/>
  <c r="I50" i="20"/>
  <c r="H24" i="22"/>
  <c r="I24" i="22"/>
  <c r="J24" i="22"/>
  <c r="K24" i="22"/>
  <c r="G24" i="22"/>
  <c r="G33" i="21"/>
  <c r="H33" i="21"/>
  <c r="D105" i="21"/>
  <c r="D106" i="21" s="1"/>
  <c r="D108" i="21" s="1"/>
  <c r="D85" i="21" s="1"/>
  <c r="D87" i="21" s="1"/>
  <c r="E105" i="21"/>
  <c r="E106" i="21" s="1"/>
  <c r="E108" i="21" s="1"/>
  <c r="E85" i="21" s="1"/>
  <c r="E66" i="21"/>
  <c r="E71" i="21"/>
  <c r="D68" i="21"/>
  <c r="E68" i="21"/>
  <c r="E73" i="21"/>
  <c r="E74" i="21"/>
  <c r="F29" i="20"/>
  <c r="F105" i="21"/>
  <c r="F107" i="21" s="1"/>
  <c r="F109" i="21" s="1"/>
  <c r="F94" i="21" s="1"/>
  <c r="F66" i="21"/>
  <c r="F71" i="21"/>
  <c r="F68" i="21"/>
  <c r="F73" i="21"/>
  <c r="F74" i="21"/>
  <c r="G29" i="20"/>
  <c r="G105" i="21"/>
  <c r="G107" i="21" s="1"/>
  <c r="G109" i="21" s="1"/>
  <c r="G94" i="21" s="1"/>
  <c r="G66" i="21"/>
  <c r="G71" i="21"/>
  <c r="G68" i="21"/>
  <c r="G73" i="21"/>
  <c r="G74" i="21"/>
  <c r="H29" i="20"/>
  <c r="H105" i="21"/>
  <c r="H107" i="21" s="1"/>
  <c r="H109" i="21" s="1"/>
  <c r="H94" i="21" s="1"/>
  <c r="H66" i="21"/>
  <c r="H71" i="21"/>
  <c r="H68" i="21"/>
  <c r="H73" i="21"/>
  <c r="H74" i="21"/>
  <c r="I29" i="20"/>
  <c r="D73" i="21"/>
  <c r="D74" i="21"/>
  <c r="E29" i="20"/>
  <c r="D80" i="21" a="1"/>
  <c r="D80" i="21"/>
  <c r="E80" i="21" a="1"/>
  <c r="E80" i="21"/>
  <c r="F80" i="21" a="1"/>
  <c r="F80" i="21"/>
  <c r="G80" i="21" a="1"/>
  <c r="G80" i="21"/>
  <c r="H80" i="21" a="1"/>
  <c r="H80" i="21"/>
  <c r="E122" i="21"/>
  <c r="E130" i="21"/>
  <c r="F122" i="21"/>
  <c r="F130" i="21"/>
  <c r="G122" i="21"/>
  <c r="G130" i="21"/>
  <c r="H122" i="21"/>
  <c r="H130" i="21"/>
  <c r="D122" i="21"/>
  <c r="D130" i="21"/>
  <c r="H127" i="21"/>
  <c r="G127" i="21"/>
  <c r="F127" i="21"/>
  <c r="E127" i="21"/>
  <c r="H126" i="21"/>
  <c r="G126" i="21"/>
  <c r="F126" i="21"/>
  <c r="E126" i="21"/>
  <c r="D127" i="21"/>
  <c r="D126" i="21"/>
  <c r="D11" i="21"/>
  <c r="D121" i="21"/>
  <c r="D119" i="21"/>
  <c r="I114" i="21"/>
  <c r="C184" i="21"/>
  <c r="H20" i="21"/>
  <c r="I20" i="21"/>
  <c r="I21" i="21"/>
  <c r="H22" i="21"/>
  <c r="G20" i="21"/>
  <c r="H21" i="21"/>
  <c r="G22" i="21"/>
  <c r="F20" i="21"/>
  <c r="G21" i="21"/>
  <c r="F22" i="21"/>
  <c r="E20" i="21"/>
  <c r="F21" i="21"/>
  <c r="E22" i="21"/>
  <c r="D20" i="21"/>
  <c r="E21" i="21"/>
  <c r="D22" i="21"/>
  <c r="C20" i="21"/>
  <c r="D21" i="21"/>
  <c r="C22" i="21"/>
  <c r="I115" i="21"/>
  <c r="D31" i="20"/>
  <c r="L24" i="22"/>
  <c r="M24" i="22"/>
  <c r="N24" i="22"/>
  <c r="O24" i="22"/>
  <c r="P24" i="22"/>
  <c r="I40" i="20"/>
  <c r="H40" i="20"/>
  <c r="G40" i="20"/>
  <c r="F40" i="20"/>
  <c r="E40" i="20"/>
  <c r="I39" i="20"/>
  <c r="H39" i="20"/>
  <c r="G39" i="20"/>
  <c r="F39" i="20"/>
  <c r="E39" i="20"/>
  <c r="E12" i="22"/>
  <c r="G24" i="21"/>
  <c r="G16" i="21"/>
  <c r="H24" i="21"/>
  <c r="H16" i="21"/>
  <c r="D164" i="21"/>
  <c r="D168" i="21"/>
  <c r="D172" i="21"/>
  <c r="D176" i="21"/>
  <c r="D180" i="21"/>
  <c r="D184" i="21"/>
  <c r="E119" i="21"/>
  <c r="F119" i="21"/>
  <c r="G119" i="21"/>
  <c r="H119" i="21"/>
  <c r="C42" i="20"/>
  <c r="C57" i="21"/>
  <c r="D57" i="21"/>
  <c r="E57" i="21"/>
  <c r="F57" i="21"/>
  <c r="G57" i="21"/>
  <c r="H57" i="21"/>
  <c r="A62" i="21"/>
  <c r="A41" i="20"/>
  <c r="D61" i="21"/>
  <c r="A59" i="21"/>
  <c r="H61" i="21"/>
  <c r="G61" i="21"/>
  <c r="F61" i="21"/>
  <c r="E61" i="21"/>
  <c r="C61" i="21"/>
  <c r="A50" i="21"/>
  <c r="A53" i="21"/>
  <c r="A38" i="20"/>
  <c r="E48" i="21"/>
  <c r="F48" i="21"/>
  <c r="G48" i="21"/>
  <c r="H48" i="21"/>
  <c r="D48" i="21"/>
  <c r="D13" i="21"/>
  <c r="E13" i="21"/>
  <c r="D14" i="21"/>
  <c r="E14" i="21"/>
  <c r="D15" i="21"/>
  <c r="E15" i="21"/>
  <c r="C14" i="21"/>
  <c r="C15" i="21"/>
  <c r="C13" i="21"/>
  <c r="A15" i="21"/>
  <c r="A14" i="21"/>
  <c r="A13" i="21"/>
  <c r="C21" i="21"/>
  <c r="E11" i="21"/>
  <c r="F11" i="21"/>
  <c r="H52" i="21"/>
  <c r="G52" i="21"/>
  <c r="F52" i="21"/>
  <c r="E52" i="21"/>
  <c r="D52" i="21"/>
  <c r="I37" i="21"/>
  <c r="I40" i="21"/>
  <c r="I38" i="21"/>
  <c r="I41" i="21"/>
  <c r="F31" i="20"/>
  <c r="G31" i="20"/>
  <c r="D30" i="20"/>
  <c r="C52" i="21"/>
  <c r="C78" i="21"/>
  <c r="A109" i="21"/>
  <c r="A108" i="21"/>
  <c r="H38" i="21"/>
  <c r="H37" i="21"/>
  <c r="G37" i="21"/>
  <c r="F37" i="21"/>
  <c r="E37" i="21"/>
  <c r="G38" i="21"/>
  <c r="F38" i="21"/>
  <c r="E38" i="21"/>
  <c r="B98" i="21"/>
  <c r="B89" i="21"/>
  <c r="B42" i="21"/>
  <c r="A41" i="21"/>
  <c r="A115" i="21"/>
  <c r="C32" i="20"/>
  <c r="F24" i="21"/>
  <c r="I24" i="21"/>
  <c r="E24" i="21"/>
  <c r="E25" i="21"/>
  <c r="F121" i="21"/>
  <c r="G121" i="21"/>
  <c r="H121" i="21"/>
  <c r="E121" i="21"/>
  <c r="C64" i="21"/>
  <c r="E64" i="21"/>
  <c r="F64" i="21"/>
  <c r="G64" i="21"/>
  <c r="H64" i="21"/>
  <c r="D64" i="21"/>
  <c r="D76" i="21"/>
  <c r="D118" i="21"/>
  <c r="E76" i="21"/>
  <c r="E118" i="21"/>
  <c r="F76" i="21"/>
  <c r="F118" i="21"/>
  <c r="G76" i="21"/>
  <c r="G118" i="21"/>
  <c r="H76" i="21"/>
  <c r="H118" i="21"/>
  <c r="C76" i="21"/>
  <c r="A123" i="21"/>
  <c r="A124" i="21"/>
  <c r="A125" i="21"/>
  <c r="A126" i="21"/>
  <c r="A127" i="21"/>
  <c r="A128" i="21"/>
  <c r="A122" i="21"/>
  <c r="E69" i="21"/>
  <c r="C69" i="21"/>
  <c r="B65" i="21"/>
  <c r="B66" i="21"/>
  <c r="B67" i="21"/>
  <c r="B68" i="21"/>
  <c r="B69" i="21"/>
  <c r="A71" i="21"/>
  <c r="A73" i="21"/>
  <c r="A51" i="20"/>
  <c r="A58" i="20"/>
  <c r="P14" i="22"/>
  <c r="O14" i="22"/>
  <c r="N14" i="22"/>
  <c r="M14" i="22"/>
  <c r="L14" i="22"/>
  <c r="K14" i="22"/>
  <c r="J14" i="22"/>
  <c r="I14" i="22"/>
  <c r="H14" i="22"/>
  <c r="G14" i="22"/>
  <c r="A10" i="22"/>
  <c r="B16" i="20"/>
  <c r="B19" i="20"/>
  <c r="B22" i="20"/>
  <c r="B25" i="20"/>
  <c r="B29" i="20"/>
  <c r="B30" i="20"/>
  <c r="A33" i="21"/>
  <c r="A48" i="20"/>
  <c r="A55" i="20"/>
  <c r="A49" i="20"/>
  <c r="A56" i="20"/>
  <c r="A16" i="21"/>
  <c r="A50" i="20"/>
  <c r="A57" i="20"/>
  <c r="A10" i="21"/>
  <c r="A10" i="20"/>
  <c r="F69" i="21"/>
  <c r="D69" i="21"/>
  <c r="G69" i="21"/>
  <c r="F128" i="21"/>
  <c r="A31" i="21"/>
  <c r="A30" i="21"/>
  <c r="H69" i="21"/>
  <c r="H128" i="21"/>
  <c r="G128" i="21"/>
  <c r="E128" i="21"/>
  <c r="C62" i="21"/>
  <c r="D41" i="20"/>
  <c r="H62" i="21"/>
  <c r="I41" i="20"/>
  <c r="E62" i="21"/>
  <c r="F41" i="20"/>
  <c r="G62" i="21"/>
  <c r="H41" i="20"/>
  <c r="F62" i="21"/>
  <c r="G41" i="20"/>
  <c r="D62" i="21"/>
  <c r="E41" i="20"/>
  <c r="B32" i="20"/>
  <c r="B35" i="20"/>
  <c r="B31" i="20"/>
  <c r="C96" i="21"/>
  <c r="D93" i="21"/>
  <c r="I42" i="21"/>
  <c r="C87" i="21"/>
  <c r="D84" i="21"/>
  <c r="F25" i="21"/>
  <c r="A32" i="21"/>
  <c r="D53" i="21"/>
  <c r="E38" i="20"/>
  <c r="F70" i="21"/>
  <c r="F72" i="21"/>
  <c r="H70" i="21"/>
  <c r="H72" i="21"/>
  <c r="H32" i="21"/>
  <c r="G53" i="21"/>
  <c r="H38" i="20"/>
  <c r="D70" i="21"/>
  <c r="D72" i="21"/>
  <c r="H41" i="21"/>
  <c r="F53" i="21"/>
  <c r="G38" i="20"/>
  <c r="E70" i="21"/>
  <c r="E72" i="21"/>
  <c r="G70" i="21"/>
  <c r="G72" i="21"/>
  <c r="H40" i="21"/>
  <c r="H53" i="21"/>
  <c r="I38" i="20"/>
  <c r="E53" i="21"/>
  <c r="F38" i="20"/>
  <c r="D71" i="21"/>
  <c r="C53" i="21"/>
  <c r="D38" i="20"/>
  <c r="C74" i="21"/>
  <c r="D29" i="20"/>
  <c r="C23" i="21"/>
  <c r="A47" i="20"/>
  <c r="A54" i="20"/>
  <c r="A29" i="21"/>
  <c r="D17" i="21"/>
  <c r="F17" i="21"/>
  <c r="E17" i="21"/>
  <c r="H42" i="20"/>
  <c r="D42" i="20"/>
  <c r="I42" i="20"/>
  <c r="E42" i="20"/>
  <c r="G42" i="20"/>
  <c r="H42" i="21"/>
  <c r="F42" i="20"/>
  <c r="G17" i="21"/>
  <c r="B38" i="20"/>
  <c r="B42" i="20"/>
  <c r="B44" i="20"/>
  <c r="G25" i="21"/>
  <c r="G32" i="21"/>
  <c r="G40" i="21"/>
  <c r="F41" i="21"/>
  <c r="G41" i="21"/>
  <c r="E23" i="21"/>
  <c r="F32" i="21"/>
  <c r="G42" i="21"/>
  <c r="H25" i="21"/>
  <c r="F23" i="21"/>
  <c r="F40" i="21"/>
  <c r="F42" i="21"/>
  <c r="C51" i="20"/>
  <c r="G23" i="21"/>
  <c r="H23" i="21"/>
  <c r="I25" i="21"/>
  <c r="E31" i="21"/>
  <c r="E30" i="21"/>
  <c r="E41" i="21"/>
  <c r="E29" i="21"/>
  <c r="E40" i="21"/>
  <c r="E32" i="21"/>
  <c r="D51" i="20"/>
  <c r="E51" i="20"/>
  <c r="F51" i="20"/>
  <c r="G51" i="20"/>
  <c r="H51" i="20"/>
  <c r="I51" i="20"/>
  <c r="E42" i="21"/>
  <c r="C35" i="20"/>
  <c r="C44" i="20"/>
  <c r="D30" i="21"/>
  <c r="D40" i="21"/>
  <c r="D32" i="21"/>
  <c r="D29" i="21"/>
  <c r="D31" i="21"/>
  <c r="D41" i="21"/>
  <c r="E33" i="21"/>
  <c r="I23" i="21"/>
  <c r="C54" i="20"/>
  <c r="C57" i="20"/>
  <c r="C55" i="20"/>
  <c r="C40" i="21"/>
  <c r="F115" i="21"/>
  <c r="C41" i="21"/>
  <c r="D115" i="21"/>
  <c r="E115" i="21"/>
  <c r="C115" i="21"/>
  <c r="D32" i="20"/>
  <c r="D35" i="20"/>
  <c r="D44" i="20"/>
  <c r="H115" i="21"/>
  <c r="G115" i="21"/>
  <c r="D33" i="21"/>
  <c r="C58" i="20"/>
  <c r="D57" i="20"/>
  <c r="D55" i="20"/>
  <c r="D54" i="20"/>
  <c r="D58" i="20"/>
  <c r="C106" i="21"/>
  <c r="C108" i="21"/>
  <c r="C107" i="21"/>
  <c r="C109" i="21"/>
  <c r="L25" i="22"/>
  <c r="M25" i="22"/>
  <c r="N25" i="22"/>
  <c r="O25" i="22"/>
  <c r="P25" i="22"/>
  <c r="E93" i="21" l="1"/>
  <c r="D98" i="21"/>
  <c r="D99" i="21" s="1"/>
  <c r="D89" i="21"/>
  <c r="D90" i="21" s="1"/>
  <c r="D111" i="21" s="1"/>
  <c r="E30" i="20" s="1"/>
  <c r="E84" i="21"/>
  <c r="E107" i="21"/>
  <c r="E109" i="21" s="1"/>
  <c r="E94" i="21" s="1"/>
  <c r="H106" i="21"/>
  <c r="H108" i="21" s="1"/>
  <c r="H85" i="21" s="1"/>
  <c r="F106" i="21"/>
  <c r="F108" i="21" s="1"/>
  <c r="F85" i="21" s="1"/>
  <c r="E86" i="21" l="1"/>
  <c r="E87" i="21"/>
  <c r="E32" i="20"/>
  <c r="E35" i="20" s="1"/>
  <c r="E44" i="20" s="1"/>
  <c r="G18" i="22"/>
  <c r="E95" i="21"/>
  <c r="E96" i="21"/>
  <c r="E57" i="20" l="1"/>
  <c r="G17" i="22" s="1"/>
  <c r="E54" i="20"/>
  <c r="E56" i="20"/>
  <c r="E55" i="20"/>
  <c r="G16" i="22" s="1"/>
  <c r="E89" i="21"/>
  <c r="E90" i="21" s="1"/>
  <c r="F84" i="21"/>
  <c r="F93" i="21"/>
  <c r="E98" i="21"/>
  <c r="E99" i="21" s="1"/>
  <c r="F95" i="21" l="1"/>
  <c r="F96" i="21" s="1"/>
  <c r="F86" i="21"/>
  <c r="F87" i="21" s="1"/>
  <c r="G15" i="22"/>
  <c r="E58" i="20"/>
  <c r="G26" i="22" s="1"/>
  <c r="E111" i="21"/>
  <c r="F30" i="20" s="1"/>
  <c r="F89" i="21" l="1"/>
  <c r="F90" i="21" s="1"/>
  <c r="G84" i="21"/>
  <c r="G93" i="21"/>
  <c r="F98" i="21"/>
  <c r="F99" i="21" s="1"/>
  <c r="F32" i="20"/>
  <c r="F35" i="20" s="1"/>
  <c r="F44" i="20" s="1"/>
  <c r="H18" i="22"/>
  <c r="G25" i="22"/>
  <c r="G27" i="22" s="1"/>
  <c r="G95" i="21" l="1"/>
  <c r="G96" i="21"/>
  <c r="G86" i="21"/>
  <c r="G87" i="21"/>
  <c r="F55" i="20"/>
  <c r="H16" i="22" s="1"/>
  <c r="F57" i="20"/>
  <c r="H17" i="22" s="1"/>
  <c r="F56" i="20"/>
  <c r="F54" i="20"/>
  <c r="F111" i="21"/>
  <c r="G30" i="20" s="1"/>
  <c r="G98" i="21" l="1"/>
  <c r="G99" i="21" s="1"/>
  <c r="H93" i="21"/>
  <c r="G32" i="20"/>
  <c r="G35" i="20" s="1"/>
  <c r="G44" i="20" s="1"/>
  <c r="I18" i="22"/>
  <c r="H15" i="22"/>
  <c r="F58" i="20"/>
  <c r="G89" i="21"/>
  <c r="G90" i="21" s="1"/>
  <c r="G111" i="21" s="1"/>
  <c r="H30" i="20" s="1"/>
  <c r="H84" i="21"/>
  <c r="H26" i="22" l="1"/>
  <c r="G54" i="20"/>
  <c r="G55" i="20"/>
  <c r="I16" i="22" s="1"/>
  <c r="G56" i="20"/>
  <c r="G57" i="20"/>
  <c r="I17" i="22" s="1"/>
  <c r="H95" i="21"/>
  <c r="H96" i="21" s="1"/>
  <c r="H98" i="21" s="1"/>
  <c r="H99" i="21" s="1"/>
  <c r="H86" i="21"/>
  <c r="H87" i="21" s="1"/>
  <c r="H89" i="21" s="1"/>
  <c r="H90" i="21" s="1"/>
  <c r="H111" i="21" s="1"/>
  <c r="I30" i="20" s="1"/>
  <c r="J18" i="22"/>
  <c r="H32" i="20"/>
  <c r="H35" i="20" s="1"/>
  <c r="H44" i="20" s="1"/>
  <c r="H25" i="22"/>
  <c r="H27" i="22" s="1"/>
  <c r="I32" i="20" l="1"/>
  <c r="I35" i="20" s="1"/>
  <c r="I44" i="20" s="1"/>
  <c r="K18" i="22"/>
  <c r="H57" i="20"/>
  <c r="J17" i="22" s="1"/>
  <c r="H56" i="20"/>
  <c r="H54" i="20"/>
  <c r="H55" i="20"/>
  <c r="J16" i="22" s="1"/>
  <c r="G58" i="20"/>
  <c r="I15" i="22"/>
  <c r="I26" i="22" l="1"/>
  <c r="I25" i="22"/>
  <c r="I27" i="22" s="1"/>
  <c r="J15" i="22"/>
  <c r="H58" i="20"/>
  <c r="I54" i="20"/>
  <c r="I55" i="20"/>
  <c r="K16" i="22" s="1"/>
  <c r="I56" i="20"/>
  <c r="I57" i="20"/>
  <c r="K17" i="22" s="1"/>
  <c r="I58" i="20" l="1"/>
  <c r="K15" i="22"/>
  <c r="J25" i="22"/>
  <c r="J27" i="22" s="1"/>
  <c r="J26" i="22"/>
  <c r="K25" i="22" l="1"/>
  <c r="K27" i="22" s="1"/>
  <c r="K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Young, Scott</author>
    <author>ABS</author>
  </authors>
  <commentList>
    <comment ref="E66" authorId="0" shapeId="0" xr:uid="{1229B5F7-BE6F-4EC0-8264-17342D9DC9D5}">
      <text>
        <r>
          <rPr>
            <b/>
            <sz val="9"/>
            <color indexed="81"/>
            <rFont val="Tahoma"/>
            <family val="2"/>
          </rPr>
          <t>Young, Scott:</t>
        </r>
        <r>
          <rPr>
            <sz val="9"/>
            <color indexed="81"/>
            <rFont val="Tahoma"/>
            <family val="2"/>
          </rPr>
          <t xml:space="preserve">
Stonehaven
</t>
        </r>
      </text>
    </comment>
    <comment ref="F66" authorId="0" shapeId="0" xr:uid="{8C7ADF8C-67DA-4B7B-8BAD-86AEB7868B41}">
      <text>
        <r>
          <rPr>
            <b/>
            <sz val="9"/>
            <color indexed="81"/>
            <rFont val="Tahoma"/>
            <family val="2"/>
          </rPr>
          <t>Young, Scott:</t>
        </r>
        <r>
          <rPr>
            <sz val="9"/>
            <color indexed="81"/>
            <rFont val="Tahoma"/>
            <family val="2"/>
          </rPr>
          <t xml:space="preserve">
Stonehaven and Pirron</t>
        </r>
      </text>
    </comment>
    <comment ref="C149" authorId="1" shapeId="0" xr:uid="{0FCA98E4-84E9-4617-87EC-673635F92828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B154" authorId="1" shapeId="0" xr:uid="{5E155DAF-E5C1-47BC-847A-E678A0E3F13E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C184" authorId="0" shapeId="0" xr:uid="{623A1453-7033-46C1-B1B1-36EEC001B0A0}">
      <text>
        <r>
          <rPr>
            <b/>
            <sz val="9"/>
            <color indexed="81"/>
            <rFont val="Tahoma"/>
            <family val="2"/>
          </rPr>
          <t>Young, Scott:</t>
        </r>
        <r>
          <rPr>
            <sz val="9"/>
            <color indexed="81"/>
            <rFont val="Tahoma"/>
            <family val="2"/>
          </rPr>
          <t xml:space="preserve">
2.00 forecast inflation rate per Amadeus Gas Pipeline Final Decision April 2021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<sst xmlns="http://schemas.openxmlformats.org/spreadsheetml/2006/main" count="192" uniqueCount="112">
  <si>
    <t>Unit</t>
  </si>
  <si>
    <t>2021E</t>
  </si>
  <si>
    <t>2022F</t>
  </si>
  <si>
    <t>2023F</t>
  </si>
  <si>
    <t>Historic Opex from Regulatory Accounts</t>
  </si>
  <si>
    <t>Source:  Annual Reporting RIN</t>
  </si>
  <si>
    <t>2020 indexed</t>
  </si>
  <si>
    <t>2021 indexed</t>
  </si>
  <si>
    <t>$ nominal</t>
  </si>
  <si>
    <t>Doesn't include linepack or spares</t>
  </si>
  <si>
    <t>Doesn't include AA costs</t>
  </si>
  <si>
    <t>Total</t>
  </si>
  <si>
    <t>Source: Regulatory Accounts</t>
  </si>
  <si>
    <t>Inflation Value</t>
  </si>
  <si>
    <t>abs cpi All cities</t>
  </si>
  <si>
    <t>CPI</t>
  </si>
  <si>
    <t>Percent</t>
  </si>
  <si>
    <t>Inflation Index (base 2022)</t>
  </si>
  <si>
    <t>Inflation Index (base 2017)</t>
  </si>
  <si>
    <t>AER</t>
  </si>
  <si>
    <t>AER baseline to real $2017</t>
  </si>
  <si>
    <t>Historic opex in $2022 real</t>
  </si>
  <si>
    <t>real $2022</t>
  </si>
  <si>
    <t>Allowances</t>
  </si>
  <si>
    <t>Balance</t>
  </si>
  <si>
    <t>Linepack</t>
  </si>
  <si>
    <t>Spares</t>
  </si>
  <si>
    <t>Allowance</t>
  </si>
  <si>
    <t>Forecast inputs</t>
  </si>
  <si>
    <t>Step changes</t>
  </si>
  <si>
    <t>Carbon offsets</t>
  </si>
  <si>
    <t>Acquisition of carbon offset certificates</t>
  </si>
  <si>
    <t xml:space="preserve"> $ 2021</t>
  </si>
  <si>
    <t>Proportion attributable to operation of VTS</t>
  </si>
  <si>
    <t>percent</t>
  </si>
  <si>
    <t>$  2021</t>
  </si>
  <si>
    <t>Property taxes</t>
  </si>
  <si>
    <t>Increase in VTS property taxes</t>
  </si>
  <si>
    <t>Opex from Capex (from business cases)</t>
  </si>
  <si>
    <t>SWP Expansion compressor costs</t>
  </si>
  <si>
    <t>WORM</t>
  </si>
  <si>
    <t>Assumed inflation</t>
  </si>
  <si>
    <t>Inflation Index</t>
  </si>
  <si>
    <t>Nominal Vanilla WACC</t>
  </si>
  <si>
    <t>Opening Balance</t>
  </si>
  <si>
    <t>Changes in linepack</t>
  </si>
  <si>
    <t>Indexation</t>
  </si>
  <si>
    <t>Closing balance</t>
  </si>
  <si>
    <t>Return on linepack</t>
  </si>
  <si>
    <t>Net changes in spares</t>
  </si>
  <si>
    <t>Return on spares</t>
  </si>
  <si>
    <t>Incremental allowance</t>
  </si>
  <si>
    <t>Opening RAB</t>
  </si>
  <si>
    <t>Ratio linepack</t>
  </si>
  <si>
    <t>Ratio spares</t>
  </si>
  <si>
    <t>Forecast as commissioned capex</t>
  </si>
  <si>
    <t>Change in linepack</t>
  </si>
  <si>
    <t>Change in spares</t>
  </si>
  <si>
    <t>Forecast Allowance</t>
  </si>
  <si>
    <t>Access Arrangement Costs</t>
  </si>
  <si>
    <t>real $2012</t>
  </si>
  <si>
    <t>Debt Raising Costs</t>
  </si>
  <si>
    <t>DRC</t>
  </si>
  <si>
    <t>Debt Raising costs from PTRM</t>
  </si>
  <si>
    <t>real $2017</t>
  </si>
  <si>
    <t>AER's Final Decision</t>
  </si>
  <si>
    <t>$ 2017</t>
  </si>
  <si>
    <t>Opex for VTS excl debt raising cost &amp; EBSS</t>
  </si>
  <si>
    <t>$ 2022</t>
  </si>
  <si>
    <t>CPI series</t>
  </si>
  <si>
    <t>Index Numbers ;  All groups CPI ;  Australia ;</t>
  </si>
  <si>
    <t>Index Numbers</t>
  </si>
  <si>
    <t>Series Type</t>
  </si>
  <si>
    <t>Original</t>
  </si>
  <si>
    <t>Data Type</t>
  </si>
  <si>
    <t>INDEX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</si>
  <si>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</si>
  <si>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</si>
  <si>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</si>
  <si>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</si>
  <si>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</si>
  <si>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</si>
  <si>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</si>
  <si>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A2325846C</t>
  </si>
  <si>
    <t>CPI %</t>
  </si>
  <si>
    <t>Dec 2021F</t>
  </si>
  <si>
    <t>Efficient Base Year</t>
  </si>
  <si>
    <t>Total Operating Expenditure</t>
  </si>
  <si>
    <t>Less one off costs</t>
  </si>
  <si>
    <t>Total one off costs</t>
  </si>
  <si>
    <t>Efficient Base Year Less one off costs</t>
  </si>
  <si>
    <t>Less base year items forecast separately</t>
  </si>
  <si>
    <t>Total items forecast separately</t>
  </si>
  <si>
    <t>.</t>
  </si>
  <si>
    <t>Starting Base Year Opex</t>
  </si>
  <si>
    <t>Separate Forecasts</t>
  </si>
  <si>
    <t>Augmentation and Expansion related opex</t>
  </si>
  <si>
    <t>Access Arrangement costs</t>
  </si>
  <si>
    <t>Total of Separate Forecasts</t>
  </si>
  <si>
    <t>Baseline forecast Opex</t>
  </si>
  <si>
    <t>Step Changes</t>
  </si>
  <si>
    <t>Transformation and Technology</t>
  </si>
  <si>
    <t>Security of Critical Infrastructure</t>
  </si>
  <si>
    <t>Total Step changes</t>
  </si>
  <si>
    <t>Total Opex Forecast</t>
  </si>
  <si>
    <t>Allocation to categories</t>
  </si>
  <si>
    <t>Allocation in dollars</t>
  </si>
  <si>
    <t>Year</t>
  </si>
  <si>
    <t>Repairs and Maintenance</t>
  </si>
  <si>
    <t>Other Operating</t>
  </si>
  <si>
    <t>Corporate Overheads</t>
  </si>
  <si>
    <t>Debt raising costs (from PTRM)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</si>
</sst>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0.0"/>
    <numFmt numFmtId="169" formatCode="_([$€-2]* #,##0.00_);_([$€-2]* \(#,##0.00\);_([$€-2]* &quot;-&quot;??_)"/>
    <numFmt numFmtId="170" formatCode="_-* #,##0.00_-;[Red]\(#,##0.00\)_-;_-* &quot;-&quot;??_-;_-@_-"/>
    <numFmt numFmtId="171" formatCode="mm/dd/yy"/>
    <numFmt numFmtId="172" formatCode="0_);[Red]\(0\)"/>
    <numFmt numFmtId="173" formatCode="_(* #,##0.0_);_(* \(#,##0.0\);_(* &quot;-&quot;?_);_(@_)"/>
    <numFmt numFmtId="174" formatCode="_(* #,##0_);_(* \(#,##0\);_(* &quot;-&quot;?_);_(@_)"/>
    <numFmt numFmtId="175" formatCode="#,##0.0_);\(#,##0.0\)"/>
    <numFmt numFmtId="176" formatCode="#,##0_ ;\-#,##0\ "/>
    <numFmt numFmtId="177" formatCode="#,##0;[Red]\(#,##0.0\)"/>
    <numFmt numFmtId="178" formatCode="#,##0_ ;[Red]\(#,##0\)\ "/>
    <numFmt numFmtId="179" formatCode="#,##0.00;\(#,##0.00\)"/>
    <numFmt numFmtId="180" formatCode="_)d\-mmm\-yy_)"/>
    <numFmt numFmtId="181" formatCode="_(#,##0.0_);\(#,##0.0\);_(&quot;-&quot;_)"/>
    <numFmt numFmtId="182" formatCode="_(###0_);\(###0\);_(###0_)"/>
    <numFmt numFmtId="183" formatCode="mmm\-yyyy"/>
    <numFmt numFmtId="184" formatCode="0.0;\-0.0;0.0;@"/>
    <numFmt numFmtId="185" formatCode="0.0000%"/>
    <numFmt numFmtId="186" formatCode="_-* #,##0.0_-;\-* #,##0.0_-;_-* &quot;-&quot;??_-;_-@_-"/>
  </numFmts>
  <fonts count="84">
    <font>
      <sz val="14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A7D00"/>
      <name val="Arial"/>
      <family val="2"/>
    </font>
    <font>
      <b/>
      <sz val="11"/>
      <color rgb="FFBEAFA8"/>
      <name val="Century Gothic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rgb="FF25282A"/>
      <name val="Century Gothic"/>
      <family val="2"/>
    </font>
    <font>
      <sz val="8"/>
      <name val="Century Gothic"/>
      <family val="2"/>
    </font>
    <font>
      <b/>
      <sz val="14"/>
      <color rgb="FFC8102E"/>
      <name val="Century Gothic"/>
      <family val="2"/>
    </font>
    <font>
      <b/>
      <sz val="14"/>
      <color rgb="FFFFFFFF"/>
      <name val="Arial Narrow"/>
      <family val="2"/>
    </font>
    <font>
      <sz val="14"/>
      <color theme="1"/>
      <name val="Century Gothic"/>
      <family val="2"/>
    </font>
    <font>
      <b/>
      <sz val="18"/>
      <color rgb="FFC8102E"/>
      <name val="Century Gothic"/>
      <family val="2"/>
    </font>
    <font>
      <sz val="14"/>
      <color theme="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0"/>
      <name val="Century Gothic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C8102E"/>
      <name val="Arial"/>
      <family val="2"/>
    </font>
    <font>
      <b/>
      <sz val="14"/>
      <color rgb="FFFFFFFF"/>
      <name val="Arial"/>
      <family val="2"/>
    </font>
    <font>
      <sz val="14"/>
      <color rgb="FF25282A"/>
      <name val="Arial"/>
      <family val="2"/>
    </font>
    <font>
      <b/>
      <sz val="14"/>
      <color rgb="FFC8102E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25282A"/>
      <name val="Arial"/>
      <family val="2"/>
    </font>
    <font>
      <b/>
      <sz val="11"/>
      <color rgb="FFBEAFA8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448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rgb="FFF68E6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</borders>
  <cellStyleXfs count="301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35" borderId="1" applyNumberForma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7" fillId="2" borderId="0" applyNumberFormat="0" applyAlignment="0" applyProtection="0"/>
    <xf numFmtId="0" fontId="14" fillId="2" borderId="0" applyNumberFormat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13" fillId="34" borderId="2" applyNumberFormat="0" applyAlignment="0" applyProtection="0"/>
    <xf numFmtId="0" fontId="8" fillId="31" borderId="3" applyNumberFormat="0" applyAlignment="0" applyProtection="0"/>
    <xf numFmtId="0" fontId="13" fillId="0" borderId="2" applyNumberFormat="0" applyAlignment="0" applyProtection="0"/>
    <xf numFmtId="0" fontId="2" fillId="6" borderId="4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7" fillId="3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8" fillId="32" borderId="7">
      <alignment horizontal="left" vertical="center" wrapText="1"/>
    </xf>
    <xf numFmtId="0" fontId="15" fillId="2" borderId="8">
      <alignment horizontal="left" vertical="center" wrapText="1"/>
    </xf>
    <xf numFmtId="43" fontId="15" fillId="2" borderId="8">
      <alignment horizontal="right" vertical="center" wrapText="1"/>
    </xf>
    <xf numFmtId="9" fontId="19" fillId="0" borderId="0" applyFill="0" applyBorder="0" applyAlignment="0" applyProtection="0"/>
    <xf numFmtId="0" fontId="12" fillId="0" borderId="0" applyNumberFormat="0" applyFill="0" applyAlignment="0" applyProtection="0"/>
    <xf numFmtId="0" fontId="13" fillId="33" borderId="2" applyAlignment="0" applyProtection="0"/>
    <xf numFmtId="41" fontId="19" fillId="0" borderId="0" applyFill="0" applyBorder="0" applyAlignment="0" applyProtection="0"/>
    <xf numFmtId="0" fontId="21" fillId="36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9" fillId="41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164" fontId="22" fillId="42" borderId="0" applyFont="0" applyBorder="0" applyAlignment="0">
      <alignment horizontal="right"/>
      <protection locked="0"/>
    </xf>
    <xf numFmtId="164" fontId="22" fillId="40" borderId="0" applyFont="0" applyBorder="0">
      <alignment horizontal="right"/>
      <protection locked="0"/>
    </xf>
    <xf numFmtId="0" fontId="24" fillId="0" borderId="0"/>
    <xf numFmtId="0" fontId="22" fillId="0" borderId="0" applyFill="0"/>
    <xf numFmtId="0" fontId="29" fillId="43" borderId="0">
      <alignment horizontal="left" vertical="center"/>
      <protection locked="0"/>
    </xf>
    <xf numFmtId="0" fontId="30" fillId="37" borderId="0">
      <alignment vertical="center"/>
      <protection locked="0"/>
    </xf>
    <xf numFmtId="0" fontId="22" fillId="0" borderId="0"/>
    <xf numFmtId="0" fontId="22" fillId="0" borderId="0"/>
    <xf numFmtId="0" fontId="22" fillId="0" borderId="0"/>
    <xf numFmtId="169" fontId="22" fillId="0" borderId="0"/>
    <xf numFmtId="0" fontId="31" fillId="0" borderId="0"/>
    <xf numFmtId="0" fontId="31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170" fontId="26" fillId="0" borderId="0"/>
    <xf numFmtId="170" fontId="26" fillId="0" borderId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3" fillId="54" borderId="0" applyNumberFormat="0" applyBorder="0" applyAlignment="0" applyProtection="0"/>
    <xf numFmtId="0" fontId="33" fillId="58" borderId="0" applyNumberFormat="0" applyBorder="0" applyAlignment="0" applyProtection="0"/>
    <xf numFmtId="0" fontId="34" fillId="55" borderId="0" applyNumberFormat="0" applyBorder="0" applyAlignment="0" applyProtection="0"/>
    <xf numFmtId="0" fontId="34" fillId="59" borderId="0" applyNumberFormat="0" applyBorder="0" applyAlignment="0" applyProtection="0"/>
    <xf numFmtId="0" fontId="33" fillId="51" borderId="0" applyNumberFormat="0" applyBorder="0" applyAlignment="0" applyProtection="0"/>
    <xf numFmtId="0" fontId="33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0" borderId="0"/>
    <xf numFmtId="42" fontId="36" fillId="0" borderId="0" applyFont="0" applyFill="0" applyBorder="0" applyAlignment="0" applyProtection="0"/>
    <xf numFmtId="0" fontId="37" fillId="64" borderId="0" applyNumberFormat="0" applyBorder="0" applyAlignment="0" applyProtection="0"/>
    <xf numFmtId="0" fontId="38" fillId="0" borderId="0" applyNumberFormat="0" applyFill="0" applyBorder="0" applyAlignment="0"/>
    <xf numFmtId="164" fontId="22" fillId="39" borderId="0" applyNumberFormat="0" applyFont="0" applyBorder="0" applyAlignment="0">
      <alignment horizontal="right"/>
    </xf>
    <xf numFmtId="164" fontId="22" fillId="39" borderId="0" applyNumberFormat="0" applyFont="0" applyBorder="0" applyAlignment="0">
      <alignment horizontal="right"/>
    </xf>
    <xf numFmtId="0" fontId="39" fillId="0" borderId="0" applyNumberFormat="0" applyFill="0" applyBorder="0" applyAlignment="0">
      <protection locked="0"/>
    </xf>
    <xf numFmtId="0" fontId="40" fillId="48" borderId="13" applyNumberFormat="0" applyAlignment="0" applyProtection="0"/>
    <xf numFmtId="0" fontId="41" fillId="65" borderId="14" applyNumberFormat="0" applyAlignment="0" applyProtection="0"/>
    <xf numFmtId="41" fontId="2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45" fillId="68" borderId="0" applyNumberFormat="0" applyBorder="0" applyAlignment="0" applyProtection="0"/>
    <xf numFmtId="169" fontId="3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7" fillId="0" borderId="0"/>
    <xf numFmtId="0" fontId="48" fillId="0" borderId="0"/>
    <xf numFmtId="0" fontId="49" fillId="69" borderId="0" applyNumberFormat="0" applyBorder="0" applyAlignment="0" applyProtection="0"/>
    <xf numFmtId="0" fontId="23" fillId="0" borderId="0" applyFill="0" applyBorder="0">
      <alignment vertical="center"/>
    </xf>
    <xf numFmtId="0" fontId="50" fillId="0" borderId="15" applyNumberFormat="0" applyFill="0" applyAlignment="0" applyProtection="0"/>
    <xf numFmtId="0" fontId="23" fillId="0" borderId="0" applyFill="0" applyBorder="0">
      <alignment vertical="center"/>
    </xf>
    <xf numFmtId="0" fontId="27" fillId="0" borderId="0" applyFill="0" applyBorder="0">
      <alignment vertical="center"/>
    </xf>
    <xf numFmtId="0" fontId="51" fillId="0" borderId="16" applyNumberFormat="0" applyFill="0" applyAlignment="0" applyProtection="0"/>
    <xf numFmtId="0" fontId="27" fillId="0" borderId="0" applyFill="0" applyBorder="0">
      <alignment vertical="center"/>
    </xf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26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26" fillId="0" borderId="0" applyFill="0" applyBorder="0">
      <alignment vertical="center"/>
    </xf>
    <xf numFmtId="166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>
      <alignment horizontal="center" vertical="center"/>
      <protection locked="0"/>
    </xf>
    <xf numFmtId="0" fontId="56" fillId="0" borderId="0" applyFill="0" applyBorder="0">
      <alignment horizontal="left" vertical="center"/>
      <protection locked="0"/>
    </xf>
    <xf numFmtId="173" fontId="22" fillId="40" borderId="0" applyFont="0" applyBorder="0">
      <alignment horizontal="right"/>
    </xf>
    <xf numFmtId="0" fontId="57" fillId="46" borderId="13" applyNumberFormat="0" applyAlignment="0" applyProtection="0"/>
    <xf numFmtId="164" fontId="22" fillId="70" borderId="0" applyFont="0" applyBorder="0" applyAlignment="0">
      <alignment horizontal="right"/>
      <protection locked="0"/>
    </xf>
    <xf numFmtId="164" fontId="22" fillId="42" borderId="0" applyFont="0" applyBorder="0" applyAlignment="0">
      <alignment horizontal="right"/>
      <protection locked="0"/>
    </xf>
    <xf numFmtId="174" fontId="22" fillId="71" borderId="0" applyFont="0" applyBorder="0">
      <alignment horizontal="right"/>
      <protection locked="0"/>
    </xf>
    <xf numFmtId="174" fontId="22" fillId="71" borderId="0" applyFont="0" applyBorder="0">
      <alignment horizontal="right"/>
      <protection locked="0"/>
    </xf>
    <xf numFmtId="164" fontId="22" fillId="40" borderId="0" applyFont="0" applyBorder="0">
      <alignment horizontal="right"/>
      <protection locked="0"/>
    </xf>
    <xf numFmtId="0" fontId="26" fillId="39" borderId="0"/>
    <xf numFmtId="0" fontId="58" fillId="0" borderId="18" applyNumberFormat="0" applyFill="0" applyAlignment="0" applyProtection="0"/>
    <xf numFmtId="175" fontId="59" fillId="0" borderId="0"/>
    <xf numFmtId="0" fontId="25" fillId="0" borderId="0" applyFill="0" applyBorder="0">
      <alignment horizontal="left" vertical="center"/>
    </xf>
    <xf numFmtId="0" fontId="60" fillId="49" borderId="0" applyNumberFormat="0" applyBorder="0" applyAlignment="0" applyProtection="0"/>
    <xf numFmtId="176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38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47" borderId="19" applyNumberFormat="0" applyFont="0" applyAlignment="0" applyProtection="0"/>
    <xf numFmtId="0" fontId="62" fillId="48" borderId="20" applyNumberFormat="0" applyAlignment="0" applyProtection="0"/>
    <xf numFmtId="177" fontId="22" fillId="0" borderId="0" applyFill="0" applyBorder="0"/>
    <xf numFmtId="177" fontId="22" fillId="0" borderId="0" applyFill="0" applyBorder="0"/>
    <xf numFmtId="177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63" fillId="0" borderId="0"/>
    <xf numFmtId="0" fontId="28" fillId="0" borderId="0" applyFill="0" applyBorder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78" fontId="64" fillId="0" borderId="11"/>
    <xf numFmtId="0" fontId="65" fillId="0" borderId="12">
      <alignment horizontal="center"/>
    </xf>
    <xf numFmtId="3" fontId="42" fillId="0" borderId="0" applyFont="0" applyFill="0" applyBorder="0" applyAlignment="0" applyProtection="0"/>
    <xf numFmtId="0" fontId="42" fillId="72" borderId="0" applyNumberFormat="0" applyFont="0" applyBorder="0" applyAlignment="0" applyProtection="0"/>
    <xf numFmtId="179" fontId="22" fillId="0" borderId="0"/>
    <xf numFmtId="179" fontId="22" fillId="0" borderId="0"/>
    <xf numFmtId="179" fontId="22" fillId="0" borderId="0"/>
    <xf numFmtId="180" fontId="26" fillId="0" borderId="0" applyFill="0" applyBorder="0">
      <alignment horizontal="right" vertical="center"/>
    </xf>
    <xf numFmtId="181" fontId="26" fillId="0" borderId="0" applyFill="0" applyBorder="0">
      <alignment horizontal="right" vertical="center"/>
    </xf>
    <xf numFmtId="182" fontId="26" fillId="0" borderId="0" applyFill="0" applyBorder="0">
      <alignment horizontal="right" vertical="center"/>
    </xf>
    <xf numFmtId="0" fontId="22" fillId="47" borderId="0" applyNumberFormat="0" applyFont="0" applyBorder="0" applyAlignment="0" applyProtection="0"/>
    <xf numFmtId="0" fontId="22" fillId="47" borderId="0" applyNumberFormat="0" applyFont="0" applyBorder="0" applyAlignment="0" applyProtection="0"/>
    <xf numFmtId="0" fontId="22" fillId="48" borderId="0" applyNumberFormat="0" applyFont="0" applyBorder="0" applyAlignment="0" applyProtection="0"/>
    <xf numFmtId="0" fontId="22" fillId="48" borderId="0" applyNumberFormat="0" applyFont="0" applyBorder="0" applyAlignment="0" applyProtection="0"/>
    <xf numFmtId="0" fontId="22" fillId="50" borderId="0" applyNumberFormat="0" applyFont="0" applyBorder="0" applyAlignment="0" applyProtection="0"/>
    <xf numFmtId="0" fontId="22" fillId="50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50" borderId="0" applyNumberFormat="0" applyFont="0" applyBorder="0" applyAlignment="0" applyProtection="0"/>
    <xf numFmtId="0" fontId="22" fillId="50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5" fillId="0" borderId="0"/>
    <xf numFmtId="0" fontId="67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8" fillId="44" borderId="9" applyBorder="0" applyProtection="0">
      <alignment horizontal="centerContinuous" vertical="center"/>
    </xf>
    <xf numFmtId="0" fontId="69" fillId="0" borderId="0" applyBorder="0" applyProtection="0">
      <alignment vertical="center"/>
    </xf>
    <xf numFmtId="0" fontId="70" fillId="0" borderId="21" applyFill="0" applyBorder="0" applyProtection="0">
      <alignment horizontal="left" vertical="top"/>
    </xf>
    <xf numFmtId="0" fontId="71" fillId="73" borderId="10" applyNumberFormat="0" applyFont="0" applyBorder="0" applyAlignment="0" applyProtection="0"/>
  </cellStyleXfs>
  <cellXfs count="72">
    <xf numFmtId="0" fontId="0" fillId="2" borderId="0" xfId="0"/>
    <xf numFmtId="0" fontId="72" fillId="2" borderId="0" xfId="0" applyFont="1" applyAlignment="1">
      <alignment wrapText="1"/>
    </xf>
    <xf numFmtId="0" fontId="73" fillId="2" borderId="0" xfId="0" applyFont="1"/>
    <xf numFmtId="183" fontId="73" fillId="2" borderId="0" xfId="0" applyNumberFormat="1" applyFont="1"/>
    <xf numFmtId="0" fontId="72" fillId="2" borderId="0" xfId="0" applyFont="1" applyAlignment="1">
      <alignment horizontal="right" wrapText="1"/>
    </xf>
    <xf numFmtId="0" fontId="72" fillId="2" borderId="0" xfId="0" applyFont="1" applyAlignment="1">
      <alignment horizontal="right"/>
    </xf>
    <xf numFmtId="0" fontId="72" fillId="2" borderId="0" xfId="0" applyFont="1"/>
    <xf numFmtId="183" fontId="72" fillId="2" borderId="0" xfId="0" applyNumberFormat="1" applyFont="1"/>
    <xf numFmtId="183" fontId="72" fillId="2" borderId="0" xfId="0" applyNumberFormat="1" applyFont="1" applyAlignment="1">
      <alignment horizontal="left"/>
    </xf>
    <xf numFmtId="184" fontId="72" fillId="2" borderId="0" xfId="0" applyNumberFormat="1" applyFont="1"/>
    <xf numFmtId="183" fontId="72" fillId="74" borderId="0" xfId="0" applyNumberFormat="1" applyFont="1" applyFill="1" applyAlignment="1">
      <alignment horizontal="left"/>
    </xf>
    <xf numFmtId="0" fontId="76" fillId="0" borderId="0" xfId="7" applyFont="1" applyFill="1"/>
    <xf numFmtId="0" fontId="1" fillId="0" borderId="0" xfId="0" applyFont="1" applyFill="1"/>
    <xf numFmtId="0" fontId="1" fillId="2" borderId="0" xfId="0" applyFont="1"/>
    <xf numFmtId="0" fontId="76" fillId="0" borderId="0" xfId="7" applyFont="1"/>
    <xf numFmtId="0" fontId="77" fillId="32" borderId="7" xfId="45" applyFont="1">
      <alignment horizontal="left" vertical="center" wrapText="1"/>
    </xf>
    <xf numFmtId="0" fontId="77" fillId="32" borderId="7" xfId="45" applyFont="1" applyAlignment="1">
      <alignment horizontal="right" vertical="center" wrapText="1"/>
    </xf>
    <xf numFmtId="0" fontId="78" fillId="2" borderId="8" xfId="46" applyFont="1">
      <alignment horizontal="left" vertical="center" wrapText="1"/>
    </xf>
    <xf numFmtId="43" fontId="78" fillId="2" borderId="8" xfId="47" applyFont="1">
      <alignment horizontal="right" vertical="center" wrapText="1"/>
    </xf>
    <xf numFmtId="0" fontId="78" fillId="2" borderId="8" xfId="46" applyFont="1" applyAlignment="1">
      <alignment horizontal="left" vertical="center"/>
    </xf>
    <xf numFmtId="43" fontId="78" fillId="2" borderId="8" xfId="47" applyFont="1" applyAlignment="1">
      <alignment horizontal="right" vertical="center"/>
    </xf>
    <xf numFmtId="43" fontId="1" fillId="2" borderId="0" xfId="0" applyNumberFormat="1" applyFont="1"/>
    <xf numFmtId="0" fontId="1" fillId="2" borderId="0" xfId="0" applyFont="1" applyAlignment="1">
      <alignment horizontal="right"/>
    </xf>
    <xf numFmtId="0" fontId="79" fillId="2" borderId="0" xfId="8" applyFont="1"/>
    <xf numFmtId="0" fontId="79" fillId="2" borderId="0" xfId="8" applyFont="1" applyAlignment="1">
      <alignment horizontal="right"/>
    </xf>
    <xf numFmtId="0" fontId="1" fillId="75" borderId="0" xfId="0" applyFont="1" applyFill="1"/>
    <xf numFmtId="0" fontId="80" fillId="0" borderId="2" xfId="13" applyFont="1" applyFill="1"/>
    <xf numFmtId="41" fontId="80" fillId="0" borderId="2" xfId="15" applyNumberFormat="1" applyFont="1"/>
    <xf numFmtId="41" fontId="80" fillId="0" borderId="2" xfId="13" applyNumberFormat="1" applyFont="1" applyFill="1"/>
    <xf numFmtId="0" fontId="26" fillId="35" borderId="1" xfId="4" applyFont="1"/>
    <xf numFmtId="0" fontId="80" fillId="0" borderId="2" xfId="15" applyFont="1"/>
    <xf numFmtId="41" fontId="81" fillId="0" borderId="2" xfId="51" applyFont="1" applyFill="1" applyBorder="1"/>
    <xf numFmtId="0" fontId="79" fillId="0" borderId="0" xfId="8" applyFont="1" applyFill="1"/>
    <xf numFmtId="14" fontId="80" fillId="0" borderId="2" xfId="13" applyNumberFormat="1" applyFont="1" applyFill="1"/>
    <xf numFmtId="184" fontId="80" fillId="0" borderId="2" xfId="13" applyNumberFormat="1" applyFont="1" applyFill="1"/>
    <xf numFmtId="168" fontId="80" fillId="0" borderId="2" xfId="13" applyNumberFormat="1" applyFont="1" applyFill="1"/>
    <xf numFmtId="168" fontId="80" fillId="0" borderId="2" xfId="15" applyNumberFormat="1" applyFont="1"/>
    <xf numFmtId="10" fontId="80" fillId="0" borderId="2" xfId="15" applyNumberFormat="1" applyFont="1"/>
    <xf numFmtId="2" fontId="80" fillId="0" borderId="2" xfId="15" applyNumberFormat="1" applyFont="1"/>
    <xf numFmtId="2" fontId="80" fillId="0" borderId="2" xfId="13" applyNumberFormat="1" applyFont="1" applyFill="1"/>
    <xf numFmtId="166" fontId="80" fillId="0" borderId="2" xfId="13" applyNumberFormat="1" applyFont="1" applyFill="1"/>
    <xf numFmtId="6" fontId="80" fillId="0" borderId="2" xfId="13" quotePrefix="1" applyNumberFormat="1" applyFont="1" applyFill="1"/>
    <xf numFmtId="6" fontId="80" fillId="0" borderId="2" xfId="15" quotePrefix="1" applyNumberFormat="1" applyFont="1"/>
    <xf numFmtId="167" fontId="80" fillId="0" borderId="2" xfId="15" applyNumberFormat="1" applyFont="1"/>
    <xf numFmtId="41" fontId="1" fillId="2" borderId="0" xfId="0" applyNumberFormat="1" applyFont="1"/>
    <xf numFmtId="0" fontId="82" fillId="2" borderId="0" xfId="9" applyFont="1"/>
    <xf numFmtId="9" fontId="80" fillId="0" borderId="2" xfId="15" applyNumberFormat="1" applyFont="1"/>
    <xf numFmtId="0" fontId="82" fillId="0" borderId="0" xfId="9" applyFont="1" applyFill="1"/>
    <xf numFmtId="6" fontId="80" fillId="0" borderId="2" xfId="13" applyNumberFormat="1" applyFont="1" applyFill="1"/>
    <xf numFmtId="0" fontId="80" fillId="0" borderId="2" xfId="13" applyNumberFormat="1" applyFont="1" applyFill="1"/>
    <xf numFmtId="10" fontId="80" fillId="0" borderId="2" xfId="13" applyNumberFormat="1" applyFont="1" applyFill="1"/>
    <xf numFmtId="166" fontId="80" fillId="0" borderId="2" xfId="15" applyNumberFormat="1" applyFont="1"/>
    <xf numFmtId="166" fontId="1" fillId="2" borderId="0" xfId="0" applyNumberFormat="1" applyFont="1"/>
    <xf numFmtId="10" fontId="1" fillId="2" borderId="0" xfId="0" applyNumberFormat="1" applyFont="1"/>
    <xf numFmtId="0" fontId="83" fillId="2" borderId="0" xfId="49" applyFont="1" applyFill="1"/>
    <xf numFmtId="10" fontId="81" fillId="0" borderId="2" xfId="48" applyNumberFormat="1" applyFont="1" applyBorder="1"/>
    <xf numFmtId="167" fontId="80" fillId="0" borderId="2" xfId="13" applyNumberFormat="1" applyFont="1" applyFill="1"/>
    <xf numFmtId="0" fontId="81" fillId="0" borderId="0" xfId="0" applyFont="1" applyFill="1"/>
    <xf numFmtId="43" fontId="80" fillId="0" borderId="2" xfId="13" applyNumberFormat="1" applyFont="1" applyFill="1"/>
    <xf numFmtId="0" fontId="79" fillId="0" borderId="0" xfId="8" applyFont="1" applyFill="1" applyAlignment="1">
      <alignment horizontal="right"/>
    </xf>
    <xf numFmtId="0" fontId="80" fillId="0" borderId="2" xfId="13" quotePrefix="1" applyFont="1" applyFill="1"/>
    <xf numFmtId="43" fontId="80" fillId="0" borderId="2" xfId="15" applyNumberFormat="1" applyFont="1"/>
    <xf numFmtId="43" fontId="1" fillId="0" borderId="0" xfId="0" applyNumberFormat="1" applyFont="1" applyFill="1"/>
    <xf numFmtId="10" fontId="72" fillId="2" borderId="0" xfId="48" applyNumberFormat="1" applyFont="1" applyFill="1"/>
    <xf numFmtId="0" fontId="1" fillId="74" borderId="0" xfId="0" applyFont="1" applyFill="1"/>
    <xf numFmtId="0" fontId="82" fillId="2" borderId="0" xfId="9" applyFont="1" applyAlignment="1">
      <alignment horizontal="left" vertical="center" wrapText="1"/>
    </xf>
    <xf numFmtId="6" fontId="80" fillId="0" borderId="2" xfId="15" applyNumberFormat="1" applyFont="1"/>
    <xf numFmtId="0" fontId="80" fillId="33" borderId="2" xfId="50" applyFont="1"/>
    <xf numFmtId="41" fontId="80" fillId="33" borderId="2" xfId="50" applyNumberFormat="1" applyFont="1"/>
    <xf numFmtId="0" fontId="78" fillId="2" borderId="0" xfId="9" applyFont="1"/>
    <xf numFmtId="185" fontId="80" fillId="0" borderId="2" xfId="15" applyNumberFormat="1" applyFont="1"/>
    <xf numFmtId="186" fontId="78" fillId="2" borderId="8" xfId="47" applyNumberFormat="1" applyFont="1">
      <alignment horizontal="right" vertical="center" wrapText="1"/>
    </xf>
  </cellXfs>
  <cellStyles count="301">
    <cellStyle name=" 1" xfId="71" xr:uid="{00000000-0005-0000-0000-000000000000}"/>
    <cellStyle name=" 1 2" xfId="72" xr:uid="{00000000-0005-0000-0000-000001000000}"/>
    <cellStyle name=" 1 2 2" xfId="73" xr:uid="{00000000-0005-0000-0000-000002000000}"/>
    <cellStyle name=" 1 3" xfId="74" xr:uid="{00000000-0005-0000-0000-000003000000}"/>
    <cellStyle name=" 1 3 2" xfId="75" xr:uid="{00000000-0005-0000-0000-000004000000}"/>
    <cellStyle name=" 1 4" xfId="76" xr:uid="{00000000-0005-0000-0000-000005000000}"/>
    <cellStyle name=" 1_29(d) - Gas extensions -tariffs" xfId="77" xr:uid="{00000000-0005-0000-0000-000006000000}"/>
    <cellStyle name="_3GIS model v2.77_Distribution Business_Retail Fin Perform " xfId="78" xr:uid="{00000000-0005-0000-0000-000007000000}"/>
    <cellStyle name="_3GIS model v2.77_Fleet Overhead Costs 2_Retail Fin Perform " xfId="79" xr:uid="{00000000-0005-0000-0000-000008000000}"/>
    <cellStyle name="_3GIS model v2.77_Fleet Overhead Costs_Retail Fin Perform " xfId="80" xr:uid="{00000000-0005-0000-0000-000009000000}"/>
    <cellStyle name="_3GIS model v2.77_Forecast 2_Retail Fin Perform " xfId="81" xr:uid="{00000000-0005-0000-0000-00000A000000}"/>
    <cellStyle name="_3GIS model v2.77_Forecast_Retail Fin Perform " xfId="82" xr:uid="{00000000-0005-0000-0000-00000B000000}"/>
    <cellStyle name="_3GIS model v2.77_Funding &amp; Cashflow_1_Retail Fin Perform " xfId="83" xr:uid="{00000000-0005-0000-0000-00000C000000}"/>
    <cellStyle name="_3GIS model v2.77_Funding &amp; Cashflow_Retail Fin Perform " xfId="84" xr:uid="{00000000-0005-0000-0000-00000D000000}"/>
    <cellStyle name="_3GIS model v2.77_Group P&amp;L_1_Retail Fin Perform " xfId="85" xr:uid="{00000000-0005-0000-0000-00000E000000}"/>
    <cellStyle name="_3GIS model v2.77_Group P&amp;L_Retail Fin Perform " xfId="86" xr:uid="{00000000-0005-0000-0000-00000F000000}"/>
    <cellStyle name="_3GIS model v2.77_Opening  Detailed BS_Retail Fin Perform " xfId="87" xr:uid="{00000000-0005-0000-0000-000010000000}"/>
    <cellStyle name="_3GIS model v2.77_OUTPUT DB_Retail Fin Perform " xfId="88" xr:uid="{00000000-0005-0000-0000-000011000000}"/>
    <cellStyle name="_3GIS model v2.77_OUTPUT EB_Retail Fin Perform " xfId="89" xr:uid="{00000000-0005-0000-0000-000012000000}"/>
    <cellStyle name="_3GIS model v2.77_Report_Retail Fin Perform " xfId="90" xr:uid="{00000000-0005-0000-0000-000013000000}"/>
    <cellStyle name="_3GIS model v2.77_Retail Fin Perform " xfId="91" xr:uid="{00000000-0005-0000-0000-000014000000}"/>
    <cellStyle name="_3GIS model v2.77_Sheet2 2_Retail Fin Perform " xfId="92" xr:uid="{00000000-0005-0000-0000-000015000000}"/>
    <cellStyle name="_3GIS model v2.77_Sheet2_Retail Fin Perform " xfId="93" xr:uid="{00000000-0005-0000-0000-000016000000}"/>
    <cellStyle name="_Capex" xfId="94" xr:uid="{00000000-0005-0000-0000-000017000000}"/>
    <cellStyle name="_Capex 2" xfId="95" xr:uid="{00000000-0005-0000-0000-000018000000}"/>
    <cellStyle name="_Capex_29(d) - Gas extensions -tariffs" xfId="96" xr:uid="{00000000-0005-0000-0000-000019000000}"/>
    <cellStyle name="_UED AMP 2009-14 Final 250309 Less PU" xfId="97" xr:uid="{00000000-0005-0000-0000-00001A000000}"/>
    <cellStyle name="_UED AMP 2009-14 Final 250309 Less PU_1011 monthly" xfId="98" xr:uid="{00000000-0005-0000-0000-00001B000000}"/>
    <cellStyle name="20% - Accent1" xfId="19" builtinId="30" hidden="1"/>
    <cellStyle name="20% - Accent1 2" xfId="99" xr:uid="{00000000-0005-0000-0000-00001D000000}"/>
    <cellStyle name="20% - Accent2" xfId="23" builtinId="34" hidden="1"/>
    <cellStyle name="20% - Accent2 2" xfId="100" xr:uid="{00000000-0005-0000-0000-00001F000000}"/>
    <cellStyle name="20% - Accent3" xfId="27" builtinId="38" hidden="1"/>
    <cellStyle name="20% - Accent3 2" xfId="101" xr:uid="{00000000-0005-0000-0000-000021000000}"/>
    <cellStyle name="20% - Accent4" xfId="31" builtinId="42" hidden="1"/>
    <cellStyle name="20% - Accent4 2" xfId="102" xr:uid="{00000000-0005-0000-0000-000023000000}"/>
    <cellStyle name="20% - Accent5" xfId="35" builtinId="46" hidden="1"/>
    <cellStyle name="20% - Accent5 2" xfId="103" xr:uid="{00000000-0005-0000-0000-000025000000}"/>
    <cellStyle name="20% - Accent6" xfId="39" builtinId="50" hidden="1"/>
    <cellStyle name="20% - Accent6 2" xfId="104" xr:uid="{00000000-0005-0000-0000-000027000000}"/>
    <cellStyle name="40% - Accent1" xfId="20" builtinId="31" hidden="1"/>
    <cellStyle name="40% - Accent1 2" xfId="105" xr:uid="{00000000-0005-0000-0000-000029000000}"/>
    <cellStyle name="40% - Accent2" xfId="24" builtinId="35" hidden="1"/>
    <cellStyle name="40% - Accent2 2" xfId="106" xr:uid="{00000000-0005-0000-0000-00002B000000}"/>
    <cellStyle name="40% - Accent3" xfId="28" builtinId="39" hidden="1"/>
    <cellStyle name="40% - Accent3 2" xfId="107" xr:uid="{00000000-0005-0000-0000-00002D000000}"/>
    <cellStyle name="40% - Accent4" xfId="32" builtinId="43" hidden="1"/>
    <cellStyle name="40% - Accent4 2" xfId="108" xr:uid="{00000000-0005-0000-0000-00002F000000}"/>
    <cellStyle name="40% - Accent5" xfId="36" builtinId="47" hidden="1"/>
    <cellStyle name="40% - Accent5 2" xfId="109" xr:uid="{00000000-0005-0000-0000-000031000000}"/>
    <cellStyle name="40% - Accent6" xfId="40" builtinId="51" hidden="1"/>
    <cellStyle name="40% - Accent6 2" xfId="110" xr:uid="{00000000-0005-0000-0000-000033000000}"/>
    <cellStyle name="60% - Accent1" xfId="21" builtinId="32" hidden="1"/>
    <cellStyle name="60% - Accent1 2" xfId="111" xr:uid="{00000000-0005-0000-0000-000035000000}"/>
    <cellStyle name="60% - Accent2" xfId="25" builtinId="36" hidden="1"/>
    <cellStyle name="60% - Accent2 2" xfId="112" xr:uid="{00000000-0005-0000-0000-000037000000}"/>
    <cellStyle name="60% - Accent3" xfId="29" builtinId="40" hidden="1"/>
    <cellStyle name="60% - Accent3 2" xfId="113" xr:uid="{00000000-0005-0000-0000-000039000000}"/>
    <cellStyle name="60% - Accent4" xfId="33" builtinId="44" hidden="1"/>
    <cellStyle name="60% - Accent4 2" xfId="114" xr:uid="{00000000-0005-0000-0000-00003B000000}"/>
    <cellStyle name="60% - Accent5" xfId="37" builtinId="48" hidden="1"/>
    <cellStyle name="60% - Accent5 2" xfId="115" xr:uid="{00000000-0005-0000-0000-00003D000000}"/>
    <cellStyle name="60% - Accent6" xfId="41" builtinId="52" hidden="1"/>
    <cellStyle name="60% - Accent6 2" xfId="116" xr:uid="{00000000-0005-0000-0000-00003F000000}"/>
    <cellStyle name="Accent1" xfId="18" builtinId="29" hidden="1"/>
    <cellStyle name="Accent1 - 20%" xfId="117" xr:uid="{00000000-0005-0000-0000-000041000000}"/>
    <cellStyle name="Accent1 - 40%" xfId="118" xr:uid="{00000000-0005-0000-0000-000042000000}"/>
    <cellStyle name="Accent1 - 60%" xfId="119" xr:uid="{00000000-0005-0000-0000-000043000000}"/>
    <cellStyle name="Accent1 2" xfId="120" xr:uid="{00000000-0005-0000-0000-000044000000}"/>
    <cellStyle name="Accent2" xfId="22" builtinId="33" hidden="1"/>
    <cellStyle name="Accent2 - 20%" xfId="121" xr:uid="{00000000-0005-0000-0000-000046000000}"/>
    <cellStyle name="Accent2 - 40%" xfId="122" xr:uid="{00000000-0005-0000-0000-000047000000}"/>
    <cellStyle name="Accent2 - 60%" xfId="123" xr:uid="{00000000-0005-0000-0000-000048000000}"/>
    <cellStyle name="Accent2 2" xfId="124" xr:uid="{00000000-0005-0000-0000-000049000000}"/>
    <cellStyle name="Accent3" xfId="26" builtinId="37" hidden="1"/>
    <cellStyle name="Accent3 - 20%" xfId="125" xr:uid="{00000000-0005-0000-0000-00004B000000}"/>
    <cellStyle name="Accent3 - 40%" xfId="126" xr:uid="{00000000-0005-0000-0000-00004C000000}"/>
    <cellStyle name="Accent3 - 60%" xfId="127" xr:uid="{00000000-0005-0000-0000-00004D000000}"/>
    <cellStyle name="Accent3 2" xfId="128" xr:uid="{00000000-0005-0000-0000-00004E000000}"/>
    <cellStyle name="Accent4" xfId="30" builtinId="41" hidden="1"/>
    <cellStyle name="Accent4 - 20%" xfId="129" xr:uid="{00000000-0005-0000-0000-000050000000}"/>
    <cellStyle name="Accent4 - 40%" xfId="130" xr:uid="{00000000-0005-0000-0000-000051000000}"/>
    <cellStyle name="Accent4 - 60%" xfId="131" xr:uid="{00000000-0005-0000-0000-000052000000}"/>
    <cellStyle name="Accent4 2" xfId="132" xr:uid="{00000000-0005-0000-0000-000053000000}"/>
    <cellStyle name="Accent5" xfId="34" builtinId="45" hidden="1"/>
    <cellStyle name="Accent5 - 20%" xfId="133" xr:uid="{00000000-0005-0000-0000-000055000000}"/>
    <cellStyle name="Accent5 - 40%" xfId="134" xr:uid="{00000000-0005-0000-0000-000056000000}"/>
    <cellStyle name="Accent5 - 60%" xfId="135" xr:uid="{00000000-0005-0000-0000-000057000000}"/>
    <cellStyle name="Accent5 2" xfId="136" xr:uid="{00000000-0005-0000-0000-000058000000}"/>
    <cellStyle name="Accent6" xfId="38" builtinId="49" hidden="1"/>
    <cellStyle name="Accent6 - 20%" xfId="137" xr:uid="{00000000-0005-0000-0000-00005A000000}"/>
    <cellStyle name="Accent6 - 40%" xfId="138" xr:uid="{00000000-0005-0000-0000-00005B000000}"/>
    <cellStyle name="Accent6 - 60%" xfId="139" xr:uid="{00000000-0005-0000-0000-00005C000000}"/>
    <cellStyle name="Accent6 2" xfId="140" xr:uid="{00000000-0005-0000-0000-00005D000000}"/>
    <cellStyle name="AER" xfId="52" xr:uid="{00000000-0005-0000-0000-00005E000000}"/>
    <cellStyle name="Agara" xfId="141" xr:uid="{00000000-0005-0000-0000-00005F000000}"/>
    <cellStyle name="B79812_.wvu.PrintTitlest" xfId="142" xr:uid="{00000000-0005-0000-0000-000060000000}"/>
    <cellStyle name="Bad" xfId="11" builtinId="27" hidden="1"/>
    <cellStyle name="Bad 2" xfId="143" xr:uid="{00000000-0005-0000-0000-000062000000}"/>
    <cellStyle name="Black" xfId="144" xr:uid="{00000000-0005-0000-0000-000063000000}"/>
    <cellStyle name="Blockout" xfId="145" xr:uid="{00000000-0005-0000-0000-000064000000}"/>
    <cellStyle name="Blockout 2" xfId="146" xr:uid="{00000000-0005-0000-0000-000065000000}"/>
    <cellStyle name="Blue" xfId="147" xr:uid="{00000000-0005-0000-0000-000066000000}"/>
    <cellStyle name="Calculation" xfId="15" builtinId="22" customBuiltin="1"/>
    <cellStyle name="Calculation 2" xfId="148" xr:uid="{00000000-0005-0000-0000-000068000000}"/>
    <cellStyle name="Check Cell" xfId="16" builtinId="23" hidden="1"/>
    <cellStyle name="Check Cell 2" xfId="149" xr:uid="{00000000-0005-0000-0000-00006A000000}"/>
    <cellStyle name="colour-01" xfId="300" xr:uid="{00000000-0005-0000-0000-00006B000000}"/>
    <cellStyle name="Comma" xfId="1" builtinId="3" hidden="1"/>
    <cellStyle name="Comma [0]" xfId="5" builtinId="6" hidden="1"/>
    <cellStyle name="Comma [0]7Z_87C" xfId="150" xr:uid="{00000000-0005-0000-0000-00006E000000}"/>
    <cellStyle name="Comma 0" xfId="151" xr:uid="{00000000-0005-0000-0000-00006F000000}"/>
    <cellStyle name="Comma 1" xfId="152" xr:uid="{00000000-0005-0000-0000-000070000000}"/>
    <cellStyle name="Comma 1 2" xfId="153" xr:uid="{00000000-0005-0000-0000-000071000000}"/>
    <cellStyle name="Comma 2" xfId="63" xr:uid="{00000000-0005-0000-0000-000072000000}"/>
    <cellStyle name="Comma 2 2" xfId="154" xr:uid="{00000000-0005-0000-0000-000073000000}"/>
    <cellStyle name="Comma 2 3" xfId="155" xr:uid="{00000000-0005-0000-0000-000074000000}"/>
    <cellStyle name="Comma 2 3 2" xfId="156" xr:uid="{00000000-0005-0000-0000-000075000000}"/>
    <cellStyle name="Comma 2 4" xfId="157" xr:uid="{00000000-0005-0000-0000-000076000000}"/>
    <cellStyle name="Comma 2 5" xfId="158" xr:uid="{00000000-0005-0000-0000-000077000000}"/>
    <cellStyle name="Comma 3" xfId="159" xr:uid="{00000000-0005-0000-0000-000078000000}"/>
    <cellStyle name="Comma 3 2" xfId="160" xr:uid="{00000000-0005-0000-0000-000079000000}"/>
    <cellStyle name="Comma 3 3" xfId="161" xr:uid="{00000000-0005-0000-0000-00007A000000}"/>
    <cellStyle name="Comma 4" xfId="162" xr:uid="{00000000-0005-0000-0000-00007B000000}"/>
    <cellStyle name="Comma 5" xfId="163" xr:uid="{00000000-0005-0000-0000-00007C000000}"/>
    <cellStyle name="Comma 6" xfId="164" xr:uid="{00000000-0005-0000-0000-00007D000000}"/>
    <cellStyle name="Comma 7" xfId="165" xr:uid="{00000000-0005-0000-0000-00007E000000}"/>
    <cellStyle name="Comma 8" xfId="166" xr:uid="{00000000-0005-0000-0000-00007F000000}"/>
    <cellStyle name="Comma0" xfId="167" xr:uid="{00000000-0005-0000-0000-000080000000}"/>
    <cellStyle name="Currency" xfId="2" builtinId="4" hidden="1"/>
    <cellStyle name="Currency" xfId="51" xr:uid="{00000000-0005-0000-0000-000082000000}"/>
    <cellStyle name="Currency [0]" xfId="6" builtinId="7" hidden="1"/>
    <cellStyle name="Currency 11" xfId="168" xr:uid="{00000000-0005-0000-0000-000084000000}"/>
    <cellStyle name="Currency 11 2" xfId="169" xr:uid="{00000000-0005-0000-0000-000085000000}"/>
    <cellStyle name="Currency 2" xfId="170" xr:uid="{00000000-0005-0000-0000-000086000000}"/>
    <cellStyle name="Currency 2 2" xfId="55" xr:uid="{00000000-0005-0000-0000-000087000000}"/>
    <cellStyle name="Currency 2 3" xfId="56" xr:uid="{00000000-0005-0000-0000-000088000000}"/>
    <cellStyle name="Currency 3" xfId="171" xr:uid="{00000000-0005-0000-0000-000089000000}"/>
    <cellStyle name="Currency 3 2" xfId="172" xr:uid="{00000000-0005-0000-0000-00008A000000}"/>
    <cellStyle name="Currency 4" xfId="173" xr:uid="{00000000-0005-0000-0000-00008B000000}"/>
    <cellStyle name="Currency 4 2" xfId="174" xr:uid="{00000000-0005-0000-0000-00008C000000}"/>
    <cellStyle name="Currency 5" xfId="54" xr:uid="{00000000-0005-0000-0000-00008D000000}"/>
    <cellStyle name="D4_B8B1_005004B79812_.wvu.PrintTitlest" xfId="175" xr:uid="{00000000-0005-0000-0000-00008E000000}"/>
    <cellStyle name="Date" xfId="176" xr:uid="{00000000-0005-0000-0000-00008F000000}"/>
    <cellStyle name="Date 2" xfId="177" xr:uid="{00000000-0005-0000-0000-000090000000}"/>
    <cellStyle name="Emphasis 1" xfId="178" xr:uid="{00000000-0005-0000-0000-000091000000}"/>
    <cellStyle name="Emphasis 2" xfId="179" xr:uid="{00000000-0005-0000-0000-000092000000}"/>
    <cellStyle name="Emphasis 3" xfId="180" xr:uid="{00000000-0005-0000-0000-000093000000}"/>
    <cellStyle name="Euro" xfId="181" xr:uid="{00000000-0005-0000-0000-000094000000}"/>
    <cellStyle name="Explanatory Text" xfId="17" builtinId="53" hidden="1"/>
    <cellStyle name="Explanatory Text 2" xfId="182" xr:uid="{00000000-0005-0000-0000-000096000000}"/>
    <cellStyle name="Fixed" xfId="183" xr:uid="{00000000-0005-0000-0000-000097000000}"/>
    <cellStyle name="Fixed 2" xfId="184" xr:uid="{00000000-0005-0000-0000-000098000000}"/>
    <cellStyle name="Gilsans" xfId="185" xr:uid="{00000000-0005-0000-0000-000099000000}"/>
    <cellStyle name="Gilsansl" xfId="186" xr:uid="{00000000-0005-0000-0000-00009A000000}"/>
    <cellStyle name="Good" xfId="10" builtinId="26" hidden="1"/>
    <cellStyle name="Good 2" xfId="187" xr:uid="{00000000-0005-0000-0000-00009C000000}"/>
    <cellStyle name="Heading 1" xfId="8" builtinId="16" customBuiltin="1"/>
    <cellStyle name="Heading 1 2" xfId="188" xr:uid="{00000000-0005-0000-0000-00009E000000}"/>
    <cellStyle name="Heading 1 2 2" xfId="189" xr:uid="{00000000-0005-0000-0000-00009F000000}"/>
    <cellStyle name="Heading 1 3" xfId="190" xr:uid="{00000000-0005-0000-0000-0000A0000000}"/>
    <cellStyle name="Heading 2" xfId="9" builtinId="17" customBuiltin="1"/>
    <cellStyle name="Heading 2 2" xfId="191" xr:uid="{00000000-0005-0000-0000-0000A2000000}"/>
    <cellStyle name="Heading 2 2 2" xfId="192" xr:uid="{00000000-0005-0000-0000-0000A3000000}"/>
    <cellStyle name="Heading 2 3" xfId="193" xr:uid="{00000000-0005-0000-0000-0000A4000000}"/>
    <cellStyle name="Heading 3" xfId="49" builtinId="18" customBuiltin="1"/>
    <cellStyle name="Heading 3 2" xfId="194" xr:uid="{00000000-0005-0000-0000-0000A6000000}"/>
    <cellStyle name="Heading 3 2 2" xfId="195" xr:uid="{00000000-0005-0000-0000-0000A7000000}"/>
    <cellStyle name="Heading 3 2 3" xfId="196" xr:uid="{00000000-0005-0000-0000-0000A8000000}"/>
    <cellStyle name="Heading 3 3" xfId="197" xr:uid="{00000000-0005-0000-0000-0000A9000000}"/>
    <cellStyle name="Heading 4 2" xfId="198" xr:uid="{00000000-0005-0000-0000-0000AA000000}"/>
    <cellStyle name="Heading 4 2 2" xfId="199" xr:uid="{00000000-0005-0000-0000-0000AB000000}"/>
    <cellStyle name="Heading 4 3" xfId="200" xr:uid="{00000000-0005-0000-0000-0000AC000000}"/>
    <cellStyle name="Heading(4)" xfId="201" xr:uid="{00000000-0005-0000-0000-0000AD000000}"/>
    <cellStyle name="Hyperlink 2" xfId="202" xr:uid="{00000000-0005-0000-0000-0000AE000000}"/>
    <cellStyle name="Hyperlink Arrow" xfId="203" xr:uid="{00000000-0005-0000-0000-0000AF000000}"/>
    <cellStyle name="Hyperlink Text" xfId="204" xr:uid="{00000000-0005-0000-0000-0000B0000000}"/>
    <cellStyle name="import_ICRC Electricity model 1-1  (1 Feb 2003) " xfId="205" xr:uid="{00000000-0005-0000-0000-0000B1000000}"/>
    <cellStyle name="Input" xfId="13" builtinId="20" customBuiltin="1"/>
    <cellStyle name="Input 2" xfId="206" xr:uid="{00000000-0005-0000-0000-0000B3000000}"/>
    <cellStyle name="Input1" xfId="65" xr:uid="{00000000-0005-0000-0000-0000B4000000}"/>
    <cellStyle name="Input1 2" xfId="207" xr:uid="{00000000-0005-0000-0000-0000B5000000}"/>
    <cellStyle name="Input1_ICRC Electricity model 1-1  (1 Feb 2003) " xfId="208" xr:uid="{00000000-0005-0000-0000-0000B6000000}"/>
    <cellStyle name="Input2" xfId="209" xr:uid="{00000000-0005-0000-0000-0000B7000000}"/>
    <cellStyle name="Input2 2" xfId="210" xr:uid="{00000000-0005-0000-0000-0000B8000000}"/>
    <cellStyle name="Input3" xfId="66" xr:uid="{00000000-0005-0000-0000-0000B9000000}"/>
    <cellStyle name="Input3 2" xfId="211" xr:uid="{00000000-0005-0000-0000-0000BA000000}"/>
    <cellStyle name="Lines" xfId="212" xr:uid="{00000000-0005-0000-0000-0000BB000000}"/>
    <cellStyle name="Linked Cell" xfId="44" builtinId="24" hidden="1"/>
    <cellStyle name="Linked Cell 2" xfId="213" xr:uid="{00000000-0005-0000-0000-0000BD000000}"/>
    <cellStyle name="Mine" xfId="214" xr:uid="{00000000-0005-0000-0000-0000BE000000}"/>
    <cellStyle name="Model Name" xfId="215" xr:uid="{00000000-0005-0000-0000-0000BF000000}"/>
    <cellStyle name="Neutral" xfId="12" builtinId="28" hidden="1"/>
    <cellStyle name="Neutral 2" xfId="216" xr:uid="{00000000-0005-0000-0000-0000C1000000}"/>
    <cellStyle name="Normal" xfId="0" builtinId="0" customBuiltin="1"/>
    <cellStyle name="Normal - Style1" xfId="217" xr:uid="{00000000-0005-0000-0000-0000C3000000}"/>
    <cellStyle name="Normal 10" xfId="53" xr:uid="{00000000-0005-0000-0000-0000C4000000}"/>
    <cellStyle name="Normal 114" xfId="68" xr:uid="{00000000-0005-0000-0000-0000C5000000}"/>
    <cellStyle name="Normal 13" xfId="218" xr:uid="{00000000-0005-0000-0000-0000C6000000}"/>
    <cellStyle name="Normal 13 2" xfId="219" xr:uid="{00000000-0005-0000-0000-0000C7000000}"/>
    <cellStyle name="Normal 13_29(d) - Gas extensions -tariffs" xfId="220" xr:uid="{00000000-0005-0000-0000-0000C8000000}"/>
    <cellStyle name="Normal 15" xfId="221" xr:uid="{00000000-0005-0000-0000-0000C9000000}"/>
    <cellStyle name="Normal 16" xfId="222" xr:uid="{00000000-0005-0000-0000-0000CA000000}"/>
    <cellStyle name="Normal 2" xfId="57" xr:uid="{00000000-0005-0000-0000-0000CB000000}"/>
    <cellStyle name="Normal 2 2" xfId="64" xr:uid="{00000000-0005-0000-0000-0000CC000000}"/>
    <cellStyle name="Normal 2 2 2" xfId="223" xr:uid="{00000000-0005-0000-0000-0000CD000000}"/>
    <cellStyle name="Normal 2 3" xfId="224" xr:uid="{00000000-0005-0000-0000-0000CE000000}"/>
    <cellStyle name="Normal 2 3 2" xfId="225" xr:uid="{00000000-0005-0000-0000-0000CF000000}"/>
    <cellStyle name="Normal 2 3_29(d) - Gas extensions -tariffs" xfId="226" xr:uid="{00000000-0005-0000-0000-0000D0000000}"/>
    <cellStyle name="Normal 2 4" xfId="227" xr:uid="{00000000-0005-0000-0000-0000D1000000}"/>
    <cellStyle name="Normal 2 5" xfId="228" xr:uid="{00000000-0005-0000-0000-0000D2000000}"/>
    <cellStyle name="Normal 2_29(d) - Gas extensions -tariffs" xfId="229" xr:uid="{00000000-0005-0000-0000-0000D3000000}"/>
    <cellStyle name="Normal 3" xfId="60" xr:uid="{00000000-0005-0000-0000-0000D4000000}"/>
    <cellStyle name="Normal 3 2" xfId="230" xr:uid="{00000000-0005-0000-0000-0000D5000000}"/>
    <cellStyle name="Normal 3_29(d) - Gas extensions -tariffs" xfId="231" xr:uid="{00000000-0005-0000-0000-0000D6000000}"/>
    <cellStyle name="Normal 38" xfId="232" xr:uid="{00000000-0005-0000-0000-0000D7000000}"/>
    <cellStyle name="Normal 38 2" xfId="233" xr:uid="{00000000-0005-0000-0000-0000D8000000}"/>
    <cellStyle name="Normal 38_29(d) - Gas extensions -tariffs" xfId="234" xr:uid="{00000000-0005-0000-0000-0000D9000000}"/>
    <cellStyle name="Normal 4" xfId="62" xr:uid="{00000000-0005-0000-0000-0000DA000000}"/>
    <cellStyle name="Normal 4 2" xfId="67" xr:uid="{00000000-0005-0000-0000-0000DB000000}"/>
    <cellStyle name="Normal 4 3" xfId="235" xr:uid="{00000000-0005-0000-0000-0000DC000000}"/>
    <cellStyle name="Normal 4_29(d) - Gas extensions -tariffs" xfId="236" xr:uid="{00000000-0005-0000-0000-0000DD000000}"/>
    <cellStyle name="Normal 40" xfId="237" xr:uid="{00000000-0005-0000-0000-0000DE000000}"/>
    <cellStyle name="Normal 40 2" xfId="238" xr:uid="{00000000-0005-0000-0000-0000DF000000}"/>
    <cellStyle name="Normal 40_29(d) - Gas extensions -tariffs" xfId="239" xr:uid="{00000000-0005-0000-0000-0000E0000000}"/>
    <cellStyle name="Normal 5" xfId="240" xr:uid="{00000000-0005-0000-0000-0000E1000000}"/>
    <cellStyle name="Normal 6 2" xfId="241" xr:uid="{00000000-0005-0000-0000-0000E2000000}"/>
    <cellStyle name="Normal 7" xfId="242" xr:uid="{00000000-0005-0000-0000-0000E3000000}"/>
    <cellStyle name="Normal 7 2" xfId="243" xr:uid="{00000000-0005-0000-0000-0000E4000000}"/>
    <cellStyle name="Normal 8" xfId="244" xr:uid="{00000000-0005-0000-0000-0000E5000000}"/>
    <cellStyle name="Normal 9" xfId="245" xr:uid="{00000000-0005-0000-0000-0000E6000000}"/>
    <cellStyle name="Note" xfId="4" builtinId="10" customBuiltin="1"/>
    <cellStyle name="Note 2" xfId="246" xr:uid="{00000000-0005-0000-0000-0000E8000000}"/>
    <cellStyle name="Output" xfId="14" builtinId="21" hidden="1" customBuiltin="1"/>
    <cellStyle name="Output" xfId="50" xr:uid="{00000000-0005-0000-0000-0000EA000000}"/>
    <cellStyle name="Output 2" xfId="247" xr:uid="{00000000-0005-0000-0000-0000EB000000}"/>
    <cellStyle name="Percent" xfId="3" builtinId="5" hidden="1"/>
    <cellStyle name="Percent" xfId="48" xr:uid="{00000000-0005-0000-0000-0000ED000000}"/>
    <cellStyle name="Percent [2]" xfId="248" xr:uid="{00000000-0005-0000-0000-0000EE000000}"/>
    <cellStyle name="Percent [2] 2" xfId="249" xr:uid="{00000000-0005-0000-0000-0000EF000000}"/>
    <cellStyle name="Percent [2]_29(d) - Gas extensions -tariffs" xfId="250" xr:uid="{00000000-0005-0000-0000-0000F0000000}"/>
    <cellStyle name="Percent 2" xfId="61" xr:uid="{00000000-0005-0000-0000-0000F1000000}"/>
    <cellStyle name="Percent 2 2" xfId="251" xr:uid="{00000000-0005-0000-0000-0000F2000000}"/>
    <cellStyle name="Percent 3" xfId="252" xr:uid="{00000000-0005-0000-0000-0000F3000000}"/>
    <cellStyle name="Percent 3 2" xfId="253" xr:uid="{00000000-0005-0000-0000-0000F4000000}"/>
    <cellStyle name="Percent 4" xfId="254" xr:uid="{00000000-0005-0000-0000-0000F5000000}"/>
    <cellStyle name="Percent 5" xfId="58" xr:uid="{00000000-0005-0000-0000-0000F6000000}"/>
    <cellStyle name="Percent 7" xfId="255" xr:uid="{00000000-0005-0000-0000-0000F7000000}"/>
    <cellStyle name="Percentage" xfId="256" xr:uid="{00000000-0005-0000-0000-0000F8000000}"/>
    <cellStyle name="Period Title" xfId="257" xr:uid="{00000000-0005-0000-0000-0000F9000000}"/>
    <cellStyle name="PSChar" xfId="258" xr:uid="{00000000-0005-0000-0000-0000FA000000}"/>
    <cellStyle name="PSDate" xfId="259" xr:uid="{00000000-0005-0000-0000-0000FB000000}"/>
    <cellStyle name="PSDec" xfId="260" xr:uid="{00000000-0005-0000-0000-0000FC000000}"/>
    <cellStyle name="PSDetail" xfId="261" xr:uid="{00000000-0005-0000-0000-0000FD000000}"/>
    <cellStyle name="PSHeading" xfId="262" xr:uid="{00000000-0005-0000-0000-0000FE000000}"/>
    <cellStyle name="PSInt" xfId="263" xr:uid="{00000000-0005-0000-0000-0000FF000000}"/>
    <cellStyle name="PSSpacer" xfId="264" xr:uid="{00000000-0005-0000-0000-000000010000}"/>
    <cellStyle name="Ratio" xfId="265" xr:uid="{00000000-0005-0000-0000-000001010000}"/>
    <cellStyle name="Ratio 2" xfId="266" xr:uid="{00000000-0005-0000-0000-000002010000}"/>
    <cellStyle name="Ratio_29(d) - Gas extensions -tariffs" xfId="267" xr:uid="{00000000-0005-0000-0000-000003010000}"/>
    <cellStyle name="Right Date" xfId="268" xr:uid="{00000000-0005-0000-0000-000004010000}"/>
    <cellStyle name="Right Number" xfId="269" xr:uid="{00000000-0005-0000-0000-000005010000}"/>
    <cellStyle name="Right Year" xfId="270" xr:uid="{00000000-0005-0000-0000-000006010000}"/>
    <cellStyle name="SAPError" xfId="271" xr:uid="{00000000-0005-0000-0000-000007010000}"/>
    <cellStyle name="SAPError 2" xfId="272" xr:uid="{00000000-0005-0000-0000-000008010000}"/>
    <cellStyle name="SAPKey" xfId="273" xr:uid="{00000000-0005-0000-0000-000009010000}"/>
    <cellStyle name="SAPKey 2" xfId="274" xr:uid="{00000000-0005-0000-0000-00000A010000}"/>
    <cellStyle name="SAPLocked" xfId="275" xr:uid="{00000000-0005-0000-0000-00000B010000}"/>
    <cellStyle name="SAPLocked 2" xfId="276" xr:uid="{00000000-0005-0000-0000-00000C010000}"/>
    <cellStyle name="SAPOutput" xfId="277" xr:uid="{00000000-0005-0000-0000-00000D010000}"/>
    <cellStyle name="SAPOutput 2" xfId="278" xr:uid="{00000000-0005-0000-0000-00000E010000}"/>
    <cellStyle name="SAPSpace" xfId="279" xr:uid="{00000000-0005-0000-0000-00000F010000}"/>
    <cellStyle name="SAPSpace 2" xfId="280" xr:uid="{00000000-0005-0000-0000-000010010000}"/>
    <cellStyle name="SAPText" xfId="281" xr:uid="{00000000-0005-0000-0000-000011010000}"/>
    <cellStyle name="SAPText 2" xfId="282" xr:uid="{00000000-0005-0000-0000-000012010000}"/>
    <cellStyle name="SAPUnLocked" xfId="283" xr:uid="{00000000-0005-0000-0000-000013010000}"/>
    <cellStyle name="SAPUnLocked 2" xfId="284" xr:uid="{00000000-0005-0000-0000-000014010000}"/>
    <cellStyle name="Sheet Title" xfId="285" xr:uid="{00000000-0005-0000-0000-000015010000}"/>
    <cellStyle name="SheetHeader1" xfId="59" xr:uid="{00000000-0005-0000-0000-000016010000}"/>
    <cellStyle name="Style 1" xfId="286" xr:uid="{00000000-0005-0000-0000-000017010000}"/>
    <cellStyle name="Style 1 2" xfId="287" xr:uid="{00000000-0005-0000-0000-000018010000}"/>
    <cellStyle name="Style 1_29(d) - Gas extensions -tariffs" xfId="288" xr:uid="{00000000-0005-0000-0000-000019010000}"/>
    <cellStyle name="Style2" xfId="289" xr:uid="{00000000-0005-0000-0000-00001A010000}"/>
    <cellStyle name="Style3" xfId="290" xr:uid="{00000000-0005-0000-0000-00001B010000}"/>
    <cellStyle name="Style4" xfId="291" xr:uid="{00000000-0005-0000-0000-00001C010000}"/>
    <cellStyle name="Style4 2" xfId="292" xr:uid="{00000000-0005-0000-0000-00001D010000}"/>
    <cellStyle name="Style4_29(d) - Gas extensions -tariffs" xfId="293" xr:uid="{00000000-0005-0000-0000-00001E010000}"/>
    <cellStyle name="Style5" xfId="294" xr:uid="{00000000-0005-0000-0000-00001F010000}"/>
    <cellStyle name="Style5 2" xfId="295" xr:uid="{00000000-0005-0000-0000-000020010000}"/>
    <cellStyle name="Style5_29(d) - Gas extensions -tariffs" xfId="296" xr:uid="{00000000-0005-0000-0000-000021010000}"/>
    <cellStyle name="Table body number" xfId="47" xr:uid="{00000000-0005-0000-0000-000022010000}"/>
    <cellStyle name="Table body Text" xfId="46" xr:uid="{00000000-0005-0000-0000-000023010000}"/>
    <cellStyle name="Table Head Green" xfId="297" xr:uid="{00000000-0005-0000-0000-000024010000}"/>
    <cellStyle name="Table Head_pldt" xfId="298" xr:uid="{00000000-0005-0000-0000-000025010000}"/>
    <cellStyle name="Table Heading 1" xfId="45" xr:uid="{00000000-0005-0000-0000-000026010000}"/>
    <cellStyle name="Table Units" xfId="299" xr:uid="{00000000-0005-0000-0000-000027010000}"/>
    <cellStyle name="TableLvl2" xfId="69" xr:uid="{00000000-0005-0000-0000-000028010000}"/>
    <cellStyle name="TableLvl3" xfId="70" xr:uid="{00000000-0005-0000-0000-000029010000}"/>
    <cellStyle name="Title" xfId="7" builtinId="15" customBuiltin="1"/>
    <cellStyle name="Total" xfId="43" builtinId="25" hidden="1"/>
    <cellStyle name="Warning Text" xfId="42" builtinId="11" hidden="1"/>
  </cellStyles>
  <dxfs count="0"/>
  <tableStyles count="0" defaultTableStyle="TableStyleMedium2" defaultPivotStyle="PivotStyleLight16"/>
  <colors>
    <mruColors>
      <color rgb="FFABB1B5"/>
      <color rgb="FFC8102E"/>
      <color rgb="FF92C82A"/>
      <color rgb="FF25282A"/>
      <color rgb="FFFFD100"/>
      <color rgb="FFD3F1E2"/>
      <color rgb="FFF9B5C0"/>
      <color rgb="FFBEAFA8"/>
      <color rgb="FF5FC8D7"/>
      <color rgb="FF00A6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2407306</xdr:colOff>
      <xdr:row>7</xdr:row>
      <xdr:rowOff>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2407306</xdr:colOff>
      <xdr:row>6</xdr:row>
      <xdr:rowOff>159168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1521481</xdr:colOff>
      <xdr:row>6</xdr:row>
      <xdr:rowOff>159168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DATA\Group$\Regulatory\AER%20Information%20gathering%20and%20reporting\ARIN%20submissions\VTS\CY11_CY19\VTS%20COMBINED%20Pipeline%20Service%20Provider%20Historical%20Performance%20Data_C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DATA\Group$\Regulatory\AER%20Information%20gathering%20and%20reporting\ARIN%20submissions\VTS\CY20\VTS%20COMBINED%20Pipeline%20Service%20Provider%20Annual%20Performance%20Data%20C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asNetAA2018/Models/VTS%20Actual%20Regulatory%20Opex%20from%201%20Jan%2012%20to%2031%20Dec%2016%20(includes%20forecast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/GasNetAA2018/Data/Gasnet%20-%20PTRM%20-%20%20Final%20deci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GasNet/AA%20revision%20-%202013-17/Final%20Decision%20Mar%202013/AER%20Tariff%20model%20Final%20Decision%20Amended%207%20Mar-Ver1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VTS%20AA/Opex/20211026%20VTS%20Offse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VTS%20AA/Opex/VTS%20AA%20CY23_CY27%20Land%20Tax%20Step%20chang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VTS%20AA/Opex/WORM%20OPEX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asNetAA2018/Models/VTS%20capital%20expenditure%20model%20201705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VTS%20AA/Tariff%20modelling/Tariff%20Models/VTS%20-%20PTRM%20-%20Dec%202021%20-%20Public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DATA\Group$\Regulatory\APT%20Assets\GasNet\Tariffs\2022%20tariffs\APA%20VTS%20-%202018-2022%20AA%20Final%20Decision%20PTRM%20-%202022%20RoD%20update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VTS%20AA/RIN/Response%20Workbooks/Support_Workbook%201/VTS%20Forecast%20Capex%20workings_CY21%20to%20CY2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asNetAA2018/Models/APA%20VTS-B2-APA%20Post%20Tax%20Revenue%20Model-20170509%20-Public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VTS%20AA/Tariff%20modelling/2022%20Tariff%20update/APA%20VTS%20-%202018-2022%20AA%20Final%20Decision%20PTRM%20-%202022%20RoD%20update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VTS%20AA/Models/Opex%20Model/VTS%20T&amp;T.%20SOCI.%20opex%20&amp;%20capex%20+%20VTS%20allocation%2019.11.21%20adj.%20OT%20cyber%20and%20Physi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N1. Demand"/>
      <sheetName val="N2. Network characteristics"/>
      <sheetName val="S1. User numbers"/>
      <sheetName val="S10. Supply qua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B46" t="str">
            <v>Repairs and maintenance</v>
          </cell>
          <cell r="I46">
            <v>20173030.368999999</v>
          </cell>
          <cell r="J46">
            <v>17147365.638</v>
          </cell>
          <cell r="K46">
            <v>17653243.607999999</v>
          </cell>
        </row>
        <row r="47">
          <cell r="B47" t="str">
            <v>Other operating</v>
          </cell>
          <cell r="I47">
            <v>7449562.1784031177</v>
          </cell>
          <cell r="J47">
            <v>8432112.3685580902</v>
          </cell>
          <cell r="K47">
            <v>7297139.3005928677</v>
          </cell>
        </row>
        <row r="48">
          <cell r="B48" t="str">
            <v>Debt raising</v>
          </cell>
          <cell r="I48">
            <v>549728.78278478922</v>
          </cell>
          <cell r="J48">
            <v>58423.091322499145</v>
          </cell>
          <cell r="K48">
            <v>59242.15167326761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N1. Demand"/>
      <sheetName val="N2. Network characteristics"/>
      <sheetName val="S1. User numbers"/>
      <sheetName val="S10. Supply qua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C46">
            <v>20181266.27</v>
          </cell>
        </row>
        <row r="47">
          <cell r="C47">
            <v>7787231.6670351289</v>
          </cell>
        </row>
        <row r="48">
          <cell r="C48">
            <v>59839.347506115169</v>
          </cell>
        </row>
      </sheetData>
      <sheetData sheetId="8"/>
      <sheetData sheetId="9">
        <row r="38">
          <cell r="C38">
            <v>258110206.78634015</v>
          </cell>
        </row>
      </sheetData>
      <sheetData sheetId="10">
        <row r="38">
          <cell r="B38" t="str">
            <v>Longford to Melbourne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N Disclosure"/>
      <sheetName val="Act Reg Opex Regulatory Period"/>
      <sheetName val="MEJS by project and exp account"/>
      <sheetName val="Act Reg Opex by Calander Yr"/>
      <sheetName val="Detailed Actual Reg Opex"/>
      <sheetName val="Corporate Cost Overheads"/>
      <sheetName val="Project 30691 AA Cost"/>
      <sheetName val="Sheet1"/>
      <sheetName val="Queries "/>
      <sheetName val="Notes "/>
    </sheetNames>
    <sheetDataSet>
      <sheetData sheetId="0"/>
      <sheetData sheetId="1">
        <row r="14">
          <cell r="A14" t="str">
            <v xml:space="preserve">Corporate overheads costs 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D Tables"/>
      <sheetName val="Equity raising cost-capex"/>
      <sheetName val="Input"/>
      <sheetName val="WACC"/>
      <sheetName val="Assets"/>
      <sheetName val="Analysis"/>
      <sheetName val="Smoothing"/>
      <sheetName val="Revenue summary"/>
      <sheetName val="Tariff inputs"/>
      <sheetName val="Price path (nominal)"/>
      <sheetName val="Price path (real)"/>
      <sheetName val="Chart 1-MAR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>
        <row r="245">
          <cell r="E245" t="str">
            <v>Controllable opex</v>
          </cell>
        </row>
        <row r="246">
          <cell r="E246" t="str">
            <v>Step out and scope changes</v>
          </cell>
        </row>
        <row r="247">
          <cell r="E247" t="str">
            <v>Reset costs</v>
          </cell>
        </row>
        <row r="248">
          <cell r="E248" t="str">
            <v>Other allowances</v>
          </cell>
        </row>
        <row r="249">
          <cell r="E249" t="str">
            <v>Benefit sharing allowance</v>
          </cell>
        </row>
        <row r="250">
          <cell r="E250" t="str">
            <v>Debt raising costs</v>
          </cell>
        </row>
        <row r="251">
          <cell r="E251" t="str">
            <v>Total</v>
          </cell>
        </row>
      </sheetData>
      <sheetData sheetId="4" refreshError="1"/>
      <sheetData sheetId="5" refreshError="1">
        <row r="6">
          <cell r="G6">
            <v>2.5000000000000001E-2</v>
          </cell>
          <cell r="H6">
            <v>2.5000000000000001E-2</v>
          </cell>
          <cell r="I6">
            <v>2.5000000000000001E-2</v>
          </cell>
          <cell r="J6">
            <v>2.5000000000000001E-2</v>
          </cell>
          <cell r="K6">
            <v>2.5000000000000001E-2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odel_Changes__BA"/>
      <sheetName val="Assumptions_SC"/>
      <sheetName val="TS_BA"/>
      <sheetName val="General_BA"/>
      <sheetName val="WACC_BA"/>
      <sheetName val="Pipeline_BA"/>
      <sheetName val="Working_Capital_BA"/>
      <sheetName val="Opex_Forecast_BA"/>
      <sheetName val="Scope_Changes_BA"/>
      <sheetName val="Volume_Assumptions_BA"/>
      <sheetName val="Outputs_SC"/>
      <sheetName val="WACC_BO"/>
      <sheetName val="O&amp;M_Workings_BO"/>
      <sheetName val="O&amp;M_Regulatory_TO"/>
      <sheetName val="Withdrawal_Volumes_Forecasts_BO"/>
      <sheetName val="Withdrawal_Volumes_SC"/>
      <sheetName val="Vencorp_Summary_BO"/>
      <sheetName val="Annual_CTM_BO"/>
      <sheetName val="Tariff_V_BO"/>
      <sheetName val="Tariff_D_BO"/>
      <sheetName val="Exports_BO"/>
      <sheetName val="Power_Station_BO"/>
      <sheetName val="WithdrawalVol_Summary_BO"/>
      <sheetName val="2013_Tariffs_SC"/>
      <sheetName val="2013Allocation-Direct_BO"/>
      <sheetName val="2013Non-Direct Costs_BO"/>
      <sheetName val="2013Asset_Group_Summary_BO"/>
      <sheetName val="2013_Tariff_Zone_BO"/>
      <sheetName val="2014_Tariffs_SC"/>
      <sheetName val="2014Allocation-Direct_BO"/>
      <sheetName val="2014Non-Direct Costs_BO"/>
      <sheetName val="2014Asset_Group_Summary_BO"/>
      <sheetName val="2014_Tariff_Zone_BO"/>
      <sheetName val="2015_Tariffs_SC"/>
      <sheetName val="2015Allocation-Direct_BO"/>
      <sheetName val="2015Non-Direct Costs_BO"/>
      <sheetName val="2015Asset_Group_Summary_BO"/>
      <sheetName val="2015_Tariff_Zone_BO"/>
      <sheetName val="2016_Tariffs_SC"/>
      <sheetName val="2016Allocation-Direct_BO"/>
      <sheetName val="2016Non-Direct Costs_BO"/>
      <sheetName val="2016Asset_Group_Summary_BO"/>
      <sheetName val="2016_Tariff_Zone_BO"/>
      <sheetName val="2017_Tariffs_SC"/>
      <sheetName val="2017Allocation-Direct_BO"/>
      <sheetName val="2017Non-Direct Costs_BO"/>
      <sheetName val="2017Asset_Group_Summary_BO"/>
      <sheetName val="2017_Tariff_Zone_BO"/>
      <sheetName val="Injection_SC"/>
      <sheetName val="Injection Summary_BO"/>
      <sheetName val="Longford_BO"/>
      <sheetName val="Port_Campbell_BO"/>
      <sheetName val="Culcairn_BO"/>
      <sheetName val="Peak_Day_Calc_BO"/>
      <sheetName val="Flow_Paths_SC"/>
      <sheetName val="Gas_Source_BO"/>
      <sheetName val="Injection_Forecasts_BO"/>
      <sheetName val="Rates_Calc_BO"/>
      <sheetName val="Distance_Table_BO"/>
      <sheetName val="Paths_13_BO"/>
      <sheetName val="TJ-KM_13_(annual)_BO"/>
      <sheetName val="TJ-KM_13_(peak)_BO"/>
      <sheetName val="Paths_14_BO"/>
      <sheetName val="TJ-KM_14_(annual)_BO"/>
      <sheetName val="TJ-KM_14_(peak)_BO"/>
      <sheetName val="Paths_15_BO"/>
      <sheetName val="TJ-KM_15_(annual)_BO"/>
      <sheetName val="TJ-KM_15_(peak)_BO"/>
      <sheetName val="Paths_16_BO"/>
      <sheetName val="TJ-KM_16_(annual)_BO"/>
      <sheetName val="TJ-KM_16_(peak)_BO"/>
      <sheetName val="Paths_17_BO"/>
      <sheetName val="TJ-KM_17_(annual)_BO"/>
      <sheetName val="TJ-KM_17_(peak)_BO"/>
      <sheetName val="Northern_Zone_Profiles_SC"/>
      <sheetName val="Injections_BO"/>
      <sheetName val="Interconnect_BO"/>
      <sheetName val="Wodonga_BO"/>
      <sheetName val="M_Valley_BO"/>
      <sheetName val="Hume_BO"/>
      <sheetName val="Allocation_BO"/>
      <sheetName val="Summary_V_BO"/>
      <sheetName val="Summary_D_BO"/>
      <sheetName val="Cost_Recovery_SC"/>
      <sheetName val="Tariff_13_BO"/>
      <sheetName val="Cost_Table_13_annual_BO"/>
      <sheetName val="Cost_Table_13_peak_BO"/>
      <sheetName val="Tariff_14_BO"/>
      <sheetName val="Cost_Table_14_annual_BO"/>
      <sheetName val="Cost_Table_14_peak_BO"/>
      <sheetName val="Tariff_15_BO"/>
      <sheetName val="Cost_Table_15_annual_BO"/>
      <sheetName val="Cost_Table_15_peak_BO"/>
      <sheetName val="Tariff_16_BO"/>
      <sheetName val="Cost_Table_16_annual_BO"/>
      <sheetName val="Cost_Table_16_peak_BO"/>
      <sheetName val="Tariff_17_BO"/>
      <sheetName val="Cost_Table_17_annual_BO"/>
      <sheetName val="Cost_Table_17_peak_BO"/>
      <sheetName val="Zonal_Allocation_SC"/>
      <sheetName val="Injection_BO"/>
      <sheetName val="Rev_Summary_BO"/>
      <sheetName val="Process_Summ_I_BO"/>
      <sheetName val="Process_Summ_II_BO"/>
      <sheetName val="Tariff_Zones_BO"/>
      <sheetName val="Tariff_Calc_BO"/>
      <sheetName val="Indirect_BO"/>
      <sheetName val="Western_Zonal_BO"/>
      <sheetName val="Metro_Zonal_BO"/>
      <sheetName val="Interconnect_Zonal_BO"/>
      <sheetName val="N_Hume_BO"/>
      <sheetName val="Wodonga_Zonal_BO"/>
      <sheetName val="Murray_Valley_BO"/>
      <sheetName val="Cross_System_BO"/>
      <sheetName val="Tariff_Outputs_SC"/>
      <sheetName val="Revenue_Summary_BO"/>
      <sheetName val="Rev_-_Rolled_Out_BO"/>
      <sheetName val="Injection_Tariffs_BO"/>
      <sheetName val="Withdrawal_Tariffs_BO"/>
      <sheetName val="Appendices_SC"/>
      <sheetName val="RAB_Model_BO"/>
      <sheetName val="CTM_Details_BA"/>
      <sheetName val="Lookup_Tables_SSC"/>
      <sheetName val="TS_LU"/>
      <sheetName val="Checks_SSC"/>
      <sheetName val="Checks_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2">
          <cell r="J32">
            <v>2010.3839692963852</v>
          </cell>
          <cell r="K32">
            <v>2060.6435685287952</v>
          </cell>
          <cell r="L32">
            <v>2133.1263244086813</v>
          </cell>
          <cell r="M32">
            <v>2192.1432325188971</v>
          </cell>
          <cell r="N32">
            <v>2246.9468133318701</v>
          </cell>
        </row>
        <row r="40">
          <cell r="J40">
            <v>568.35759906813132</v>
          </cell>
          <cell r="K40">
            <v>582.5665390448346</v>
          </cell>
          <cell r="L40">
            <v>597.13070252095542</v>
          </cell>
          <cell r="M40">
            <v>612.05897008397926</v>
          </cell>
          <cell r="N40">
            <v>627.36044433607879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Offsets"/>
      <sheetName val="Assumptions"/>
    </sheetNames>
    <sheetDataSet>
      <sheetData sheetId="0">
        <row r="32">
          <cell r="T32">
            <v>266271.06053333334</v>
          </cell>
          <cell r="U32">
            <v>278294.31326666666</v>
          </cell>
          <cell r="V32">
            <v>290317.56599999993</v>
          </cell>
          <cell r="W32">
            <v>320229.07279999997</v>
          </cell>
          <cell r="X32">
            <v>350140.57959999994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ivot "/>
      <sheetName val="GL 630090 - PROPERTY - RATES &amp; "/>
      <sheetName val="Email Correspondence"/>
      <sheetName val="Assessment"/>
    </sheetNames>
    <sheetDataSet>
      <sheetData sheetId="0">
        <row r="7">
          <cell r="B7">
            <v>614249.83999999985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M Opex"/>
      <sheetName val="Wollert Pressure Limiter"/>
      <sheetName val="Wollert Unit 6"/>
      <sheetName val="Stonehaven Pirron"/>
    </sheetNames>
    <sheetDataSet>
      <sheetData sheetId="0">
        <row r="9">
          <cell r="D9">
            <v>593803.52542372886</v>
          </cell>
        </row>
        <row r="20">
          <cell r="D20">
            <v>551490.83084745763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Output│PTRM"/>
      <sheetName val="1.2 Output│RIN"/>
      <sheetName val="1.1 Output│RFM"/>
      <sheetName val="1.3 Output│Tables"/>
      <sheetName val="1.4 Output│Graphs"/>
      <sheetName val="1.5 Output│2017 Corp Capex"/>
      <sheetName val="2.0 Input│Historic Capex"/>
      <sheetName val="2.1 Raw│historic"/>
      <sheetName val="2.2 Raw│Formatted"/>
      <sheetName val="2.3 Raw│Remove Blanks"/>
      <sheetName val="2.4 Raw│Index"/>
      <sheetName val="3.0 Input│AMP"/>
      <sheetName val="3.4 Raw│AMP"/>
      <sheetName val="3.5 Raw│AMP Annual"/>
      <sheetName val="3.6 Raw│AMP remove nul"/>
      <sheetName val="3.1 Input│B&amp;T"/>
      <sheetName val="3.2 Input│Other"/>
      <sheetName val="3.3 Input│RIN"/>
      <sheetName val="4.0 Calc│AER Forecast ($nom)"/>
      <sheetName val="4.1 Calc│Hist Act ($nom)"/>
      <sheetName val="4.2 Calc│Hist Com ($nom)"/>
      <sheetName val="5.0 Calc│Forecast Projects"/>
      <sheetName val="5.1 Calc│$ million"/>
      <sheetName val="5.2 Calc│VTS"/>
      <sheetName val="5.3 Calc│Forecast $2017"/>
      <sheetName val="5.4 Calc│Escalators"/>
      <sheetName val="5.5 Calc│Escalated capex"/>
      <sheetName val="5.6 Calc│As Commissio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4">
          <cell r="K24">
            <v>1.0232558139534831E-2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Output│Tables"/>
      <sheetName val="RAB_Model_BO"/>
      <sheetName val="DMS input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Building blocks"/>
      <sheetName val="VTS - PTRM - Dec 2021 - Publ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R7">
            <v>5</v>
          </cell>
        </row>
        <row r="448">
          <cell r="G448">
            <v>0.55267130143014165</v>
          </cell>
          <cell r="H448">
            <v>0.5940907953481569</v>
          </cell>
          <cell r="I448">
            <v>0.61992212807345715</v>
          </cell>
          <cell r="J448">
            <v>0.61148498031026899</v>
          </cell>
          <cell r="K448">
            <v>0.59247161104646284</v>
          </cell>
        </row>
        <row r="449">
          <cell r="G449">
            <v>35.291930517861545</v>
          </cell>
          <cell r="H449">
            <v>36.516803359530094</v>
          </cell>
          <cell r="I449">
            <v>35.878598201210735</v>
          </cell>
          <cell r="J449">
            <v>36.291799490339905</v>
          </cell>
          <cell r="K449">
            <v>36.295228031841795</v>
          </cell>
        </row>
        <row r="481">
          <cell r="G481">
            <v>1.4999999999999999E-2</v>
          </cell>
          <cell r="H481">
            <v>1.7500000000000002E-2</v>
          </cell>
          <cell r="I481">
            <v>0.02</v>
          </cell>
          <cell r="J481">
            <v>2.2499999999999999E-2</v>
          </cell>
          <cell r="K481">
            <v>2.5000000000000001E-2</v>
          </cell>
        </row>
      </sheetData>
      <sheetData sheetId="9">
        <row r="18">
          <cell r="G18">
            <v>4.273691462674771E-2</v>
          </cell>
        </row>
      </sheetData>
      <sheetData sheetId="10">
        <row r="7">
          <cell r="L7">
            <v>1.1261218283749965</v>
          </cell>
          <cell r="M7">
            <v>1.1486373646364521</v>
          </cell>
          <cell r="N7">
            <v>1.1716030736592975</v>
          </cell>
          <cell r="O7">
            <v>1.1950279561403292</v>
          </cell>
          <cell r="P7">
            <v>1.2189211927351276</v>
          </cell>
        </row>
        <row r="9">
          <cell r="F9">
            <v>1132.2776316296524</v>
          </cell>
        </row>
        <row r="775">
          <cell r="L775">
            <v>1324.4958326747724</v>
          </cell>
          <cell r="M775">
            <v>1267.9346028714797</v>
          </cell>
          <cell r="N775">
            <v>1213.4665791273922</v>
          </cell>
          <cell r="O775">
            <v>1162.724456985404</v>
          </cell>
          <cell r="P775">
            <v>1115.1511317565594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Input for AER Tariff model"/>
      <sheetName val="Equity raising costs"/>
      <sheetName val="Chart 1-Revenue"/>
      <sheetName val="Chart 2-Price path"/>
      <sheetName val="Chart 3-Building blocks"/>
      <sheetName val="APA VTS - 2018-2022 AA Final De"/>
    </sheetNames>
    <definedNames>
      <definedName name="vanilla01" refersTo="='WACC'!$G$18"/>
      <definedName name="vanilla02" refersTo="='WACC'!$H$18"/>
      <definedName name="vanilla03" refersTo="='WACC'!$I$18"/>
      <definedName name="vanilla04" refersTo="='WACC'!$J$18"/>
      <definedName name="vanilla05" refersTo="='WACC'!$K$18"/>
    </definedNames>
    <sheetDataSet>
      <sheetData sheetId="0"/>
      <sheetData sheetId="1"/>
      <sheetData sheetId="2"/>
      <sheetData sheetId="3">
        <row r="18">
          <cell r="G18">
            <v>5.7499949621930981E-2</v>
          </cell>
          <cell r="H18">
            <v>5.742557008834024E-2</v>
          </cell>
          <cell r="I18">
            <v>5.6442069640372003E-2</v>
          </cell>
          <cell r="J18">
            <v>5.5070351302505496E-2</v>
          </cell>
          <cell r="K18">
            <v>5.4056006366063607E-2</v>
          </cell>
        </row>
      </sheetData>
      <sheetData sheetId="4"/>
      <sheetData sheetId="5"/>
      <sheetData sheetId="6">
        <row r="44">
          <cell r="G44">
            <v>108.16086036247746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apex by Asset classes "/>
      <sheetName val="B. Capex by Driver"/>
      <sheetName val="C. Capex by type "/>
      <sheetName val="B.1 RRIN E1.Expenditure Summary"/>
      <sheetName val="B.2 RRIN E2. Repex"/>
      <sheetName val="B.3 RRIN E3. Expansion"/>
      <sheetName val="B4 E6. Non-network"/>
      <sheetName val="B5 E13. Other capex"/>
      <sheetName val="B6 Projects for Workbook 1 dis"/>
      <sheetName val="Definitions"/>
      <sheetName val="Data input"/>
      <sheetName val="Sheet6"/>
      <sheetName val="1.1 Detailed Forecast Capex "/>
      <sheetName val="2.1 Forecast for WORM"/>
      <sheetName val="2.2 Pivot Worm   "/>
      <sheetName val="2.4 WORM Category Pivot"/>
      <sheetName val="2.3 Tranlist38459WORMasatSept21"/>
      <sheetName val="3.1 Blank "/>
      <sheetName val="4.1 SWP BC info"/>
      <sheetName val="4.2 SWP Costs categories"/>
      <sheetName val="5.1 T&amp;T VTS capex"/>
      <sheetName val="5.2 T&amp;T per Nives"/>
      <sheetName val="6.1 VTS's Share of corp leases"/>
      <sheetName val="6.2 APA Gross_Additions CYbasis"/>
      <sheetName val="7.1 Hydogren "/>
      <sheetName val="8.1 BC List and Check "/>
      <sheetName val="8.2 BC List from AN"/>
      <sheetName val="10.1 Business Cases -&gt;"/>
      <sheetName val="BC203"/>
      <sheetName val="BC204"/>
      <sheetName val="BC205"/>
      <sheetName val="BC211"/>
      <sheetName val="BC212"/>
      <sheetName val="BC216"/>
      <sheetName val="BC220"/>
      <sheetName val="BC224"/>
      <sheetName val="BC225"/>
      <sheetName val="BC227"/>
      <sheetName val="BC230"/>
      <sheetName val="BC235"/>
      <sheetName val="BC239"/>
      <sheetName val="BC242"/>
      <sheetName val="BC244"/>
      <sheetName val="BC249"/>
      <sheetName val="BC258"/>
      <sheetName val="BC259"/>
      <sheetName val="BC260"/>
      <sheetName val="BC263"/>
      <sheetName val="BC264"/>
      <sheetName val="BC267"/>
      <sheetName val="BC271"/>
      <sheetName val="BC275"/>
      <sheetName val="BC307"/>
      <sheetName val="BC309"/>
      <sheetName val="BC314"/>
      <sheetName val="BC317"/>
      <sheetName val="BC328"/>
      <sheetName val="BC329"/>
      <sheetName val="BC330(1)"/>
      <sheetName val="BC330(2)"/>
      <sheetName val="BCExample zzz"/>
      <sheetName val="5.1T&amp;TVTScapexCYbasissuperseded"/>
      <sheetName val="BC243_no longer exists"/>
    </sheetNames>
    <sheetDataSet>
      <sheetData sheetId="0">
        <row r="21">
          <cell r="E21">
            <v>130616596.00400612</v>
          </cell>
          <cell r="F21">
            <v>110869380.8820105</v>
          </cell>
          <cell r="G21">
            <v>49551442.168298841</v>
          </cell>
          <cell r="H21">
            <v>32179100.793518972</v>
          </cell>
          <cell r="I21">
            <v>28779042.713116013</v>
          </cell>
        </row>
      </sheetData>
      <sheetData sheetId="1">
        <row r="27">
          <cell r="E27">
            <v>8436330.5899229553</v>
          </cell>
        </row>
      </sheetData>
      <sheetData sheetId="2"/>
      <sheetData sheetId="3">
        <row r="15">
          <cell r="C15">
            <v>28892065.658659507</v>
          </cell>
        </row>
      </sheetData>
      <sheetData sheetId="4">
        <row r="15">
          <cell r="D15">
            <v>8826588.9978501163</v>
          </cell>
        </row>
      </sheetData>
      <sheetData sheetId="5">
        <row r="15">
          <cell r="D15">
            <v>6445047.3845519107</v>
          </cell>
        </row>
      </sheetData>
      <sheetData sheetId="6">
        <row r="15">
          <cell r="C15">
            <v>2472604.6359279146</v>
          </cell>
        </row>
      </sheetData>
      <sheetData sheetId="7">
        <row r="15">
          <cell r="C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Tables"/>
      <sheetName val="WACC"/>
      <sheetName val="Assets"/>
      <sheetName val="Analysis"/>
      <sheetName val="X factors"/>
      <sheetName val="Revenue summary"/>
      <sheetName val="Input for AER Tariff model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>
        <row r="394">
          <cell r="G394">
            <v>6.0510628790789417E-2</v>
          </cell>
          <cell r="H394">
            <v>6.3125133570585773E-2</v>
          </cell>
          <cell r="I394">
            <v>6.519810782861872E-2</v>
          </cell>
          <cell r="J394">
            <v>6.7244999148066059E-2</v>
          </cell>
          <cell r="K394">
            <v>6.5605043958083559E-2</v>
          </cell>
        </row>
      </sheetData>
      <sheetData sheetId="3">
        <row r="18">
          <cell r="G18">
            <v>2017</v>
          </cell>
        </row>
      </sheetData>
      <sheetData sheetId="4">
        <row r="18">
          <cell r="G18">
            <v>7.8820000000000001E-2</v>
          </cell>
        </row>
      </sheetData>
      <sheetData sheetId="5">
        <row r="18">
          <cell r="G18">
            <v>0</v>
          </cell>
        </row>
      </sheetData>
      <sheetData sheetId="6">
        <row r="18">
          <cell r="G18">
            <v>403.40419193859611</v>
          </cell>
        </row>
      </sheetData>
      <sheetData sheetId="7"/>
      <sheetData sheetId="8"/>
      <sheetData sheetId="9">
        <row r="18">
          <cell r="G18">
            <v>10.508719387967565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Input for AER Tariff model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385">
          <cell r="G385">
            <v>25.653631863929313</v>
          </cell>
          <cell r="H385">
            <v>25.744119706786456</v>
          </cell>
          <cell r="I385">
            <v>25.744119706786456</v>
          </cell>
          <cell r="J385">
            <v>26.746470395363612</v>
          </cell>
          <cell r="K385">
            <v>26.936033307187259</v>
          </cell>
        </row>
        <row r="394">
          <cell r="G394">
            <v>5.9856454946827439E-2</v>
          </cell>
          <cell r="H394">
            <v>6.1733771068755688E-2</v>
          </cell>
          <cell r="I394">
            <v>6.3926367443062598E-2</v>
          </cell>
          <cell r="J394">
            <v>6.5866750375907196E-2</v>
          </cell>
          <cell r="K394">
            <v>6.4185634595638877E-2</v>
          </cell>
        </row>
        <row r="399">
          <cell r="G399">
            <v>6.9011038430109544</v>
          </cell>
          <cell r="H399">
            <v>4.4942152320847368</v>
          </cell>
          <cell r="I399">
            <v>3.5916324893411491</v>
          </cell>
          <cell r="J399">
            <v>2.142455467047248</v>
          </cell>
          <cell r="K39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line 2 IAP2"/>
      <sheetName val="Issues register"/>
      <sheetName val="Dont Use"/>
      <sheetName val="Guide &amp; notes"/>
      <sheetName val="VTS T&amp;T &amp; SOCI opex&amp;capex"/>
      <sheetName val="T&amp;T VTS charts &amp; tables"/>
      <sheetName val="OT APA capex Pivot amended "/>
      <sheetName val="OT APA opex Pivot amended"/>
      <sheetName val="TO "/>
      <sheetName val="T&amp;T APA ALL"/>
      <sheetName val=" SoCI ALL &amp; VTS costs 09.11.21"/>
      <sheetName val="Pivot Transform Opex"/>
      <sheetName val="Pivot OT amended"/>
      <sheetName val="Pivot OT capex OLD"/>
      <sheetName val="Pivot OT opex"/>
      <sheetName val="Pivot IT capex"/>
      <sheetName val="AER MEETING NOTES"/>
      <sheetName val="Hydro summary"/>
      <sheetName val="R3 summary"/>
      <sheetName val="R2 summary"/>
      <sheetName val="Workshop summary"/>
      <sheetName val="DWGM"/>
      <sheetName val="Workshop attendees"/>
    </sheetNames>
    <sheetDataSet>
      <sheetData sheetId="0"/>
      <sheetData sheetId="1"/>
      <sheetData sheetId="2"/>
      <sheetData sheetId="3"/>
      <sheetData sheetId="4">
        <row r="12">
          <cell r="R12">
            <v>2396909.5</v>
          </cell>
          <cell r="S12">
            <v>2992134.5</v>
          </cell>
          <cell r="T12">
            <v>1748319.5000000002</v>
          </cell>
          <cell r="U12">
            <v>1140779.5</v>
          </cell>
          <cell r="V12">
            <v>1132569.5</v>
          </cell>
        </row>
        <row r="17">
          <cell r="R17">
            <v>1313392.6500000001</v>
          </cell>
          <cell r="S17">
            <v>1313392.6500000001</v>
          </cell>
          <cell r="T17">
            <v>1313392.6500000001</v>
          </cell>
          <cell r="U17">
            <v>1313392.6500000001</v>
          </cell>
          <cell r="V17">
            <v>1313392.6500000001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BEAFA8"/>
  </sheetPr>
  <dimension ref="A10:J184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9" defaultRowHeight="13.2"/>
  <cols>
    <col min="1" max="1" width="46.69140625" style="13" customWidth="1"/>
    <col min="2" max="2" width="11.3828125" style="13" customWidth="1"/>
    <col min="3" max="3" width="13.3828125" style="13" bestFit="1" customWidth="1"/>
    <col min="4" max="4" width="14.53515625" style="13" bestFit="1" customWidth="1"/>
    <col min="5" max="7" width="13.53515625" style="13" bestFit="1" customWidth="1"/>
    <col min="8" max="8" width="13.3828125" style="13" bestFit="1" customWidth="1"/>
    <col min="9" max="9" width="11.84375" style="13" bestFit="1" customWidth="1"/>
    <col min="10" max="10" width="12.23046875" style="13" bestFit="1" customWidth="1"/>
    <col min="11" max="11" width="10.53515625" style="13" customWidth="1"/>
    <col min="12" max="13" width="9" style="13"/>
    <col min="14" max="14" width="9.921875" style="13" customWidth="1"/>
    <col min="15" max="16384" width="9" style="13"/>
  </cols>
  <sheetData>
    <row r="10" spans="1:10" s="12" customFormat="1" ht="22.8">
      <c r="A10" s="11" t="str">
        <f ca="1">RIGHT(CELL("filename",A1),LEN(CELL("filename",A1))-FIND("]",CELL("filename",A1)))</f>
        <v>Input</v>
      </c>
      <c r="B10" s="23" t="s">
        <v>0</v>
      </c>
    </row>
    <row r="11" spans="1:10" ht="17.399999999999999">
      <c r="C11" s="23">
        <v>2017</v>
      </c>
      <c r="D11" s="23">
        <f>+C11+1</f>
        <v>2018</v>
      </c>
      <c r="E11" s="23">
        <f t="shared" ref="E11:F11" si="0">+D11+1</f>
        <v>2019</v>
      </c>
      <c r="F11" s="23">
        <f t="shared" si="0"/>
        <v>2020</v>
      </c>
      <c r="G11" s="24" t="s">
        <v>1</v>
      </c>
      <c r="H11" s="24" t="s">
        <v>2</v>
      </c>
      <c r="I11" s="24" t="s">
        <v>3</v>
      </c>
    </row>
    <row r="12" spans="1:10" ht="17.399999999999999">
      <c r="A12" s="23" t="s">
        <v>4</v>
      </c>
      <c r="C12" s="25" t="s">
        <v>5</v>
      </c>
      <c r="G12" s="22" t="s">
        <v>6</v>
      </c>
      <c r="H12" s="22" t="s">
        <v>7</v>
      </c>
    </row>
    <row r="13" spans="1:10" ht="17.399999999999999">
      <c r="A13" s="26" t="str">
        <f>+'[1]E1. Expenditure Summary'!$B$46</f>
        <v>Repairs and maintenance</v>
      </c>
      <c r="B13" s="26" t="s">
        <v>8</v>
      </c>
      <c r="C13" s="27">
        <f>+'[1]E1. Expenditure Summary'!I46</f>
        <v>20173030.368999999</v>
      </c>
      <c r="D13" s="27">
        <f>+'[1]E1. Expenditure Summary'!J46</f>
        <v>17147365.638</v>
      </c>
      <c r="E13" s="27">
        <f>+'[1]E1. Expenditure Summary'!K46</f>
        <v>17653243.607999999</v>
      </c>
      <c r="F13" s="27">
        <f>+'[2]E1. Expenditure Summary'!C46</f>
        <v>20181266.27</v>
      </c>
      <c r="G13" s="28">
        <f>+F13*(1+G24)</f>
        <v>20685797.926749997</v>
      </c>
      <c r="H13" s="28">
        <f>+G13*(1+H24)</f>
        <v>21202942.874918744</v>
      </c>
      <c r="J13" s="29" t="s">
        <v>9</v>
      </c>
    </row>
    <row r="14" spans="1:10" ht="17.399999999999999">
      <c r="A14" s="26" t="str">
        <f>+'[1]E1. Expenditure Summary'!$B$47</f>
        <v>Other operating</v>
      </c>
      <c r="B14" s="26" t="s">
        <v>8</v>
      </c>
      <c r="C14" s="27">
        <f>+'[1]E1. Expenditure Summary'!I47</f>
        <v>7449562.1784031177</v>
      </c>
      <c r="D14" s="27">
        <f>+'[1]E1. Expenditure Summary'!J47</f>
        <v>8432112.3685580902</v>
      </c>
      <c r="E14" s="27">
        <f>+'[1]E1. Expenditure Summary'!K47</f>
        <v>7297139.3005928677</v>
      </c>
      <c r="F14" s="27">
        <f>+'[2]E1. Expenditure Summary'!C47-F16</f>
        <v>2027133.6670351289</v>
      </c>
      <c r="G14" s="28">
        <f>+F14*(1+G24)</f>
        <v>2077812.008711007</v>
      </c>
      <c r="H14" s="28">
        <f>+G14*(1+H24)</f>
        <v>2129757.3089287821</v>
      </c>
      <c r="J14" s="29" t="s">
        <v>10</v>
      </c>
    </row>
    <row r="15" spans="1:10" ht="17.399999999999999">
      <c r="A15" s="26" t="str">
        <f>+'[1]E1. Expenditure Summary'!$B$48</f>
        <v>Debt raising</v>
      </c>
      <c r="B15" s="26" t="s">
        <v>8</v>
      </c>
      <c r="C15" s="27">
        <f>+'[1]E1. Expenditure Summary'!I48</f>
        <v>549728.78278478922</v>
      </c>
      <c r="D15" s="27">
        <f>+'[1]E1. Expenditure Summary'!J48</f>
        <v>58423.091322499145</v>
      </c>
      <c r="E15" s="27">
        <f>+'[1]E1. Expenditure Summary'!K48</f>
        <v>59242.15167326761</v>
      </c>
      <c r="F15" s="27">
        <f>+'[2]E1. Expenditure Summary'!C48</f>
        <v>59839.347506115169</v>
      </c>
      <c r="G15" s="28">
        <f t="shared" ref="G15:H15" si="1">+F15*(1+G26)</f>
        <v>59839.347506115169</v>
      </c>
      <c r="H15" s="28">
        <f t="shared" si="1"/>
        <v>59839.347506115169</v>
      </c>
    </row>
    <row r="16" spans="1:10" ht="17.399999999999999">
      <c r="A16" s="26" t="str">
        <f>'[3]Act Reg Opex Regulatory Period'!A14</f>
        <v xml:space="preserve">Corporate overheads costs </v>
      </c>
      <c r="B16" s="26" t="s">
        <v>8</v>
      </c>
      <c r="C16" s="30"/>
      <c r="D16" s="31"/>
      <c r="E16" s="31"/>
      <c r="F16" s="31">
        <v>5760098</v>
      </c>
      <c r="G16" s="28">
        <f>+F16*(1+G24)</f>
        <v>5904100.4499999993</v>
      </c>
      <c r="H16" s="28">
        <f>+G16*(1+H24)</f>
        <v>6051702.9612499988</v>
      </c>
    </row>
    <row r="17" spans="1:9" ht="17.399999999999999">
      <c r="A17" s="30" t="s">
        <v>11</v>
      </c>
      <c r="B17" s="30" t="s">
        <v>8</v>
      </c>
      <c r="C17" s="30"/>
      <c r="D17" s="27">
        <f>SUM(D13:D16)</f>
        <v>25637901.097880591</v>
      </c>
      <c r="E17" s="27">
        <f>SUM(E13:E16)</f>
        <v>25009625.060266133</v>
      </c>
      <c r="F17" s="27">
        <f>SUM(F13:F16)</f>
        <v>28028337.284541242</v>
      </c>
      <c r="G17" s="27">
        <f>SUM(G13:G16)</f>
        <v>28727549.732967116</v>
      </c>
      <c r="H17" s="27">
        <f>SUM(H13:H16)</f>
        <v>29444242.492603637</v>
      </c>
    </row>
    <row r="18" spans="1:9">
      <c r="A18" s="29" t="s">
        <v>12</v>
      </c>
    </row>
    <row r="19" spans="1:9" ht="17.399999999999999">
      <c r="A19" s="32" t="s">
        <v>13</v>
      </c>
      <c r="B19" s="12"/>
      <c r="C19" s="33">
        <v>42705</v>
      </c>
      <c r="D19" s="33">
        <v>43070</v>
      </c>
      <c r="E19" s="33">
        <v>43435</v>
      </c>
      <c r="F19" s="33">
        <v>43800</v>
      </c>
      <c r="G19" s="33">
        <v>44166</v>
      </c>
      <c r="H19" s="33">
        <v>44531</v>
      </c>
      <c r="I19" s="33">
        <v>44896</v>
      </c>
    </row>
    <row r="20" spans="1:9" ht="17.399999999999999">
      <c r="A20" s="26" t="s">
        <v>14</v>
      </c>
      <c r="B20" s="26"/>
      <c r="C20" s="34">
        <f>+C164</f>
        <v>110</v>
      </c>
      <c r="D20" s="34">
        <f>+C168</f>
        <v>112.1</v>
      </c>
      <c r="E20" s="34">
        <f>+C172</f>
        <v>114.1</v>
      </c>
      <c r="F20" s="34">
        <f>+C176</f>
        <v>116.2</v>
      </c>
      <c r="G20" s="34">
        <f>+C180</f>
        <v>117.2</v>
      </c>
      <c r="H20" s="35">
        <f>+C184</f>
        <v>119.54400000000001</v>
      </c>
      <c r="I20" s="36">
        <f>H20*(1.02)</f>
        <v>121.93488000000001</v>
      </c>
    </row>
    <row r="21" spans="1:9" ht="17.399999999999999">
      <c r="A21" s="26" t="s">
        <v>15</v>
      </c>
      <c r="B21" s="26" t="s">
        <v>16</v>
      </c>
      <c r="C21" s="37">
        <f>(C20/C160)-1</f>
        <v>1.4760147601476037E-2</v>
      </c>
      <c r="D21" s="37">
        <f>(D20/C20)-1</f>
        <v>1.9090909090909047E-2</v>
      </c>
      <c r="E21" s="37">
        <f t="shared" ref="E21:I21" si="2">(E20/D20)-1</f>
        <v>1.7841213202497874E-2</v>
      </c>
      <c r="F21" s="37">
        <f t="shared" si="2"/>
        <v>1.8404907975460238E-2</v>
      </c>
      <c r="G21" s="37">
        <f t="shared" si="2"/>
        <v>8.6058519793459354E-3</v>
      </c>
      <c r="H21" s="37">
        <f t="shared" si="2"/>
        <v>2.0000000000000018E-2</v>
      </c>
      <c r="I21" s="37">
        <f t="shared" si="2"/>
        <v>2.0000000000000018E-2</v>
      </c>
    </row>
    <row r="22" spans="1:9" ht="17.399999999999999">
      <c r="A22" s="30" t="s">
        <v>17</v>
      </c>
      <c r="B22" s="30" t="s">
        <v>16</v>
      </c>
      <c r="C22" s="38">
        <f t="shared" ref="C22:H22" si="3">D22/(1+D21)</f>
        <v>0.90212086976261407</v>
      </c>
      <c r="D22" s="38">
        <f t="shared" si="3"/>
        <v>0.91934317727626391</v>
      </c>
      <c r="E22" s="38">
        <f t="shared" si="3"/>
        <v>0.93574537490831156</v>
      </c>
      <c r="F22" s="38">
        <f t="shared" si="3"/>
        <v>0.95296768242196161</v>
      </c>
      <c r="G22" s="38">
        <f t="shared" si="3"/>
        <v>0.96116878123798533</v>
      </c>
      <c r="H22" s="38">
        <f t="shared" si="3"/>
        <v>0.98039215686274506</v>
      </c>
      <c r="I22" s="26">
        <v>1</v>
      </c>
    </row>
    <row r="23" spans="1:9" ht="17.399999999999999">
      <c r="A23" s="30" t="s">
        <v>18</v>
      </c>
      <c r="B23" s="30"/>
      <c r="C23" s="38">
        <f>D23*(1+D21)</f>
        <v>1.019090909090909</v>
      </c>
      <c r="D23" s="39">
        <v>1</v>
      </c>
      <c r="E23" s="38">
        <f>D23/(1+E21)</f>
        <v>0.98247151621384743</v>
      </c>
      <c r="F23" s="38">
        <f>E23/(1+F21)</f>
        <v>0.9647160068846814</v>
      </c>
      <c r="G23" s="38">
        <f>F23/(1+G21)</f>
        <v>0.95648464163822511</v>
      </c>
      <c r="H23" s="38">
        <f>G23/(1+H21)</f>
        <v>0.93773004082178935</v>
      </c>
      <c r="I23" s="38">
        <f>H23/(1+I21)</f>
        <v>0.91934317727626402</v>
      </c>
    </row>
    <row r="24" spans="1:9" ht="17.399999999999999">
      <c r="A24" s="26" t="s">
        <v>19</v>
      </c>
      <c r="B24" s="26"/>
      <c r="C24" s="26"/>
      <c r="D24" s="39"/>
      <c r="E24" s="40">
        <f>[4]Assets!G6</f>
        <v>2.5000000000000001E-2</v>
      </c>
      <c r="F24" s="40">
        <f>[4]Assets!H6</f>
        <v>2.5000000000000001E-2</v>
      </c>
      <c r="G24" s="40">
        <f>[4]Assets!I6</f>
        <v>2.5000000000000001E-2</v>
      </c>
      <c r="H24" s="40">
        <f>[4]Assets!J6</f>
        <v>2.5000000000000001E-2</v>
      </c>
      <c r="I24" s="40">
        <f>[4]Assets!K6</f>
        <v>2.5000000000000001E-2</v>
      </c>
    </row>
    <row r="25" spans="1:9" ht="17.399999999999999">
      <c r="A25" s="30" t="s">
        <v>20</v>
      </c>
      <c r="B25" s="30"/>
      <c r="C25" s="30"/>
      <c r="D25" s="39">
        <v>1</v>
      </c>
      <c r="E25" s="38">
        <f>D25*(1+E24)</f>
        <v>1.0249999999999999</v>
      </c>
      <c r="F25" s="38">
        <f t="shared" ref="F25:I25" si="4">E25*(1+F24)</f>
        <v>1.0506249999999999</v>
      </c>
      <c r="G25" s="38">
        <f t="shared" si="4"/>
        <v>1.0768906249999999</v>
      </c>
      <c r="H25" s="38">
        <f t="shared" si="4"/>
        <v>1.1038128906249998</v>
      </c>
      <c r="I25" s="38">
        <f t="shared" si="4"/>
        <v>1.1314082128906247</v>
      </c>
    </row>
    <row r="26" spans="1:9">
      <c r="A26" s="12"/>
      <c r="B26" s="12"/>
      <c r="C26" s="12"/>
      <c r="D26" s="12"/>
      <c r="E26" s="12"/>
      <c r="F26" s="12"/>
      <c r="G26" s="12"/>
      <c r="H26" s="12"/>
      <c r="I26" s="12"/>
    </row>
    <row r="27" spans="1:9">
      <c r="B27" s="12"/>
    </row>
    <row r="28" spans="1:9" ht="17.399999999999999">
      <c r="A28" s="23" t="s">
        <v>21</v>
      </c>
      <c r="B28" s="12"/>
    </row>
    <row r="29" spans="1:9" ht="17.399999999999999">
      <c r="A29" s="30" t="str">
        <f>A13</f>
        <v>Repairs and maintenance</v>
      </c>
      <c r="B29" s="41" t="s">
        <v>22</v>
      </c>
      <c r="C29" s="42"/>
      <c r="D29" s="43">
        <f t="shared" ref="D29:H32" si="5">D13/D$22</f>
        <v>18651757.104243122</v>
      </c>
      <c r="E29" s="43">
        <f t="shared" si="5"/>
        <v>18865435.065313298</v>
      </c>
      <c r="F29" s="43">
        <f t="shared" si="5"/>
        <v>21177282.967990514</v>
      </c>
      <c r="G29" s="43">
        <f t="shared" si="5"/>
        <v>21521504.162990697</v>
      </c>
      <c r="H29" s="43">
        <f t="shared" si="5"/>
        <v>21627001.732417122</v>
      </c>
    </row>
    <row r="30" spans="1:9" ht="17.399999999999999">
      <c r="A30" s="30" t="str">
        <f>A14</f>
        <v>Other operating</v>
      </c>
      <c r="B30" s="41" t="s">
        <v>22</v>
      </c>
      <c r="C30" s="42"/>
      <c r="D30" s="43">
        <f t="shared" si="5"/>
        <v>9171887.6878380626</v>
      </c>
      <c r="E30" s="43">
        <f t="shared" si="5"/>
        <v>7798210.3852854986</v>
      </c>
      <c r="F30" s="43">
        <f t="shared" si="5"/>
        <v>2127179.8660403476</v>
      </c>
      <c r="G30" s="43">
        <f t="shared" si="5"/>
        <v>2161755.6138629317</v>
      </c>
      <c r="H30" s="43">
        <f t="shared" si="5"/>
        <v>2172352.4551073578</v>
      </c>
    </row>
    <row r="31" spans="1:9" ht="17.399999999999999">
      <c r="A31" s="30" t="str">
        <f>A15</f>
        <v>Debt raising</v>
      </c>
      <c r="B31" s="41" t="s">
        <v>22</v>
      </c>
      <c r="C31" s="42"/>
      <c r="D31" s="43">
        <f t="shared" si="5"/>
        <v>63548.72997000871</v>
      </c>
      <c r="E31" s="43">
        <f t="shared" si="5"/>
        <v>63310.119677665964</v>
      </c>
      <c r="F31" s="43">
        <f t="shared" si="5"/>
        <v>62792.630442654496</v>
      </c>
      <c r="G31" s="43">
        <f t="shared" si="5"/>
        <v>62256.857145362228</v>
      </c>
      <c r="H31" s="43">
        <f t="shared" si="5"/>
        <v>61036.134456237472</v>
      </c>
    </row>
    <row r="32" spans="1:9" ht="17.399999999999999">
      <c r="A32" s="30" t="str">
        <f>A16</f>
        <v xml:space="preserve">Corporate overheads costs </v>
      </c>
      <c r="B32" s="41" t="s">
        <v>22</v>
      </c>
      <c r="C32" s="42"/>
      <c r="D32" s="43">
        <f t="shared" si="5"/>
        <v>0</v>
      </c>
      <c r="E32" s="43">
        <f t="shared" si="5"/>
        <v>0</v>
      </c>
      <c r="F32" s="43">
        <f t="shared" si="5"/>
        <v>6044379.1602258179</v>
      </c>
      <c r="G32" s="43">
        <f t="shared" si="5"/>
        <v>6142626.1081799995</v>
      </c>
      <c r="H32" s="43">
        <f t="shared" si="5"/>
        <v>6172737.0204749992</v>
      </c>
    </row>
    <row r="33" spans="1:9" ht="17.399999999999999">
      <c r="A33" s="30" t="str">
        <f>A17</f>
        <v>Total</v>
      </c>
      <c r="B33" s="41" t="s">
        <v>22</v>
      </c>
      <c r="C33" s="42"/>
      <c r="D33" s="43">
        <f>SUM(D29:D32)</f>
        <v>27887193.522051193</v>
      </c>
      <c r="E33" s="43">
        <f t="shared" ref="E33:G33" si="6">SUM(E29:E32)</f>
        <v>26726955.570276465</v>
      </c>
      <c r="F33" s="43">
        <f t="shared" si="6"/>
        <v>29411634.624699332</v>
      </c>
      <c r="G33" s="43">
        <f t="shared" si="6"/>
        <v>29888142.742178991</v>
      </c>
      <c r="H33" s="27">
        <f>SUM(H29:H32)</f>
        <v>30033127.342455715</v>
      </c>
    </row>
    <row r="35" spans="1:9" ht="17.399999999999999">
      <c r="A35" s="23" t="s">
        <v>23</v>
      </c>
      <c r="F35" s="44"/>
      <c r="G35" s="44"/>
      <c r="H35" s="44"/>
      <c r="I35" s="44"/>
    </row>
    <row r="36" spans="1:9" ht="17.399999999999999">
      <c r="A36" s="45" t="s">
        <v>24</v>
      </c>
      <c r="F36" s="44"/>
      <c r="G36" s="44"/>
      <c r="H36" s="44"/>
      <c r="I36" s="44"/>
    </row>
    <row r="37" spans="1:9" ht="17.399999999999999">
      <c r="A37" s="26" t="s">
        <v>25</v>
      </c>
      <c r="B37" s="26" t="s">
        <v>8</v>
      </c>
      <c r="C37" s="26"/>
      <c r="D37" s="26"/>
      <c r="E37" s="31">
        <f>[5]Working_Capital_BA!J32*1000</f>
        <v>2010383.9692963853</v>
      </c>
      <c r="F37" s="31">
        <f>[5]Working_Capital_BA!K32*1000</f>
        <v>2060643.5685287951</v>
      </c>
      <c r="G37" s="31">
        <f>[5]Working_Capital_BA!L32*1000</f>
        <v>2133126.3244086811</v>
      </c>
      <c r="H37" s="31">
        <f>[5]Working_Capital_BA!M32*1000</f>
        <v>2192143.2325188969</v>
      </c>
      <c r="I37" s="31">
        <f>[5]Working_Capital_BA!N32*1000</f>
        <v>2246946.8133318699</v>
      </c>
    </row>
    <row r="38" spans="1:9" ht="17.399999999999999">
      <c r="A38" s="26" t="s">
        <v>26</v>
      </c>
      <c r="B38" s="26" t="s">
        <v>8</v>
      </c>
      <c r="C38" s="26"/>
      <c r="D38" s="26"/>
      <c r="E38" s="28">
        <f>[5]Working_Capital_BA!J40*1000</f>
        <v>568357.5990681313</v>
      </c>
      <c r="F38" s="28">
        <f>[5]Working_Capital_BA!K40*1000</f>
        <v>582566.53904483456</v>
      </c>
      <c r="G38" s="28">
        <f>[5]Working_Capital_BA!L40*1000</f>
        <v>597130.70252095547</v>
      </c>
      <c r="H38" s="28">
        <f>[5]Working_Capital_BA!M40*1000</f>
        <v>612058.97008397931</v>
      </c>
      <c r="I38" s="28">
        <f>[5]Working_Capital_BA!N40*1000</f>
        <v>627360.44433607883</v>
      </c>
    </row>
    <row r="40" spans="1:9" ht="17.399999999999999">
      <c r="A40" s="30" t="s">
        <v>25</v>
      </c>
      <c r="B40" s="30" t="s">
        <v>22</v>
      </c>
      <c r="C40" s="43">
        <f>C37/C$22</f>
        <v>0</v>
      </c>
      <c r="D40" s="43">
        <f t="shared" ref="D40:I40" si="7">D37/D22</f>
        <v>0</v>
      </c>
      <c r="E40" s="43">
        <f t="shared" si="7"/>
        <v>2148430.5701146228</v>
      </c>
      <c r="F40" s="43">
        <f t="shared" si="7"/>
        <v>2162343.5994090396</v>
      </c>
      <c r="G40" s="43">
        <f t="shared" si="7"/>
        <v>2219304.6279147919</v>
      </c>
      <c r="H40" s="43">
        <f t="shared" si="7"/>
        <v>2235986.0971692749</v>
      </c>
      <c r="I40" s="43">
        <f t="shared" si="7"/>
        <v>2246946.8133318699</v>
      </c>
    </row>
    <row r="41" spans="1:9" ht="17.399999999999999">
      <c r="A41" s="30" t="str">
        <f>A38</f>
        <v>Spares</v>
      </c>
      <c r="B41" s="30" t="s">
        <v>22</v>
      </c>
      <c r="C41" s="43">
        <f>C38/C$22</f>
        <v>0</v>
      </c>
      <c r="D41" s="43">
        <f t="shared" ref="D41:I41" si="8">D38/D$22</f>
        <v>0</v>
      </c>
      <c r="E41" s="43">
        <f t="shared" si="8"/>
        <v>607384.88728712278</v>
      </c>
      <c r="F41" s="43">
        <f t="shared" si="8"/>
        <v>611318.25327407243</v>
      </c>
      <c r="G41" s="43">
        <f t="shared" si="8"/>
        <v>621254.78290280211</v>
      </c>
      <c r="H41" s="43">
        <f t="shared" si="8"/>
        <v>624300.14948565897</v>
      </c>
      <c r="I41" s="43">
        <f t="shared" si="8"/>
        <v>627360.44433607883</v>
      </c>
    </row>
    <row r="42" spans="1:9" ht="17.399999999999999">
      <c r="A42" s="30" t="s">
        <v>27</v>
      </c>
      <c r="B42" s="30" t="str">
        <f>B41</f>
        <v>real $2022</v>
      </c>
      <c r="C42" s="30"/>
      <c r="D42" s="30"/>
      <c r="E42" s="43">
        <f>SUM(E40:E41)</f>
        <v>2755815.4574017455</v>
      </c>
      <c r="F42" s="43">
        <f>SUM(F40:F41)</f>
        <v>2773661.852683112</v>
      </c>
      <c r="G42" s="43">
        <f>SUM(G40:G41)</f>
        <v>2840559.4108175943</v>
      </c>
      <c r="H42" s="43">
        <f>SUM(H40:H41)</f>
        <v>2860286.2466549338</v>
      </c>
      <c r="I42" s="43">
        <f>SUM(I40:I41)</f>
        <v>2874307.2576679485</v>
      </c>
    </row>
    <row r="43" spans="1:9">
      <c r="A43" s="29" t="s">
        <v>12</v>
      </c>
    </row>
    <row r="44" spans="1:9" ht="22.8">
      <c r="A44" s="14" t="s">
        <v>28</v>
      </c>
      <c r="C44" s="23">
        <v>2022</v>
      </c>
      <c r="D44" s="23">
        <v>2023</v>
      </c>
      <c r="E44" s="23">
        <v>2024</v>
      </c>
      <c r="F44" s="23">
        <v>2025</v>
      </c>
      <c r="G44" s="23">
        <v>2026</v>
      </c>
      <c r="H44" s="23">
        <v>2027</v>
      </c>
    </row>
    <row r="45" spans="1:9" ht="17.399999999999999">
      <c r="A45" s="23" t="s">
        <v>29</v>
      </c>
    </row>
    <row r="46" spans="1:9" ht="17.399999999999999">
      <c r="A46" s="23"/>
    </row>
    <row r="47" spans="1:9" ht="17.399999999999999">
      <c r="A47" s="45" t="s">
        <v>30</v>
      </c>
    </row>
    <row r="48" spans="1:9" ht="17.399999999999999">
      <c r="A48" s="26" t="s">
        <v>31</v>
      </c>
      <c r="B48" s="41" t="s">
        <v>32</v>
      </c>
      <c r="C48" s="31"/>
      <c r="D48" s="31">
        <f>+'[6]Summary - Offsets'!T$32</f>
        <v>266271.06053333334</v>
      </c>
      <c r="E48" s="31">
        <f>+'[6]Summary - Offsets'!U$32</f>
        <v>278294.31326666666</v>
      </c>
      <c r="F48" s="31">
        <f>+'[6]Summary - Offsets'!V$32</f>
        <v>290317.56599999993</v>
      </c>
      <c r="G48" s="31">
        <f>+'[6]Summary - Offsets'!W$32</f>
        <v>320229.07279999997</v>
      </c>
      <c r="H48" s="31">
        <f>+'[6]Summary - Offsets'!X$32</f>
        <v>350140.57959999994</v>
      </c>
    </row>
    <row r="49" spans="1:8" ht="17.399999999999999">
      <c r="A49" s="69" t="s">
        <v>33</v>
      </c>
    </row>
    <row r="50" spans="1:8" ht="17.399999999999999">
      <c r="A50" s="30" t="str">
        <f>+A48</f>
        <v>Acquisition of carbon offset certificates</v>
      </c>
      <c r="B50" s="30" t="s">
        <v>34</v>
      </c>
      <c r="C50" s="46">
        <v>1</v>
      </c>
      <c r="D50" s="46">
        <v>1</v>
      </c>
      <c r="E50" s="46">
        <v>1</v>
      </c>
      <c r="F50" s="46">
        <v>1</v>
      </c>
      <c r="G50" s="46">
        <v>1</v>
      </c>
      <c r="H50" s="46">
        <v>1</v>
      </c>
    </row>
    <row r="52" spans="1:8" ht="17.399999999999999">
      <c r="A52" s="26"/>
      <c r="B52" s="41" t="s">
        <v>35</v>
      </c>
      <c r="C52" s="28">
        <f t="shared" ref="C52:H52" si="9">C48*C50</f>
        <v>0</v>
      </c>
      <c r="D52" s="28">
        <f t="shared" si="9"/>
        <v>266271.06053333334</v>
      </c>
      <c r="E52" s="28">
        <f t="shared" si="9"/>
        <v>278294.31326666666</v>
      </c>
      <c r="F52" s="28">
        <f t="shared" si="9"/>
        <v>290317.56599999993</v>
      </c>
      <c r="G52" s="28">
        <f t="shared" si="9"/>
        <v>320229.07279999997</v>
      </c>
      <c r="H52" s="28">
        <f t="shared" si="9"/>
        <v>350140.57959999994</v>
      </c>
    </row>
    <row r="53" spans="1:8" ht="17.399999999999999">
      <c r="A53" s="30" t="str">
        <f>+A48</f>
        <v>Acquisition of carbon offset certificates</v>
      </c>
      <c r="B53" s="30" t="s">
        <v>22</v>
      </c>
      <c r="C53" s="27">
        <f>C52/$H$22</f>
        <v>0</v>
      </c>
      <c r="D53" s="27">
        <f t="shared" ref="D53:H53" si="10">D52/$H$22</f>
        <v>271596.48174399999</v>
      </c>
      <c r="E53" s="27">
        <f t="shared" si="10"/>
        <v>283860.199532</v>
      </c>
      <c r="F53" s="27">
        <f t="shared" si="10"/>
        <v>296123.91731999995</v>
      </c>
      <c r="G53" s="27">
        <f t="shared" si="10"/>
        <v>326633.65425599995</v>
      </c>
      <c r="H53" s="27">
        <f t="shared" si="10"/>
        <v>357143.39119199995</v>
      </c>
    </row>
    <row r="55" spans="1:8" ht="17.399999999999999">
      <c r="A55" s="23"/>
    </row>
    <row r="56" spans="1:8" ht="17.399999999999999">
      <c r="A56" s="45" t="s">
        <v>36</v>
      </c>
    </row>
    <row r="57" spans="1:8" ht="17.399999999999999">
      <c r="A57" s="26" t="s">
        <v>37</v>
      </c>
      <c r="B57" s="41" t="s">
        <v>32</v>
      </c>
      <c r="C57" s="31">
        <f>+[7]Summary!$B$7</f>
        <v>614249.83999999985</v>
      </c>
      <c r="D57" s="31">
        <f>+C57</f>
        <v>614249.83999999985</v>
      </c>
      <c r="E57" s="31">
        <f t="shared" ref="E57:H57" si="11">+D57</f>
        <v>614249.83999999985</v>
      </c>
      <c r="F57" s="31">
        <f t="shared" si="11"/>
        <v>614249.83999999985</v>
      </c>
      <c r="G57" s="31">
        <f t="shared" si="11"/>
        <v>614249.83999999985</v>
      </c>
      <c r="H57" s="31">
        <f t="shared" si="11"/>
        <v>614249.83999999985</v>
      </c>
    </row>
    <row r="58" spans="1:8" ht="17.399999999999999">
      <c r="A58" s="47" t="s">
        <v>33</v>
      </c>
      <c r="B58" s="12"/>
      <c r="C58" s="12"/>
      <c r="D58" s="12"/>
      <c r="E58" s="12"/>
      <c r="F58" s="12"/>
      <c r="G58" s="12"/>
      <c r="H58" s="12"/>
    </row>
    <row r="59" spans="1:8" ht="17.399999999999999">
      <c r="A59" s="30" t="str">
        <f>+A57</f>
        <v>Increase in VTS property taxes</v>
      </c>
      <c r="B59" s="30" t="s">
        <v>34</v>
      </c>
      <c r="C59" s="46">
        <v>1</v>
      </c>
      <c r="D59" s="46">
        <v>1</v>
      </c>
      <c r="E59" s="46">
        <v>1</v>
      </c>
      <c r="F59" s="46">
        <v>1</v>
      </c>
      <c r="G59" s="46">
        <v>1</v>
      </c>
      <c r="H59" s="46">
        <v>1</v>
      </c>
    </row>
    <row r="60" spans="1:8">
      <c r="A60" s="12"/>
      <c r="B60" s="12"/>
      <c r="C60" s="12"/>
      <c r="D60" s="12"/>
      <c r="E60" s="12"/>
      <c r="F60" s="12"/>
      <c r="G60" s="12"/>
      <c r="H60" s="12"/>
    </row>
    <row r="61" spans="1:8" ht="17.399999999999999">
      <c r="A61" s="26"/>
      <c r="B61" s="41" t="s">
        <v>35</v>
      </c>
      <c r="C61" s="28">
        <f t="shared" ref="C61:H61" si="12">C57*C59</f>
        <v>614249.83999999985</v>
      </c>
      <c r="D61" s="28">
        <f t="shared" si="12"/>
        <v>614249.83999999985</v>
      </c>
      <c r="E61" s="28">
        <f t="shared" si="12"/>
        <v>614249.83999999985</v>
      </c>
      <c r="F61" s="28">
        <f t="shared" si="12"/>
        <v>614249.83999999985</v>
      </c>
      <c r="G61" s="28">
        <f t="shared" si="12"/>
        <v>614249.83999999985</v>
      </c>
      <c r="H61" s="28">
        <f t="shared" si="12"/>
        <v>614249.83999999985</v>
      </c>
    </row>
    <row r="62" spans="1:8" ht="17.399999999999999">
      <c r="A62" s="30" t="str">
        <f>+A57</f>
        <v>Increase in VTS property taxes</v>
      </c>
      <c r="B62" s="30" t="s">
        <v>22</v>
      </c>
      <c r="C62" s="27">
        <f>C61/$H$22</f>
        <v>626534.83679999993</v>
      </c>
      <c r="D62" s="27">
        <f t="shared" ref="D62:H62" si="13">D61/$H$22</f>
        <v>626534.83679999993</v>
      </c>
      <c r="E62" s="27">
        <f t="shared" si="13"/>
        <v>626534.83679999993</v>
      </c>
      <c r="F62" s="27">
        <f t="shared" si="13"/>
        <v>626534.83679999993</v>
      </c>
      <c r="G62" s="27">
        <f t="shared" si="13"/>
        <v>626534.83679999993</v>
      </c>
      <c r="H62" s="27">
        <f t="shared" si="13"/>
        <v>626534.83679999993</v>
      </c>
    </row>
    <row r="64" spans="1:8" ht="17.399999999999999">
      <c r="A64" s="45" t="s">
        <v>38</v>
      </c>
      <c r="C64" s="45">
        <f t="shared" ref="C64:H64" si="14">C44</f>
        <v>2022</v>
      </c>
      <c r="D64" s="45">
        <f t="shared" si="14"/>
        <v>2023</v>
      </c>
      <c r="E64" s="45">
        <f t="shared" si="14"/>
        <v>2024</v>
      </c>
      <c r="F64" s="45">
        <f t="shared" si="14"/>
        <v>2025</v>
      </c>
      <c r="G64" s="45">
        <f t="shared" si="14"/>
        <v>2026</v>
      </c>
      <c r="H64" s="45">
        <f t="shared" si="14"/>
        <v>2027</v>
      </c>
    </row>
    <row r="65" spans="1:8" ht="17.399999999999999">
      <c r="A65" s="26"/>
      <c r="B65" s="48" t="str">
        <f>B48</f>
        <v xml:space="preserve"> $ 2021</v>
      </c>
      <c r="C65" s="28"/>
      <c r="D65" s="28"/>
      <c r="E65" s="28"/>
      <c r="F65" s="28"/>
      <c r="G65" s="28"/>
      <c r="H65" s="28"/>
    </row>
    <row r="66" spans="1:8" ht="17.399999999999999">
      <c r="A66" s="26" t="s">
        <v>39</v>
      </c>
      <c r="B66" s="48" t="str">
        <f>B65</f>
        <v xml:space="preserve"> $ 2021</v>
      </c>
      <c r="C66" s="28"/>
      <c r="D66" s="28"/>
      <c r="E66" s="28">
        <f>+[8]Summary!$D$20</f>
        <v>551490.83084745763</v>
      </c>
      <c r="F66" s="28">
        <f>+E66*2</f>
        <v>1102981.6616949153</v>
      </c>
      <c r="G66" s="28">
        <f>+F66</f>
        <v>1102981.6616949153</v>
      </c>
      <c r="H66" s="28">
        <f>+G66</f>
        <v>1102981.6616949153</v>
      </c>
    </row>
    <row r="67" spans="1:8" ht="17.399999999999999">
      <c r="A67" s="26"/>
      <c r="B67" s="48" t="str">
        <f t="shared" ref="B67:B68" si="15">B66</f>
        <v xml:space="preserve"> $ 2021</v>
      </c>
      <c r="C67" s="28"/>
      <c r="D67" s="28"/>
      <c r="E67" s="28"/>
      <c r="F67" s="28"/>
      <c r="G67" s="28"/>
      <c r="H67" s="28"/>
    </row>
    <row r="68" spans="1:8" ht="17.399999999999999">
      <c r="A68" s="26" t="s">
        <v>40</v>
      </c>
      <c r="B68" s="48" t="str">
        <f t="shared" si="15"/>
        <v xml:space="preserve"> $ 2021</v>
      </c>
      <c r="C68" s="28"/>
      <c r="D68" s="28">
        <f>+[8]Summary!$D$9</f>
        <v>593803.52542372886</v>
      </c>
      <c r="E68" s="28">
        <f>+D68</f>
        <v>593803.52542372886</v>
      </c>
      <c r="F68" s="28">
        <f>+E68</f>
        <v>593803.52542372886</v>
      </c>
      <c r="G68" s="28">
        <f>+F68</f>
        <v>593803.52542372886</v>
      </c>
      <c r="H68" s="28">
        <f>+G68</f>
        <v>593803.52542372886</v>
      </c>
    </row>
    <row r="69" spans="1:8" ht="17.399999999999999">
      <c r="A69" s="30" t="s">
        <v>11</v>
      </c>
      <c r="B69" s="48" t="str">
        <f>B68</f>
        <v xml:space="preserve"> $ 2021</v>
      </c>
      <c r="C69" s="27">
        <f t="shared" ref="C69:H69" si="16">SUM(C65:C68)</f>
        <v>0</v>
      </c>
      <c r="D69" s="27">
        <f t="shared" si="16"/>
        <v>593803.52542372886</v>
      </c>
      <c r="E69" s="27">
        <f t="shared" si="16"/>
        <v>1145294.3562711864</v>
      </c>
      <c r="F69" s="27">
        <f t="shared" si="16"/>
        <v>1696785.1871186441</v>
      </c>
      <c r="G69" s="27">
        <f t="shared" si="16"/>
        <v>1696785.1871186441</v>
      </c>
      <c r="H69" s="27">
        <f t="shared" si="16"/>
        <v>1696785.1871186441</v>
      </c>
    </row>
    <row r="70" spans="1:8" ht="17.399999999999999">
      <c r="A70" s="30"/>
      <c r="B70" s="30"/>
      <c r="C70" s="27"/>
      <c r="D70" s="27">
        <f t="shared" ref="D70:H72" si="17">D65/$H$22</f>
        <v>0</v>
      </c>
      <c r="E70" s="27">
        <f t="shared" ref="E70:H71" si="18">E65/$H$22</f>
        <v>0</v>
      </c>
      <c r="F70" s="27">
        <f t="shared" si="18"/>
        <v>0</v>
      </c>
      <c r="G70" s="27">
        <f t="shared" si="18"/>
        <v>0</v>
      </c>
      <c r="H70" s="27">
        <f t="shared" si="18"/>
        <v>0</v>
      </c>
    </row>
    <row r="71" spans="1:8" ht="17.399999999999999">
      <c r="A71" s="30" t="str">
        <f>A66</f>
        <v>SWP Expansion compressor costs</v>
      </c>
      <c r="B71" s="30"/>
      <c r="C71" s="27"/>
      <c r="D71" s="27">
        <f>D66/$H$22</f>
        <v>0</v>
      </c>
      <c r="E71" s="27">
        <f t="shared" si="18"/>
        <v>562520.64746440679</v>
      </c>
      <c r="F71" s="27">
        <f t="shared" si="18"/>
        <v>1125041.2949288136</v>
      </c>
      <c r="G71" s="27">
        <f t="shared" si="18"/>
        <v>1125041.2949288136</v>
      </c>
      <c r="H71" s="27">
        <f t="shared" si="18"/>
        <v>1125041.2949288136</v>
      </c>
    </row>
    <row r="72" spans="1:8" ht="17.399999999999999">
      <c r="A72" s="30"/>
      <c r="B72" s="30"/>
      <c r="C72" s="27"/>
      <c r="D72" s="27">
        <f t="shared" si="17"/>
        <v>0</v>
      </c>
      <c r="E72" s="27">
        <f t="shared" si="17"/>
        <v>0</v>
      </c>
      <c r="F72" s="27">
        <f t="shared" si="17"/>
        <v>0</v>
      </c>
      <c r="G72" s="27">
        <f t="shared" si="17"/>
        <v>0</v>
      </c>
      <c r="H72" s="27">
        <f t="shared" si="17"/>
        <v>0</v>
      </c>
    </row>
    <row r="73" spans="1:8" ht="17.399999999999999">
      <c r="A73" s="30" t="str">
        <f>A68</f>
        <v>WORM</v>
      </c>
      <c r="B73" s="30"/>
      <c r="C73" s="27"/>
      <c r="D73" s="27">
        <f>D68/$H$22</f>
        <v>605679.59593220346</v>
      </c>
      <c r="E73" s="27">
        <f>E68/$H$22</f>
        <v>605679.59593220346</v>
      </c>
      <c r="F73" s="27">
        <f>F68/$H$22</f>
        <v>605679.59593220346</v>
      </c>
      <c r="G73" s="27">
        <f>G68/$H$22</f>
        <v>605679.59593220346</v>
      </c>
      <c r="H73" s="27">
        <f>H68/$H$22</f>
        <v>605679.59593220346</v>
      </c>
    </row>
    <row r="74" spans="1:8" ht="17.399999999999999">
      <c r="A74" s="30" t="s">
        <v>11</v>
      </c>
      <c r="B74" s="30" t="s">
        <v>22</v>
      </c>
      <c r="C74" s="27">
        <f>C69/$H$22</f>
        <v>0</v>
      </c>
      <c r="D74" s="27">
        <f>SUM(D70:D73)</f>
        <v>605679.59593220346</v>
      </c>
      <c r="E74" s="27">
        <f t="shared" ref="E74:H74" si="19">SUM(E70:E73)</f>
        <v>1168200.2433966103</v>
      </c>
      <c r="F74" s="27">
        <f t="shared" si="19"/>
        <v>1730720.8908610172</v>
      </c>
      <c r="G74" s="27">
        <f t="shared" si="19"/>
        <v>1730720.8908610172</v>
      </c>
      <c r="H74" s="27">
        <f t="shared" si="19"/>
        <v>1730720.8908610172</v>
      </c>
    </row>
    <row r="76" spans="1:8" ht="17.399999999999999">
      <c r="A76" s="23" t="s">
        <v>23</v>
      </c>
      <c r="C76" s="45">
        <f t="shared" ref="C76:H76" si="20">C44</f>
        <v>2022</v>
      </c>
      <c r="D76" s="45">
        <f t="shared" si="20"/>
        <v>2023</v>
      </c>
      <c r="E76" s="45">
        <f t="shared" si="20"/>
        <v>2024</v>
      </c>
      <c r="F76" s="45">
        <f t="shared" si="20"/>
        <v>2025</v>
      </c>
      <c r="G76" s="45">
        <f t="shared" si="20"/>
        <v>2026</v>
      </c>
      <c r="H76" s="45">
        <f t="shared" si="20"/>
        <v>2027</v>
      </c>
    </row>
    <row r="77" spans="1:8" ht="17.399999999999999">
      <c r="A77" s="45" t="s">
        <v>41</v>
      </c>
      <c r="C77" s="45"/>
      <c r="D77" s="45"/>
      <c r="E77" s="45"/>
      <c r="F77" s="45"/>
      <c r="G77" s="45"/>
      <c r="H77" s="45"/>
    </row>
    <row r="78" spans="1:8" ht="17.399999999999999">
      <c r="A78" s="26" t="s">
        <v>15</v>
      </c>
      <c r="B78" s="26"/>
      <c r="C78" s="40">
        <f>'[9]3.2 Input│Other'!K24</f>
        <v>1.0232558139534831E-2</v>
      </c>
      <c r="D78" s="40">
        <f>+'[10]PTRM input'!G$481</f>
        <v>1.4999999999999999E-2</v>
      </c>
      <c r="E78" s="40">
        <f>+'[10]PTRM input'!H$481</f>
        <v>1.7500000000000002E-2</v>
      </c>
      <c r="F78" s="40">
        <f>+'[10]PTRM input'!I$481</f>
        <v>0.02</v>
      </c>
      <c r="G78" s="40">
        <f>+'[10]PTRM input'!J$481</f>
        <v>2.2499999999999999E-2</v>
      </c>
      <c r="H78" s="40">
        <f>+'[10]PTRM input'!K$481</f>
        <v>2.5000000000000001E-2</v>
      </c>
    </row>
    <row r="79" spans="1:8" ht="17.399999999999999">
      <c r="A79" s="26" t="s">
        <v>42</v>
      </c>
      <c r="B79" s="26"/>
      <c r="C79" s="49">
        <v>1</v>
      </c>
      <c r="D79" s="50">
        <f>C79*(1+D78)</f>
        <v>1.0149999999999999</v>
      </c>
      <c r="E79" s="50">
        <f t="shared" ref="E79:H79" si="21">D79*(1+E78)</f>
        <v>1.0327625</v>
      </c>
      <c r="F79" s="50">
        <f t="shared" si="21"/>
        <v>1.0534177500000002</v>
      </c>
      <c r="G79" s="50">
        <f t="shared" si="21"/>
        <v>1.0771196493750002</v>
      </c>
      <c r="H79" s="50">
        <f t="shared" si="21"/>
        <v>1.1040476406093751</v>
      </c>
    </row>
    <row r="80" spans="1:8" ht="17.399999999999999">
      <c r="A80" s="30" t="s">
        <v>43</v>
      </c>
      <c r="B80" s="30"/>
      <c r="C80" s="51"/>
      <c r="D80" s="37" cm="1">
        <f t="array" ref="D80">+[11]!vanilla01</f>
        <v>5.7499949621930981E-2</v>
      </c>
      <c r="E80" s="37" cm="1">
        <f t="array" ref="E80">+[11]!vanilla02</f>
        <v>5.742557008834024E-2</v>
      </c>
      <c r="F80" s="37" cm="1">
        <f t="array" ref="F80">+[11]!vanilla03</f>
        <v>5.6442069640372003E-2</v>
      </c>
      <c r="G80" s="37" cm="1">
        <f t="array" ref="G80">+[11]!vanilla04</f>
        <v>5.5070351302505496E-2</v>
      </c>
      <c r="H80" s="37" cm="1">
        <f t="array" ref="H80">+[11]!vanilla05</f>
        <v>5.4056006366063607E-2</v>
      </c>
    </row>
    <row r="81" spans="1:8">
      <c r="C81" s="52"/>
      <c r="D81" s="53"/>
      <c r="E81" s="53"/>
      <c r="F81" s="53"/>
      <c r="G81" s="53"/>
      <c r="H81" s="53"/>
    </row>
    <row r="82" spans="1:8">
      <c r="C82" s="52"/>
      <c r="D82" s="53"/>
      <c r="E82" s="53"/>
      <c r="F82" s="53"/>
      <c r="G82" s="53"/>
      <c r="H82" s="53"/>
    </row>
    <row r="83" spans="1:8" ht="13.8">
      <c r="A83" s="54" t="s">
        <v>25</v>
      </c>
    </row>
    <row r="84" spans="1:8" ht="17.399999999999999">
      <c r="A84" s="30" t="s">
        <v>44</v>
      </c>
      <c r="B84" s="30" t="s">
        <v>8</v>
      </c>
      <c r="C84" s="43"/>
      <c r="D84" s="43">
        <f>C87</f>
        <v>2246946.8133318699</v>
      </c>
      <c r="E84" s="43">
        <f t="shared" ref="E84:H84" si="22">D87</f>
        <v>2543740.9715641895</v>
      </c>
      <c r="F84" s="43">
        <f t="shared" si="22"/>
        <v>2815479.259471714</v>
      </c>
      <c r="G84" s="43">
        <f t="shared" si="22"/>
        <v>2975373.826803416</v>
      </c>
      <c r="H84" s="43">
        <f t="shared" si="22"/>
        <v>3111102.1999799181</v>
      </c>
    </row>
    <row r="85" spans="1:8" ht="17.399999999999999">
      <c r="A85" s="30" t="s">
        <v>45</v>
      </c>
      <c r="B85" s="30" t="s">
        <v>8</v>
      </c>
      <c r="C85" s="43"/>
      <c r="D85" s="43">
        <f>D108</f>
        <v>263089.95603234204</v>
      </c>
      <c r="E85" s="43">
        <f t="shared" ref="E85:H85" si="23">E108</f>
        <v>227222.82090515143</v>
      </c>
      <c r="F85" s="43">
        <f t="shared" si="23"/>
        <v>103584.9821422676</v>
      </c>
      <c r="G85" s="43">
        <f t="shared" si="23"/>
        <v>68782.462073425195</v>
      </c>
      <c r="H85" s="43">
        <f t="shared" si="23"/>
        <v>63052.74849945907</v>
      </c>
    </row>
    <row r="86" spans="1:8" ht="17.399999999999999">
      <c r="A86" s="30" t="s">
        <v>46</v>
      </c>
      <c r="B86" s="30" t="s">
        <v>8</v>
      </c>
      <c r="C86" s="43"/>
      <c r="D86" s="43">
        <f>D84*D78</f>
        <v>33704.202199978048</v>
      </c>
      <c r="E86" s="43">
        <f>E84*E78</f>
        <v>44515.46700237332</v>
      </c>
      <c r="F86" s="43">
        <f>F84*F78</f>
        <v>56309.585189434285</v>
      </c>
      <c r="G86" s="43">
        <f>G84*G78</f>
        <v>66945.911103076854</v>
      </c>
      <c r="H86" s="43">
        <f>H84*H78</f>
        <v>77777.554999497952</v>
      </c>
    </row>
    <row r="87" spans="1:8" ht="17.399999999999999">
      <c r="A87" s="30" t="s">
        <v>47</v>
      </c>
      <c r="B87" s="30" t="s">
        <v>8</v>
      </c>
      <c r="C87" s="43">
        <f>I40</f>
        <v>2246946.8133318699</v>
      </c>
      <c r="D87" s="43">
        <f>SUM(D84:D86)</f>
        <v>2543740.9715641895</v>
      </c>
      <c r="E87" s="43">
        <f>SUM(E84:E86)</f>
        <v>2815479.259471714</v>
      </c>
      <c r="F87" s="43">
        <f>SUM(F84:F86)</f>
        <v>2975373.826803416</v>
      </c>
      <c r="G87" s="43">
        <f>SUM(G84:G86)</f>
        <v>3111102.1999799181</v>
      </c>
      <c r="H87" s="43">
        <f>SUM(H84:H86)</f>
        <v>3251932.5034788754</v>
      </c>
    </row>
    <row r="88" spans="1:8" ht="13.8">
      <c r="A88" s="54"/>
    </row>
    <row r="89" spans="1:8" ht="17.399999999999999">
      <c r="A89" s="30" t="s">
        <v>48</v>
      </c>
      <c r="B89" s="30" t="str">
        <f>B87</f>
        <v>$ nominal</v>
      </c>
      <c r="C89" s="30"/>
      <c r="D89" s="43">
        <f>D87*D80</f>
        <v>146264.97771618268</v>
      </c>
      <c r="E89" s="43">
        <f>E87*E80</f>
        <v>161680.5015470612</v>
      </c>
      <c r="F89" s="43">
        <f>F87*F80</f>
        <v>167936.25673857855</v>
      </c>
      <c r="G89" s="43">
        <f>G87*G80</f>
        <v>171329.4910908918</v>
      </c>
      <c r="H89" s="43">
        <f>H87*H80</f>
        <v>175786.48411006326</v>
      </c>
    </row>
    <row r="90" spans="1:8" ht="17.399999999999999">
      <c r="A90" s="30" t="s">
        <v>48</v>
      </c>
      <c r="B90" s="30" t="s">
        <v>22</v>
      </c>
      <c r="C90" s="30"/>
      <c r="D90" s="43">
        <f>D89/D79</f>
        <v>144103.42632136226</v>
      </c>
      <c r="E90" s="43">
        <f>E89/E79</f>
        <v>156551.48356670697</v>
      </c>
      <c r="F90" s="43">
        <f>F89/F79</f>
        <v>159420.37879898885</v>
      </c>
      <c r="G90" s="43">
        <f>G89/G79</f>
        <v>159062.63634713739</v>
      </c>
      <c r="H90" s="43">
        <f>H89/H79</f>
        <v>159220.01700310555</v>
      </c>
    </row>
    <row r="91" spans="1:8" ht="13.8">
      <c r="A91" s="54"/>
    </row>
    <row r="92" spans="1:8" ht="13.8">
      <c r="A92" s="54" t="s">
        <v>26</v>
      </c>
    </row>
    <row r="93" spans="1:8" ht="17.399999999999999">
      <c r="A93" s="30" t="s">
        <v>44</v>
      </c>
      <c r="B93" s="30" t="s">
        <v>8</v>
      </c>
      <c r="C93" s="43"/>
      <c r="D93" s="43">
        <f>C96</f>
        <v>627360.44433607883</v>
      </c>
      <c r="E93" s="43">
        <f t="shared" ref="E93:H93" si="24">D96</f>
        <v>710227.07646115345</v>
      </c>
      <c r="F93" s="43">
        <f t="shared" si="24"/>
        <v>786097.96580899612</v>
      </c>
      <c r="G93" s="43">
        <f t="shared" si="24"/>
        <v>830741.44655939064</v>
      </c>
      <c r="H93" s="43">
        <f t="shared" si="24"/>
        <v>868637.58722449094</v>
      </c>
    </row>
    <row r="94" spans="1:8" ht="17.399999999999999">
      <c r="A94" s="30" t="s">
        <v>49</v>
      </c>
      <c r="B94" s="30" t="s">
        <v>8</v>
      </c>
      <c r="C94" s="43"/>
      <c r="D94" s="43">
        <f>D109</f>
        <v>73456.225460033456</v>
      </c>
      <c r="E94" s="43">
        <f t="shared" ref="E94:H94" si="25">E109</f>
        <v>63441.915509772502</v>
      </c>
      <c r="F94" s="43">
        <f t="shared" si="25"/>
        <v>28921.521434214566</v>
      </c>
      <c r="G94" s="43">
        <f t="shared" si="25"/>
        <v>19204.458117514034</v>
      </c>
      <c r="H94" s="43">
        <f t="shared" si="25"/>
        <v>17604.689207830041</v>
      </c>
    </row>
    <row r="95" spans="1:8" ht="17.399999999999999">
      <c r="A95" s="30" t="s">
        <v>46</v>
      </c>
      <c r="B95" s="30" t="s">
        <v>8</v>
      </c>
      <c r="C95" s="43"/>
      <c r="D95" s="43">
        <f>D93*D78</f>
        <v>9410.4066650411824</v>
      </c>
      <c r="E95" s="43">
        <f>E93*E78</f>
        <v>12428.973838070187</v>
      </c>
      <c r="F95" s="43">
        <f>F93*F78</f>
        <v>15721.959316179922</v>
      </c>
      <c r="G95" s="43">
        <f>G93*G78</f>
        <v>18691.68254758629</v>
      </c>
      <c r="H95" s="43">
        <f>H93*H78</f>
        <v>21715.939680612275</v>
      </c>
    </row>
    <row r="96" spans="1:8" ht="17.399999999999999">
      <c r="A96" s="30" t="s">
        <v>47</v>
      </c>
      <c r="B96" s="30" t="s">
        <v>8</v>
      </c>
      <c r="C96" s="43">
        <f>I41</f>
        <v>627360.44433607883</v>
      </c>
      <c r="D96" s="43">
        <f>SUM(D93:D95)</f>
        <v>710227.07646115345</v>
      </c>
      <c r="E96" s="43">
        <f>SUM(E93:E95)</f>
        <v>786097.96580899612</v>
      </c>
      <c r="F96" s="43">
        <f>SUM(F93:F95)</f>
        <v>830741.44655939064</v>
      </c>
      <c r="G96" s="43">
        <f>SUM(G93:G95)</f>
        <v>868637.58722449094</v>
      </c>
      <c r="H96" s="43">
        <f>SUM(H93:H95)</f>
        <v>907958.21611293324</v>
      </c>
    </row>
    <row r="97" spans="1:8" ht="13.8">
      <c r="A97" s="54"/>
    </row>
    <row r="98" spans="1:8" ht="17.399999999999999">
      <c r="A98" s="30" t="s">
        <v>50</v>
      </c>
      <c r="B98" s="30" t="str">
        <f>B96</f>
        <v>$ nominal</v>
      </c>
      <c r="C98" s="43"/>
      <c r="D98" s="43">
        <f>D96*D80</f>
        <v>40838.021116647644</v>
      </c>
      <c r="E98" s="43">
        <f>E96*E80</f>
        <v>45142.123831866193</v>
      </c>
      <c r="F98" s="43">
        <f>F96*F80</f>
        <v>46888.766579848503</v>
      </c>
      <c r="G98" s="43">
        <f>G96*G80</f>
        <v>47836.177083013477</v>
      </c>
      <c r="H98" s="43">
        <f>H96*H80</f>
        <v>49080.595110320472</v>
      </c>
    </row>
    <row r="99" spans="1:8" ht="17.399999999999999">
      <c r="A99" s="30" t="s">
        <v>50</v>
      </c>
      <c r="B99" s="30" t="s">
        <v>22</v>
      </c>
      <c r="C99" s="43"/>
      <c r="D99" s="43">
        <f>D98/D79</f>
        <v>40234.503563199651</v>
      </c>
      <c r="E99" s="43">
        <f>E98/E79</f>
        <v>43710.072578996806</v>
      </c>
      <c r="F99" s="43">
        <f>F98/F79</f>
        <v>44511.084590940773</v>
      </c>
      <c r="G99" s="43">
        <f>G98/G79</f>
        <v>44411.200845486826</v>
      </c>
      <c r="H99" s="43">
        <f>H98/H79</f>
        <v>44455.142427758474</v>
      </c>
    </row>
    <row r="100" spans="1:8" ht="13.8">
      <c r="A100" s="54"/>
    </row>
    <row r="101" spans="1:8" ht="13.8">
      <c r="A101" s="54" t="s">
        <v>51</v>
      </c>
    </row>
    <row r="102" spans="1:8" ht="17.399999999999999">
      <c r="A102" s="30" t="s">
        <v>52</v>
      </c>
      <c r="B102" s="30" t="s">
        <v>22</v>
      </c>
      <c r="C102" s="43">
        <f>+[10]Assets!$F$9*1000000</f>
        <v>1132277631.6296525</v>
      </c>
    </row>
    <row r="103" spans="1:8" ht="17.399999999999999">
      <c r="A103" s="30" t="s">
        <v>53</v>
      </c>
      <c r="B103" s="30" t="s">
        <v>34</v>
      </c>
      <c r="C103" s="55">
        <f>C87/C$102</f>
        <v>1.984448646307627E-3</v>
      </c>
      <c r="D103" s="55">
        <f>C103</f>
        <v>1.984448646307627E-3</v>
      </c>
      <c r="E103" s="55">
        <f t="shared" ref="E103:H104" si="26">D103</f>
        <v>1.984448646307627E-3</v>
      </c>
      <c r="F103" s="55">
        <f t="shared" si="26"/>
        <v>1.984448646307627E-3</v>
      </c>
      <c r="G103" s="55">
        <f t="shared" si="26"/>
        <v>1.984448646307627E-3</v>
      </c>
      <c r="H103" s="55">
        <f t="shared" si="26"/>
        <v>1.984448646307627E-3</v>
      </c>
    </row>
    <row r="104" spans="1:8" ht="17.399999999999999">
      <c r="A104" s="30" t="s">
        <v>54</v>
      </c>
      <c r="B104" s="30" t="s">
        <v>34</v>
      </c>
      <c r="C104" s="55">
        <f>I41/C$102</f>
        <v>5.5406944976307457E-4</v>
      </c>
      <c r="D104" s="55">
        <f>C104</f>
        <v>5.5406944976307457E-4</v>
      </c>
      <c r="E104" s="55">
        <f t="shared" si="26"/>
        <v>5.5406944976307457E-4</v>
      </c>
      <c r="F104" s="55">
        <f t="shared" si="26"/>
        <v>5.5406944976307457E-4</v>
      </c>
      <c r="G104" s="55">
        <f t="shared" si="26"/>
        <v>5.5406944976307457E-4</v>
      </c>
      <c r="H104" s="55">
        <f t="shared" si="26"/>
        <v>5.5406944976307457E-4</v>
      </c>
    </row>
    <row r="105" spans="1:8" ht="17.399999999999999">
      <c r="A105" s="30" t="s">
        <v>55</v>
      </c>
      <c r="B105" s="30" t="s">
        <v>22</v>
      </c>
      <c r="C105" s="30"/>
      <c r="D105" s="43">
        <f>+'[12]A. Capex by Asset classes '!E$21</f>
        <v>130616596.00400612</v>
      </c>
      <c r="E105" s="43">
        <f>+'[12]A. Capex by Asset classes '!F$21</f>
        <v>110869380.8820105</v>
      </c>
      <c r="F105" s="43">
        <f>+'[12]A. Capex by Asset classes '!G$21</f>
        <v>49551442.168298841</v>
      </c>
      <c r="G105" s="43">
        <f>+'[12]A. Capex by Asset classes '!H$21</f>
        <v>32179100.793518972</v>
      </c>
      <c r="H105" s="43">
        <f>+'[12]A. Capex by Asset classes '!I$21</f>
        <v>28779042.713116013</v>
      </c>
    </row>
    <row r="106" spans="1:8" ht="17.399999999999999">
      <c r="A106" s="30" t="s">
        <v>56</v>
      </c>
      <c r="B106" s="30" t="s">
        <v>22</v>
      </c>
      <c r="C106" s="43">
        <f>C103*C$105</f>
        <v>0</v>
      </c>
      <c r="D106" s="43">
        <f>D103*D$105</f>
        <v>259201.92712546015</v>
      </c>
      <c r="E106" s="43">
        <f t="shared" ref="E106:H107" si="27">E103*E$105</f>
        <v>220014.59280827045</v>
      </c>
      <c r="F106" s="43">
        <f t="shared" si="27"/>
        <v>98332.292333471298</v>
      </c>
      <c r="G106" s="43">
        <f t="shared" si="27"/>
        <v>63857.773009095406</v>
      </c>
      <c r="H106" s="43">
        <f t="shared" si="27"/>
        <v>57110.532354072449</v>
      </c>
    </row>
    <row r="107" spans="1:8" ht="17.399999999999999">
      <c r="A107" s="30" t="s">
        <v>57</v>
      </c>
      <c r="B107" s="30" t="s">
        <v>22</v>
      </c>
      <c r="C107" s="43">
        <f>C104*C$105</f>
        <v>0</v>
      </c>
      <c r="D107" s="43">
        <f>D104*D$105</f>
        <v>72370.665477865477</v>
      </c>
      <c r="E107" s="43">
        <f t="shared" si="27"/>
        <v>61429.336860868301</v>
      </c>
      <c r="F107" s="43">
        <f t="shared" si="27"/>
        <v>27454.94029715615</v>
      </c>
      <c r="G107" s="43">
        <f t="shared" si="27"/>
        <v>17829.456670535572</v>
      </c>
      <c r="H107" s="43">
        <f t="shared" si="27"/>
        <v>15945.58836076421</v>
      </c>
    </row>
    <row r="108" spans="1:8" ht="17.399999999999999">
      <c r="A108" s="30" t="str">
        <f>A106</f>
        <v>Change in linepack</v>
      </c>
      <c r="B108" s="30" t="s">
        <v>8</v>
      </c>
      <c r="C108" s="43">
        <f>C106*C$79</f>
        <v>0</v>
      </c>
      <c r="D108" s="43">
        <f t="shared" ref="D108:H109" si="28">D106*D$79</f>
        <v>263089.95603234204</v>
      </c>
      <c r="E108" s="43">
        <f t="shared" si="28"/>
        <v>227222.82090515143</v>
      </c>
      <c r="F108" s="43">
        <f t="shared" si="28"/>
        <v>103584.9821422676</v>
      </c>
      <c r="G108" s="43">
        <f t="shared" si="28"/>
        <v>68782.462073425195</v>
      </c>
      <c r="H108" s="43">
        <f t="shared" si="28"/>
        <v>63052.74849945907</v>
      </c>
    </row>
    <row r="109" spans="1:8" ht="17.399999999999999">
      <c r="A109" s="30" t="str">
        <f>A107</f>
        <v>Change in spares</v>
      </c>
      <c r="B109" s="30" t="s">
        <v>8</v>
      </c>
      <c r="C109" s="43">
        <f>C107*C$79</f>
        <v>0</v>
      </c>
      <c r="D109" s="43">
        <f t="shared" si="28"/>
        <v>73456.225460033456</v>
      </c>
      <c r="E109" s="43">
        <f t="shared" si="28"/>
        <v>63441.915509772502</v>
      </c>
      <c r="F109" s="43">
        <f t="shared" si="28"/>
        <v>28921.521434214566</v>
      </c>
      <c r="G109" s="43">
        <f t="shared" si="28"/>
        <v>19204.458117514034</v>
      </c>
      <c r="H109" s="43">
        <f t="shared" si="28"/>
        <v>17604.689207830041</v>
      </c>
    </row>
    <row r="111" spans="1:8" ht="17.399999999999999">
      <c r="A111" s="30" t="s">
        <v>58</v>
      </c>
      <c r="B111" s="30" t="s">
        <v>22</v>
      </c>
      <c r="C111" s="27"/>
      <c r="D111" s="27">
        <f>D90+D99</f>
        <v>184337.92988456192</v>
      </c>
      <c r="E111" s="27">
        <f>E90+E99</f>
        <v>200261.55614570377</v>
      </c>
      <c r="F111" s="27">
        <f>F90+F99</f>
        <v>203931.46338992962</v>
      </c>
      <c r="G111" s="27">
        <f>G90+G99</f>
        <v>203473.83719262423</v>
      </c>
      <c r="H111" s="27">
        <f>H90+H99</f>
        <v>203675.15943086403</v>
      </c>
    </row>
    <row r="114" spans="1:9" ht="17.399999999999999">
      <c r="A114" s="26" t="s">
        <v>59</v>
      </c>
      <c r="B114" s="26" t="s">
        <v>60</v>
      </c>
      <c r="C114" s="56">
        <v>695222</v>
      </c>
      <c r="D114" s="56">
        <v>863835</v>
      </c>
      <c r="E114" s="56">
        <v>0</v>
      </c>
      <c r="F114" s="56">
        <v>0</v>
      </c>
      <c r="G114" s="56">
        <v>0</v>
      </c>
      <c r="H114" s="56">
        <v>0</v>
      </c>
      <c r="I114" s="56">
        <f>D114</f>
        <v>863835</v>
      </c>
    </row>
    <row r="115" spans="1:9" ht="17.399999999999999">
      <c r="A115" s="30" t="str">
        <f>A114</f>
        <v>Access Arrangement Costs</v>
      </c>
      <c r="B115" s="30" t="s">
        <v>22</v>
      </c>
      <c r="C115" s="27">
        <f>C114/$C$22</f>
        <v>770652.82857600017</v>
      </c>
      <c r="D115" s="27">
        <f t="shared" ref="D115:I115" si="29">D114/$C$22</f>
        <v>957560.15513454564</v>
      </c>
      <c r="E115" s="27">
        <f t="shared" si="29"/>
        <v>0</v>
      </c>
      <c r="F115" s="27">
        <f t="shared" si="29"/>
        <v>0</v>
      </c>
      <c r="G115" s="27">
        <f t="shared" si="29"/>
        <v>0</v>
      </c>
      <c r="H115" s="27">
        <f t="shared" si="29"/>
        <v>0</v>
      </c>
      <c r="I115" s="27">
        <f t="shared" si="29"/>
        <v>957560.15513454564</v>
      </c>
    </row>
    <row r="116" spans="1:9" ht="17.399999999999999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ht="17.399999999999999">
      <c r="A117" s="32" t="s">
        <v>61</v>
      </c>
      <c r="B117" s="57"/>
      <c r="C117" s="57"/>
      <c r="D117" s="57"/>
      <c r="E117" s="57"/>
      <c r="F117" s="57"/>
      <c r="G117" s="57"/>
      <c r="H117" s="57"/>
      <c r="I117" s="57"/>
    </row>
    <row r="118" spans="1:9" ht="17.399999999999999">
      <c r="A118" s="47" t="s">
        <v>62</v>
      </c>
      <c r="B118" s="47"/>
      <c r="C118" s="47"/>
      <c r="D118" s="47">
        <f>D76</f>
        <v>2023</v>
      </c>
      <c r="E118" s="47">
        <f>E76</f>
        <v>2024</v>
      </c>
      <c r="F118" s="47">
        <f>F76</f>
        <v>2025</v>
      </c>
      <c r="G118" s="47">
        <f>G76</f>
        <v>2026</v>
      </c>
      <c r="H118" s="47">
        <f>H76</f>
        <v>2027</v>
      </c>
      <c r="I118" s="12"/>
    </row>
    <row r="119" spans="1:9" ht="17.399999999999999">
      <c r="A119" s="26" t="s">
        <v>63</v>
      </c>
      <c r="B119" s="26" t="s">
        <v>64</v>
      </c>
      <c r="C119" s="26"/>
      <c r="D119" s="56">
        <f>+'[10]PTRM input'!$G$448*1000000</f>
        <v>552671.30143014167</v>
      </c>
      <c r="E119" s="58">
        <f>'[13]PTRM input'!H394*1000000</f>
        <v>63125.133570585771</v>
      </c>
      <c r="F119" s="58">
        <f>'[13]PTRM input'!I394*1000000</f>
        <v>65198.107828618718</v>
      </c>
      <c r="G119" s="58">
        <f>'[13]PTRM input'!J394*1000000</f>
        <v>67244.999148066054</v>
      </c>
      <c r="H119" s="58">
        <f>'[13]PTRM input'!K394*1000000</f>
        <v>65605.043958083552</v>
      </c>
      <c r="I119" s="12"/>
    </row>
    <row r="120" spans="1:9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 ht="17.399999999999999">
      <c r="A121" s="32" t="s">
        <v>65</v>
      </c>
      <c r="B121" s="12"/>
      <c r="C121" s="12"/>
      <c r="D121" s="32">
        <f>D11</f>
        <v>2018</v>
      </c>
      <c r="E121" s="32">
        <f>E11</f>
        <v>2019</v>
      </c>
      <c r="F121" s="32">
        <f>F11</f>
        <v>2020</v>
      </c>
      <c r="G121" s="59" t="str">
        <f>G11</f>
        <v>2021E</v>
      </c>
      <c r="H121" s="59" t="str">
        <f>H11</f>
        <v>2022F</v>
      </c>
      <c r="I121" s="12"/>
    </row>
    <row r="122" spans="1:9" ht="17.399999999999999">
      <c r="A122" s="58" t="str">
        <f>[4]Input!E245</f>
        <v>Controllable opex</v>
      </c>
      <c r="B122" s="60" t="s">
        <v>66</v>
      </c>
      <c r="C122" s="12"/>
      <c r="D122" s="58">
        <f>+'[14]PTRM input'!G$385</f>
        <v>25.653631863929313</v>
      </c>
      <c r="E122" s="58">
        <f>+'[14]PTRM input'!H$385</f>
        <v>25.744119706786456</v>
      </c>
      <c r="F122" s="58">
        <f>+'[14]PTRM input'!I$385</f>
        <v>25.744119706786456</v>
      </c>
      <c r="G122" s="58">
        <f>+'[14]PTRM input'!J$385</f>
        <v>26.746470395363612</v>
      </c>
      <c r="H122" s="58">
        <f>+'[14]PTRM input'!K$385</f>
        <v>26.936033307187259</v>
      </c>
      <c r="I122" s="12"/>
    </row>
    <row r="123" spans="1:9" ht="17.399999999999999">
      <c r="A123" s="58" t="str">
        <f>[4]Input!E246</f>
        <v>Step out and scope changes</v>
      </c>
      <c r="B123" s="60" t="s">
        <v>66</v>
      </c>
      <c r="C123" s="12"/>
      <c r="D123" s="58"/>
      <c r="E123" s="58"/>
      <c r="F123" s="58"/>
      <c r="G123" s="58"/>
      <c r="H123" s="58"/>
      <c r="I123" s="12"/>
    </row>
    <row r="124" spans="1:9" ht="17.399999999999999">
      <c r="A124" s="58" t="str">
        <f>[4]Input!E247</f>
        <v>Reset costs</v>
      </c>
      <c r="B124" s="60" t="s">
        <v>66</v>
      </c>
      <c r="C124" s="12"/>
      <c r="D124" s="58"/>
      <c r="E124" s="58"/>
      <c r="F124" s="58"/>
      <c r="G124" s="58"/>
      <c r="H124" s="58"/>
      <c r="I124" s="12"/>
    </row>
    <row r="125" spans="1:9" ht="17.399999999999999">
      <c r="A125" s="58" t="str">
        <f>[4]Input!E248</f>
        <v>Other allowances</v>
      </c>
      <c r="B125" s="60" t="s">
        <v>66</v>
      </c>
      <c r="C125" s="12"/>
      <c r="D125" s="58"/>
      <c r="E125" s="58"/>
      <c r="F125" s="58"/>
      <c r="G125" s="58"/>
      <c r="H125" s="58"/>
      <c r="I125" s="12"/>
    </row>
    <row r="126" spans="1:9" ht="17.399999999999999">
      <c r="A126" s="58" t="str">
        <f>[4]Input!E249</f>
        <v>Benefit sharing allowance</v>
      </c>
      <c r="B126" s="60" t="s">
        <v>66</v>
      </c>
      <c r="C126" s="12"/>
      <c r="D126" s="58">
        <f>+'[14]PTRM input'!G$399</f>
        <v>6.9011038430109544</v>
      </c>
      <c r="E126" s="58">
        <f>+'[14]PTRM input'!H$399</f>
        <v>4.4942152320847368</v>
      </c>
      <c r="F126" s="58">
        <f>+'[14]PTRM input'!I$399</f>
        <v>3.5916324893411491</v>
      </c>
      <c r="G126" s="58">
        <f>+'[14]PTRM input'!J$399</f>
        <v>2.142455467047248</v>
      </c>
      <c r="H126" s="58">
        <f>+'[14]PTRM input'!K$399</f>
        <v>0</v>
      </c>
      <c r="I126" s="12"/>
    </row>
    <row r="127" spans="1:9" ht="17.399999999999999">
      <c r="A127" s="58" t="str">
        <f>[4]Input!E250</f>
        <v>Debt raising costs</v>
      </c>
      <c r="B127" s="60" t="s">
        <v>66</v>
      </c>
      <c r="C127" s="12"/>
      <c r="D127" s="58">
        <f>+'[14]PTRM input'!G$394</f>
        <v>5.9856454946827439E-2</v>
      </c>
      <c r="E127" s="58">
        <f>+'[14]PTRM input'!H$394</f>
        <v>6.1733771068755688E-2</v>
      </c>
      <c r="F127" s="58">
        <f>+'[14]PTRM input'!I$394</f>
        <v>6.3926367443062598E-2</v>
      </c>
      <c r="G127" s="58">
        <f>+'[14]PTRM input'!J$394</f>
        <v>6.5866750375907196E-2</v>
      </c>
      <c r="H127" s="58">
        <f>+'[14]PTRM input'!K$394</f>
        <v>6.4185634595638877E-2</v>
      </c>
      <c r="I127" s="12"/>
    </row>
    <row r="128" spans="1:9" ht="17.399999999999999">
      <c r="A128" s="61" t="str">
        <f>[4]Input!E251</f>
        <v>Total</v>
      </c>
      <c r="B128" s="30"/>
      <c r="C128" s="30"/>
      <c r="D128" s="30"/>
      <c r="E128" s="61">
        <f>SUM(E122:E127)</f>
        <v>30.30006870993995</v>
      </c>
      <c r="F128" s="61">
        <f t="shared" ref="F128:G128" si="30">SUM(F122:F127)</f>
        <v>29.399678563570667</v>
      </c>
      <c r="G128" s="61">
        <f t="shared" si="30"/>
        <v>28.954792612786768</v>
      </c>
      <c r="H128" s="61">
        <f>SUM(H122:H127)</f>
        <v>27.000218941782897</v>
      </c>
      <c r="I128" s="12"/>
    </row>
    <row r="129" spans="1:9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 ht="17.399999999999999">
      <c r="A130" s="30" t="s">
        <v>67</v>
      </c>
      <c r="B130" s="60" t="s">
        <v>68</v>
      </c>
      <c r="C130" s="30"/>
      <c r="D130" s="61">
        <f>SUM(D122:D125)/D$22</f>
        <v>27.904304396899178</v>
      </c>
      <c r="E130" s="61">
        <f t="shared" ref="E130:H130" si="31">SUM(E122:E125)/E$22</f>
        <v>27.511885601688363</v>
      </c>
      <c r="F130" s="61">
        <f t="shared" si="31"/>
        <v>27.014682849850619</v>
      </c>
      <c r="G130" s="61">
        <f t="shared" si="31"/>
        <v>27.827027799336303</v>
      </c>
      <c r="H130" s="61">
        <f t="shared" si="31"/>
        <v>27.474753973331005</v>
      </c>
      <c r="I130" s="12"/>
    </row>
    <row r="131" spans="1:9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>
      <c r="B132" s="12"/>
      <c r="C132" s="12"/>
      <c r="D132" s="12"/>
      <c r="E132" s="62"/>
      <c r="F132" s="12"/>
      <c r="G132" s="12"/>
      <c r="H132" s="12"/>
      <c r="I132" s="12"/>
    </row>
    <row r="133" spans="1:9">
      <c r="B133" s="12"/>
      <c r="C133" s="12"/>
      <c r="D133" s="12"/>
      <c r="E133" s="12"/>
      <c r="F133" s="12"/>
      <c r="G133" s="12"/>
      <c r="H133" s="12"/>
      <c r="I133" s="12"/>
    </row>
    <row r="134" spans="1:9">
      <c r="B134" s="12"/>
      <c r="C134" s="12"/>
      <c r="D134" s="12"/>
      <c r="E134" s="12"/>
      <c r="F134" s="12"/>
      <c r="G134" s="12"/>
      <c r="H134" s="12"/>
      <c r="I134" s="12"/>
    </row>
    <row r="135" spans="1:9">
      <c r="B135" s="12"/>
      <c r="C135" s="12"/>
      <c r="D135" s="12"/>
      <c r="E135" s="12"/>
      <c r="F135" s="12"/>
      <c r="G135" s="12"/>
      <c r="H135" s="12"/>
      <c r="I135" s="12"/>
    </row>
    <row r="149" spans="1:4" ht="21">
      <c r="A149" s="13" t="s">
        <v>69</v>
      </c>
      <c r="B149" s="1"/>
      <c r="C149" s="4" t="s">
        <v>70</v>
      </c>
    </row>
    <row r="150" spans="1:4">
      <c r="B150" s="2" t="s">
        <v>0</v>
      </c>
      <c r="C150" s="5" t="s">
        <v>71</v>
      </c>
    </row>
    <row r="151" spans="1:4">
      <c r="B151" s="2" t="s">
        <v>72</v>
      </c>
      <c r="C151" s="5" t="s">
        <v>73</v>
      </c>
    </row>
    <row r="152" spans="1:4">
      <c r="B152" s="2" t="s">
        <v>74</v>
      </c>
      <c r="C152" s="5" t="s">
        <v>75</v>
      </c>
    </row>
    <row r="153" spans="1:4">
      <c r="B153" s="2" t="s">
        <v>76</v>
      </c>
      <c r="C153" s="5" t="s">
        <v>77</v>
      </c>
    </row>
    <row r="154" spans="1:4">
      <c r="B154" s="2" t="s">
        <v>78</v>
      </c>
      <c r="C154" s="6">
        <v>3</v>
      </c>
    </row>
    <row r="155" spans="1:4">
      <c r="B155" s="3" t="s">
        <v>79</v>
      </c>
      <c r="C155" s="7">
        <v>17777</v>
      </c>
    </row>
    <row r="156" spans="1:4">
      <c r="B156" s="3" t="s">
        <v>80</v>
      </c>
      <c r="C156" s="7">
        <v>44440</v>
      </c>
    </row>
    <row r="157" spans="1:4">
      <c r="B157" s="2" t="s">
        <v>81</v>
      </c>
      <c r="C157" s="6">
        <v>293</v>
      </c>
    </row>
    <row r="158" spans="1:4">
      <c r="B158" s="2" t="s">
        <v>82</v>
      </c>
      <c r="C158" s="5" t="s">
        <v>83</v>
      </c>
      <c r="D158" s="13" t="s">
        <v>84</v>
      </c>
    </row>
    <row r="160" spans="1:4">
      <c r="B160" s="8">
        <v>42339</v>
      </c>
      <c r="C160" s="9">
        <v>108.4</v>
      </c>
      <c r="D160" s="6"/>
    </row>
    <row r="161" spans="2:4">
      <c r="B161" s="8">
        <v>42430</v>
      </c>
      <c r="C161" s="9">
        <v>108.2</v>
      </c>
      <c r="D161" s="6"/>
    </row>
    <row r="162" spans="2:4">
      <c r="B162" s="8">
        <v>42522</v>
      </c>
      <c r="C162" s="9">
        <v>108.6</v>
      </c>
      <c r="D162" s="6"/>
    </row>
    <row r="163" spans="2:4">
      <c r="B163" s="8">
        <v>42614</v>
      </c>
      <c r="C163" s="9">
        <v>109.4</v>
      </c>
      <c r="D163" s="6"/>
    </row>
    <row r="164" spans="2:4">
      <c r="B164" s="8">
        <v>42705</v>
      </c>
      <c r="C164" s="9">
        <v>110</v>
      </c>
      <c r="D164" s="63">
        <f>+C164/C160-1</f>
        <v>1.4760147601476037E-2</v>
      </c>
    </row>
    <row r="165" spans="2:4">
      <c r="B165" s="8">
        <v>42795</v>
      </c>
      <c r="C165" s="9">
        <v>110.5</v>
      </c>
      <c r="D165" s="6"/>
    </row>
    <row r="166" spans="2:4">
      <c r="B166" s="8">
        <v>42887</v>
      </c>
      <c r="C166" s="9">
        <v>110.7</v>
      </c>
      <c r="D166" s="6"/>
    </row>
    <row r="167" spans="2:4">
      <c r="B167" s="8">
        <v>42979</v>
      </c>
      <c r="C167" s="9">
        <v>111.4</v>
      </c>
      <c r="D167" s="6"/>
    </row>
    <row r="168" spans="2:4">
      <c r="B168" s="8">
        <v>43070</v>
      </c>
      <c r="C168" s="9">
        <v>112.1</v>
      </c>
      <c r="D168" s="63">
        <f>+C168/C164-1</f>
        <v>1.9090909090909047E-2</v>
      </c>
    </row>
    <row r="169" spans="2:4">
      <c r="B169" s="8">
        <v>43160</v>
      </c>
      <c r="C169" s="9">
        <v>112.6</v>
      </c>
      <c r="D169" s="6"/>
    </row>
    <row r="170" spans="2:4">
      <c r="B170" s="8">
        <v>43252</v>
      </c>
      <c r="C170" s="9">
        <v>113</v>
      </c>
      <c r="D170" s="6"/>
    </row>
    <row r="171" spans="2:4">
      <c r="B171" s="8">
        <v>43344</v>
      </c>
      <c r="C171" s="9">
        <v>113.5</v>
      </c>
      <c r="D171" s="6"/>
    </row>
    <row r="172" spans="2:4">
      <c r="B172" s="8">
        <v>43435</v>
      </c>
      <c r="C172" s="9">
        <v>114.1</v>
      </c>
      <c r="D172" s="63">
        <f>+C172/C168-1</f>
        <v>1.7841213202497874E-2</v>
      </c>
    </row>
    <row r="173" spans="2:4">
      <c r="B173" s="8">
        <v>43525</v>
      </c>
      <c r="C173" s="9">
        <v>114.1</v>
      </c>
      <c r="D173" s="6"/>
    </row>
    <row r="174" spans="2:4">
      <c r="B174" s="8">
        <v>43617</v>
      </c>
      <c r="C174" s="9">
        <v>114.8</v>
      </c>
      <c r="D174" s="6"/>
    </row>
    <row r="175" spans="2:4">
      <c r="B175" s="8">
        <v>43709</v>
      </c>
      <c r="C175" s="9">
        <v>115.4</v>
      </c>
      <c r="D175" s="6"/>
    </row>
    <row r="176" spans="2:4">
      <c r="B176" s="8">
        <v>43800</v>
      </c>
      <c r="C176" s="9">
        <v>116.2</v>
      </c>
      <c r="D176" s="63">
        <f>+C176/C172-1</f>
        <v>1.8404907975460238E-2</v>
      </c>
    </row>
    <row r="177" spans="2:4">
      <c r="B177" s="8">
        <v>43891</v>
      </c>
      <c r="C177" s="9">
        <v>116.6</v>
      </c>
      <c r="D177" s="6"/>
    </row>
    <row r="178" spans="2:4">
      <c r="B178" s="8">
        <v>43983</v>
      </c>
      <c r="C178" s="9">
        <v>114.4</v>
      </c>
      <c r="D178" s="6"/>
    </row>
    <row r="179" spans="2:4">
      <c r="B179" s="8">
        <v>44075</v>
      </c>
      <c r="C179" s="9">
        <v>116.2</v>
      </c>
      <c r="D179" s="6"/>
    </row>
    <row r="180" spans="2:4">
      <c r="B180" s="8">
        <v>44166</v>
      </c>
      <c r="C180" s="9">
        <v>117.2</v>
      </c>
      <c r="D180" s="63">
        <f>+C180/C176-1</f>
        <v>8.6058519793459354E-3</v>
      </c>
    </row>
    <row r="181" spans="2:4">
      <c r="B181" s="8">
        <v>44256</v>
      </c>
      <c r="C181" s="9">
        <v>117.9</v>
      </c>
      <c r="D181" s="6"/>
    </row>
    <row r="182" spans="2:4">
      <c r="B182" s="8">
        <v>44348</v>
      </c>
      <c r="C182" s="9">
        <v>118.8</v>
      </c>
      <c r="D182" s="6"/>
    </row>
    <row r="183" spans="2:4">
      <c r="B183" s="8">
        <v>44440</v>
      </c>
      <c r="C183" s="9">
        <v>119.7</v>
      </c>
      <c r="D183" s="6"/>
    </row>
    <row r="184" spans="2:4">
      <c r="B184" s="10" t="s">
        <v>85</v>
      </c>
      <c r="C184" s="64">
        <f>+C180*1.02</f>
        <v>119.54400000000001</v>
      </c>
      <c r="D184" s="63">
        <f>+C184/C180-1</f>
        <v>2.0000000000000018E-2</v>
      </c>
    </row>
  </sheetData>
  <phoneticPr fontId="16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BEAFA8"/>
  </sheetPr>
  <dimension ref="A10:AE61"/>
  <sheetViews>
    <sheetView zoomScaleNormal="100" workbookViewId="0"/>
  </sheetViews>
  <sheetFormatPr defaultColWidth="9" defaultRowHeight="13.2"/>
  <cols>
    <col min="1" max="1" width="38.61328125" style="13" customWidth="1"/>
    <col min="2" max="2" width="11.3828125" style="13" customWidth="1"/>
    <col min="3" max="9" width="10.84375" style="13" bestFit="1" customWidth="1"/>
    <col min="10" max="10" width="10.53515625" style="13" customWidth="1"/>
    <col min="11" max="12" width="9" style="13"/>
    <col min="13" max="13" width="9.921875" style="13" customWidth="1"/>
    <col min="14" max="16384" width="9" style="13"/>
  </cols>
  <sheetData>
    <row r="10" spans="1:31" s="12" customFormat="1" ht="22.8">
      <c r="A10" s="11" t="str">
        <f ca="1">RIGHT(CELL("filename",A1),LEN(CELL("filename",A1))-FIND("]",CELL("filename",A1)))</f>
        <v>Calc│Forecast</v>
      </c>
      <c r="B10" s="23" t="s">
        <v>0</v>
      </c>
      <c r="C10" s="23">
        <v>2021</v>
      </c>
      <c r="D10" s="23">
        <v>2022</v>
      </c>
      <c r="E10" s="23">
        <v>2023</v>
      </c>
      <c r="F10" s="23">
        <v>2024</v>
      </c>
      <c r="G10" s="23">
        <v>2025</v>
      </c>
      <c r="H10" s="23">
        <v>2026</v>
      </c>
      <c r="I10" s="23">
        <v>2027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2" spans="1:31" ht="17.399999999999999">
      <c r="A12" s="45" t="s">
        <v>86</v>
      </c>
    </row>
    <row r="13" spans="1:31" ht="17.399999999999999">
      <c r="A13" s="30" t="s">
        <v>87</v>
      </c>
      <c r="B13" s="42" t="s">
        <v>22</v>
      </c>
      <c r="C13" s="27">
        <f>+Input!F33</f>
        <v>29411634.624699332</v>
      </c>
    </row>
    <row r="15" spans="1:31" ht="17.399999999999999">
      <c r="A15" s="65" t="s">
        <v>88</v>
      </c>
    </row>
    <row r="16" spans="1:31" ht="17.399999999999999">
      <c r="A16" s="30" t="s">
        <v>89</v>
      </c>
      <c r="B16" s="66" t="str">
        <f>B13</f>
        <v>real $2022</v>
      </c>
      <c r="C16" s="27">
        <v>0</v>
      </c>
    </row>
    <row r="18" spans="1:9" ht="17.399999999999999">
      <c r="A18" s="45" t="s">
        <v>90</v>
      </c>
    </row>
    <row r="19" spans="1:9" ht="17.399999999999999">
      <c r="A19" s="30" t="s">
        <v>87</v>
      </c>
      <c r="B19" s="66" t="str">
        <f>B16</f>
        <v>real $2022</v>
      </c>
      <c r="C19" s="27">
        <f>C13-C16</f>
        <v>29411634.624699332</v>
      </c>
    </row>
    <row r="21" spans="1:9" ht="17.399999999999999">
      <c r="A21" s="45" t="s">
        <v>91</v>
      </c>
    </row>
    <row r="22" spans="1:9" ht="17.399999999999999">
      <c r="A22" s="30" t="s">
        <v>92</v>
      </c>
      <c r="B22" s="66" t="str">
        <f>B19</f>
        <v>real $2022</v>
      </c>
      <c r="C22" s="27">
        <v>0</v>
      </c>
    </row>
    <row r="23" spans="1:9">
      <c r="C23" s="13" t="s">
        <v>93</v>
      </c>
    </row>
    <row r="24" spans="1:9" ht="17.399999999999999">
      <c r="A24" s="45" t="s">
        <v>94</v>
      </c>
    </row>
    <row r="25" spans="1:9" ht="17.399999999999999">
      <c r="A25" s="30" t="s">
        <v>87</v>
      </c>
      <c r="B25" s="66" t="str">
        <f>B22</f>
        <v>real $2022</v>
      </c>
      <c r="C25" s="27">
        <f>C19-C22</f>
        <v>29411634.624699332</v>
      </c>
      <c r="D25" s="27">
        <f>C25</f>
        <v>29411634.624699332</v>
      </c>
      <c r="E25" s="27">
        <f t="shared" ref="E25:I25" si="0">D25</f>
        <v>29411634.624699332</v>
      </c>
      <c r="F25" s="27">
        <f t="shared" si="0"/>
        <v>29411634.624699332</v>
      </c>
      <c r="G25" s="27">
        <f t="shared" si="0"/>
        <v>29411634.624699332</v>
      </c>
      <c r="H25" s="27">
        <f t="shared" si="0"/>
        <v>29411634.624699332</v>
      </c>
      <c r="I25" s="27">
        <f t="shared" si="0"/>
        <v>29411634.624699332</v>
      </c>
    </row>
    <row r="28" spans="1:9" ht="17.399999999999999">
      <c r="A28" s="45" t="s">
        <v>95</v>
      </c>
    </row>
    <row r="29" spans="1:9" ht="17.399999999999999">
      <c r="A29" s="30" t="s">
        <v>96</v>
      </c>
      <c r="B29" s="66" t="str">
        <f>B25</f>
        <v>real $2022</v>
      </c>
      <c r="C29" s="30"/>
      <c r="D29" s="27">
        <f>Input!C74</f>
        <v>0</v>
      </c>
      <c r="E29" s="27">
        <f>Input!D74</f>
        <v>605679.59593220346</v>
      </c>
      <c r="F29" s="27">
        <f>Input!E74</f>
        <v>1168200.2433966103</v>
      </c>
      <c r="G29" s="27">
        <f>Input!F74</f>
        <v>1730720.8908610172</v>
      </c>
      <c r="H29" s="27">
        <f>Input!G74</f>
        <v>1730720.8908610172</v>
      </c>
      <c r="I29" s="27">
        <f>Input!H74</f>
        <v>1730720.8908610172</v>
      </c>
    </row>
    <row r="30" spans="1:9" ht="17.399999999999999">
      <c r="A30" s="30" t="s">
        <v>23</v>
      </c>
      <c r="B30" s="66" t="str">
        <f>B29</f>
        <v>real $2022</v>
      </c>
      <c r="C30" s="27"/>
      <c r="D30" s="27">
        <f>Input!C111</f>
        <v>0</v>
      </c>
      <c r="E30" s="27">
        <f>Input!D111</f>
        <v>184337.92988456192</v>
      </c>
      <c r="F30" s="27">
        <f>Input!E111</f>
        <v>200261.55614570377</v>
      </c>
      <c r="G30" s="27">
        <f>Input!F111</f>
        <v>203931.46338992962</v>
      </c>
      <c r="H30" s="27">
        <f>Input!G111</f>
        <v>203473.83719262423</v>
      </c>
      <c r="I30" s="27">
        <f>Input!H111</f>
        <v>203675.15943086403</v>
      </c>
    </row>
    <row r="31" spans="1:9" ht="17.399999999999999">
      <c r="A31" s="30" t="s">
        <v>97</v>
      </c>
      <c r="B31" s="66" t="str">
        <f>B30</f>
        <v>real $2022</v>
      </c>
      <c r="C31" s="27"/>
      <c r="D31" s="27">
        <f>Input!I115</f>
        <v>957560.15513454564</v>
      </c>
      <c r="E31" s="27"/>
      <c r="F31" s="27">
        <f>Input!E114</f>
        <v>0</v>
      </c>
      <c r="G31" s="27">
        <f>Input!F114</f>
        <v>0</v>
      </c>
      <c r="H31" s="27">
        <v>1000000</v>
      </c>
      <c r="I31" s="27">
        <v>1000000</v>
      </c>
    </row>
    <row r="32" spans="1:9" ht="17.399999999999999">
      <c r="A32" s="30" t="s">
        <v>98</v>
      </c>
      <c r="B32" s="66" t="str">
        <f t="shared" ref="B32" si="1">B30</f>
        <v>real $2022</v>
      </c>
      <c r="C32" s="27">
        <f>SUM(C29:C31)</f>
        <v>0</v>
      </c>
      <c r="D32" s="27">
        <f>SUM(D29:D31)</f>
        <v>957560.15513454564</v>
      </c>
      <c r="E32" s="27">
        <f t="shared" ref="E32:I32" si="2">SUM(E29:E31)</f>
        <v>790017.52581676538</v>
      </c>
      <c r="F32" s="27">
        <f t="shared" si="2"/>
        <v>1368461.7995423139</v>
      </c>
      <c r="G32" s="27">
        <f t="shared" si="2"/>
        <v>1934652.3542509468</v>
      </c>
      <c r="H32" s="27">
        <f t="shared" si="2"/>
        <v>2934194.7280536415</v>
      </c>
      <c r="I32" s="27">
        <f t="shared" si="2"/>
        <v>2934396.050291881</v>
      </c>
    </row>
    <row r="34" spans="1:9" ht="17.399999999999999">
      <c r="A34" s="45" t="s">
        <v>99</v>
      </c>
    </row>
    <row r="35" spans="1:9" ht="17.399999999999999">
      <c r="A35" s="30" t="s">
        <v>87</v>
      </c>
      <c r="B35" s="66" t="str">
        <f>B32</f>
        <v>real $2022</v>
      </c>
      <c r="C35" s="27">
        <f t="shared" ref="C35:I35" si="3">C25+C32</f>
        <v>29411634.624699332</v>
      </c>
      <c r="D35" s="27">
        <f t="shared" si="3"/>
        <v>30369194.779833876</v>
      </c>
      <c r="E35" s="27">
        <f t="shared" si="3"/>
        <v>30201652.150516097</v>
      </c>
      <c r="F35" s="27">
        <f t="shared" si="3"/>
        <v>30780096.424241647</v>
      </c>
      <c r="G35" s="27">
        <f t="shared" si="3"/>
        <v>31346286.978950277</v>
      </c>
      <c r="H35" s="27">
        <f t="shared" si="3"/>
        <v>32345829.352752972</v>
      </c>
      <c r="I35" s="27">
        <f t="shared" si="3"/>
        <v>32346030.674991213</v>
      </c>
    </row>
    <row r="37" spans="1:9" ht="17.399999999999999">
      <c r="A37" s="45" t="s">
        <v>100</v>
      </c>
    </row>
    <row r="38" spans="1:9" ht="17.399999999999999">
      <c r="A38" s="27" t="str">
        <f>Input!A53</f>
        <v>Acquisition of carbon offset certificates</v>
      </c>
      <c r="B38" s="66" t="str">
        <f>B35</f>
        <v>real $2022</v>
      </c>
      <c r="C38" s="27"/>
      <c r="D38" s="27">
        <f>Input!C53</f>
        <v>0</v>
      </c>
      <c r="E38" s="27">
        <f>Input!D53</f>
        <v>271596.48174399999</v>
      </c>
      <c r="F38" s="27">
        <f>Input!E53</f>
        <v>283860.199532</v>
      </c>
      <c r="G38" s="27">
        <f>Input!F53</f>
        <v>296123.91731999995</v>
      </c>
      <c r="H38" s="27">
        <f>Input!G53</f>
        <v>326633.65425599995</v>
      </c>
      <c r="I38" s="27">
        <f>Input!H53</f>
        <v>357143.39119199995</v>
      </c>
    </row>
    <row r="39" spans="1:9" ht="17.399999999999999">
      <c r="A39" s="27" t="s">
        <v>101</v>
      </c>
      <c r="B39" s="66" t="s">
        <v>22</v>
      </c>
      <c r="C39" s="27"/>
      <c r="D39" s="27"/>
      <c r="E39" s="27">
        <f>+'[15]VTS T&amp;T &amp; SOCI opex&amp;capex'!R$12</f>
        <v>2396909.5</v>
      </c>
      <c r="F39" s="27">
        <f>+'[15]VTS T&amp;T &amp; SOCI opex&amp;capex'!S$12</f>
        <v>2992134.5</v>
      </c>
      <c r="G39" s="27">
        <f>+'[15]VTS T&amp;T &amp; SOCI opex&amp;capex'!T$12</f>
        <v>1748319.5000000002</v>
      </c>
      <c r="H39" s="27">
        <f>+'[15]VTS T&amp;T &amp; SOCI opex&amp;capex'!U$12</f>
        <v>1140779.5</v>
      </c>
      <c r="I39" s="27">
        <f>+'[15]VTS T&amp;T &amp; SOCI opex&amp;capex'!V$12</f>
        <v>1132569.5</v>
      </c>
    </row>
    <row r="40" spans="1:9" ht="17.399999999999999">
      <c r="A40" s="27" t="s">
        <v>102</v>
      </c>
      <c r="B40" s="66" t="s">
        <v>22</v>
      </c>
      <c r="C40" s="27"/>
      <c r="D40" s="27"/>
      <c r="E40" s="27">
        <f>+'[15]VTS T&amp;T &amp; SOCI opex&amp;capex'!R$17</f>
        <v>1313392.6500000001</v>
      </c>
      <c r="F40" s="27">
        <f>+'[15]VTS T&amp;T &amp; SOCI opex&amp;capex'!S$17</f>
        <v>1313392.6500000001</v>
      </c>
      <c r="G40" s="27">
        <f>+'[15]VTS T&amp;T &amp; SOCI opex&amp;capex'!T$17</f>
        <v>1313392.6500000001</v>
      </c>
      <c r="H40" s="27">
        <f>+'[15]VTS T&amp;T &amp; SOCI opex&amp;capex'!U$17</f>
        <v>1313392.6500000001</v>
      </c>
      <c r="I40" s="27">
        <f>+'[15]VTS T&amp;T &amp; SOCI opex&amp;capex'!V$17</f>
        <v>1313392.6500000001</v>
      </c>
    </row>
    <row r="41" spans="1:9" ht="17.399999999999999">
      <c r="A41" s="27" t="str">
        <f>+Input!A62</f>
        <v>Increase in VTS property taxes</v>
      </c>
      <c r="B41" s="66" t="s">
        <v>22</v>
      </c>
      <c r="C41" s="27"/>
      <c r="D41" s="27">
        <f>+Input!C62</f>
        <v>626534.83679999993</v>
      </c>
      <c r="E41" s="27">
        <f>+Input!D62</f>
        <v>626534.83679999993</v>
      </c>
      <c r="F41" s="27">
        <f>+Input!E62</f>
        <v>626534.83679999993</v>
      </c>
      <c r="G41" s="27">
        <f>+Input!F62</f>
        <v>626534.83679999993</v>
      </c>
      <c r="H41" s="27">
        <f>+Input!G62</f>
        <v>626534.83679999993</v>
      </c>
      <c r="I41" s="27">
        <f>+Input!H62</f>
        <v>626534.83679999993</v>
      </c>
    </row>
    <row r="42" spans="1:9" ht="17.399999999999999">
      <c r="A42" s="30" t="s">
        <v>103</v>
      </c>
      <c r="B42" s="66" t="str">
        <f>B35</f>
        <v>real $2022</v>
      </c>
      <c r="C42" s="27">
        <f t="shared" ref="C42" si="4">SUM(C38:C41)</f>
        <v>0</v>
      </c>
      <c r="D42" s="27">
        <f t="shared" ref="D42" si="5">SUM(D38:D41)</f>
        <v>626534.83679999993</v>
      </c>
      <c r="E42" s="27">
        <f>SUM(E38:E41)</f>
        <v>4608433.4685439998</v>
      </c>
      <c r="F42" s="27">
        <f t="shared" ref="F42:I42" si="6">SUM(F38:F41)</f>
        <v>5215922.1863319995</v>
      </c>
      <c r="G42" s="27">
        <f t="shared" si="6"/>
        <v>3984370.9041200001</v>
      </c>
      <c r="H42" s="27">
        <f t="shared" si="6"/>
        <v>3407340.6410560003</v>
      </c>
      <c r="I42" s="27">
        <f t="shared" si="6"/>
        <v>3429640.3779919995</v>
      </c>
    </row>
    <row r="44" spans="1:9" ht="17.399999999999999">
      <c r="A44" s="67" t="s">
        <v>104</v>
      </c>
      <c r="B44" s="67" t="str">
        <f>B42</f>
        <v>real $2022</v>
      </c>
      <c r="C44" s="68">
        <f>C35+C42</f>
        <v>29411634.624699332</v>
      </c>
      <c r="D44" s="68">
        <f t="shared" ref="D44:I44" si="7">D35+D42</f>
        <v>30995729.616633877</v>
      </c>
      <c r="E44" s="68">
        <f t="shared" si="7"/>
        <v>34810085.619060099</v>
      </c>
      <c r="F44" s="68">
        <f t="shared" si="7"/>
        <v>35996018.610573649</v>
      </c>
      <c r="G44" s="68">
        <f t="shared" si="7"/>
        <v>35330657.883070275</v>
      </c>
      <c r="H44" s="68">
        <f t="shared" si="7"/>
        <v>35753169.99380897</v>
      </c>
      <c r="I44" s="68">
        <f t="shared" si="7"/>
        <v>35775671.052983209</v>
      </c>
    </row>
    <row r="46" spans="1:9" ht="17.399999999999999">
      <c r="A46" s="45" t="s">
        <v>105</v>
      </c>
    </row>
    <row r="47" spans="1:9" ht="17.399999999999999">
      <c r="A47" s="30" t="str">
        <f>Input!A13</f>
        <v>Repairs and maintenance</v>
      </c>
      <c r="B47" s="30" t="s">
        <v>16</v>
      </c>
      <c r="C47" s="46">
        <f>Input!H13/(Input!$H$17-Input!GH$15)</f>
        <v>0.72010488570880715</v>
      </c>
      <c r="D47" s="46">
        <f>C47</f>
        <v>0.72010488570880715</v>
      </c>
      <c r="E47" s="46">
        <f t="shared" ref="E47:I47" si="8">D47</f>
        <v>0.72010488570880715</v>
      </c>
      <c r="F47" s="46">
        <f t="shared" si="8"/>
        <v>0.72010488570880715</v>
      </c>
      <c r="G47" s="46">
        <f t="shared" si="8"/>
        <v>0.72010488570880715</v>
      </c>
      <c r="H47" s="46">
        <f t="shared" si="8"/>
        <v>0.72010488570880715</v>
      </c>
      <c r="I47" s="46">
        <f t="shared" si="8"/>
        <v>0.72010488570880715</v>
      </c>
    </row>
    <row r="48" spans="1:9" ht="17.399999999999999">
      <c r="A48" s="30" t="str">
        <f>Input!A14</f>
        <v>Other operating</v>
      </c>
      <c r="B48" s="30" t="s">
        <v>16</v>
      </c>
      <c r="C48" s="46">
        <f>Input!H14/(Input!$H$17-Input!GH$15)</f>
        <v>7.2331876408903192E-2</v>
      </c>
      <c r="D48" s="46">
        <f t="shared" ref="D48:I51" si="9">C48</f>
        <v>7.2331876408903192E-2</v>
      </c>
      <c r="E48" s="46">
        <f t="shared" si="9"/>
        <v>7.2331876408903192E-2</v>
      </c>
      <c r="F48" s="46">
        <f t="shared" si="9"/>
        <v>7.2331876408903192E-2</v>
      </c>
      <c r="G48" s="46">
        <f t="shared" si="9"/>
        <v>7.2331876408903192E-2</v>
      </c>
      <c r="H48" s="46">
        <f t="shared" si="9"/>
        <v>7.2331876408903192E-2</v>
      </c>
      <c r="I48" s="46">
        <f t="shared" si="9"/>
        <v>7.2331876408903192E-2</v>
      </c>
    </row>
    <row r="49" spans="1:9" ht="17.399999999999999">
      <c r="A49" s="30" t="str">
        <f>Input!A15</f>
        <v>Debt raising</v>
      </c>
      <c r="B49" s="30" t="s">
        <v>16</v>
      </c>
      <c r="C49" s="46"/>
      <c r="D49" s="46"/>
      <c r="E49" s="46"/>
      <c r="F49" s="46"/>
      <c r="G49" s="46"/>
      <c r="H49" s="46"/>
      <c r="I49" s="46"/>
    </row>
    <row r="50" spans="1:9" ht="17.399999999999999">
      <c r="A50" s="30" t="str">
        <f>Input!A16</f>
        <v xml:space="preserve">Corporate overheads costs </v>
      </c>
      <c r="B50" s="30" t="s">
        <v>16</v>
      </c>
      <c r="C50" s="46">
        <f>Input!H16/(Input!$H$17-Input!GH$15)</f>
        <v>0.20553094421668958</v>
      </c>
      <c r="D50" s="46">
        <f t="shared" si="9"/>
        <v>0.20553094421668958</v>
      </c>
      <c r="E50" s="46">
        <f t="shared" si="9"/>
        <v>0.20553094421668958</v>
      </c>
      <c r="F50" s="46">
        <f t="shared" si="9"/>
        <v>0.20553094421668958</v>
      </c>
      <c r="G50" s="46">
        <f t="shared" si="9"/>
        <v>0.20553094421668958</v>
      </c>
      <c r="H50" s="46">
        <f t="shared" si="9"/>
        <v>0.20553094421668958</v>
      </c>
      <c r="I50" s="46">
        <f t="shared" si="9"/>
        <v>0.20553094421668958</v>
      </c>
    </row>
    <row r="51" spans="1:9" ht="17.399999999999999">
      <c r="A51" s="30" t="str">
        <f>Input!A17</f>
        <v>Total</v>
      </c>
      <c r="B51" s="30" t="s">
        <v>16</v>
      </c>
      <c r="C51" s="70">
        <f>Input!H17/(Input!$H$17-Input!GH$15)</f>
        <v>1</v>
      </c>
      <c r="D51" s="46">
        <f t="shared" si="9"/>
        <v>1</v>
      </c>
      <c r="E51" s="46">
        <f t="shared" si="9"/>
        <v>1</v>
      </c>
      <c r="F51" s="46">
        <f t="shared" si="9"/>
        <v>1</v>
      </c>
      <c r="G51" s="46">
        <f t="shared" si="9"/>
        <v>1</v>
      </c>
      <c r="H51" s="46">
        <f t="shared" si="9"/>
        <v>1</v>
      </c>
      <c r="I51" s="46">
        <f t="shared" si="9"/>
        <v>1</v>
      </c>
    </row>
    <row r="53" spans="1:9" ht="17.399999999999999">
      <c r="A53" s="45" t="s">
        <v>106</v>
      </c>
    </row>
    <row r="54" spans="1:9" ht="17.399999999999999">
      <c r="A54" s="67" t="str">
        <f>A47</f>
        <v>Repairs and maintenance</v>
      </c>
      <c r="B54" s="67" t="s">
        <v>22</v>
      </c>
      <c r="C54" s="68">
        <f t="shared" ref="C54:I57" si="10">C47*C$44</f>
        <v>21179461.789928306</v>
      </c>
      <c r="D54" s="68">
        <f t="shared" si="10"/>
        <v>22320176.333047226</v>
      </c>
      <c r="E54" s="68">
        <f t="shared" si="10"/>
        <v>25066912.726227064</v>
      </c>
      <c r="F54" s="68">
        <f t="shared" si="10"/>
        <v>25920908.867539234</v>
      </c>
      <c r="G54" s="68">
        <f t="shared" si="10"/>
        <v>25441779.356905285</v>
      </c>
      <c r="H54" s="68">
        <f t="shared" si="10"/>
        <v>25746032.392119363</v>
      </c>
      <c r="I54" s="68">
        <f t="shared" si="10"/>
        <v>25762235.514764354</v>
      </c>
    </row>
    <row r="55" spans="1:9" ht="17.399999999999999">
      <c r="A55" s="67" t="str">
        <f>A48</f>
        <v>Other operating</v>
      </c>
      <c r="B55" s="67" t="s">
        <v>22</v>
      </c>
      <c r="C55" s="68">
        <f t="shared" si="10"/>
        <v>2127398.7206575698</v>
      </c>
      <c r="D55" s="68">
        <f t="shared" si="10"/>
        <v>2241979.2838341421</v>
      </c>
      <c r="E55" s="68">
        <f t="shared" si="10"/>
        <v>2517878.8107811934</v>
      </c>
      <c r="F55" s="68">
        <f t="shared" si="10"/>
        <v>2603659.5693525923</v>
      </c>
      <c r="G55" s="68">
        <f t="shared" si="10"/>
        <v>2555532.7794434805</v>
      </c>
      <c r="H55" s="68">
        <f t="shared" si="10"/>
        <v>2586093.8732186966</v>
      </c>
      <c r="I55" s="68">
        <f t="shared" si="10"/>
        <v>2587721.417049957</v>
      </c>
    </row>
    <row r="56" spans="1:9" ht="17.399999999999999">
      <c r="A56" s="67" t="str">
        <f>A49</f>
        <v>Debt raising</v>
      </c>
      <c r="B56" s="67" t="s">
        <v>22</v>
      </c>
      <c r="C56" s="68"/>
      <c r="D56" s="68"/>
      <c r="E56" s="68">
        <f t="shared" si="10"/>
        <v>0</v>
      </c>
      <c r="F56" s="68">
        <f t="shared" si="10"/>
        <v>0</v>
      </c>
      <c r="G56" s="68">
        <f t="shared" si="10"/>
        <v>0</v>
      </c>
      <c r="H56" s="68">
        <f t="shared" si="10"/>
        <v>0</v>
      </c>
      <c r="I56" s="68">
        <f t="shared" si="10"/>
        <v>0</v>
      </c>
    </row>
    <row r="57" spans="1:9" ht="17.399999999999999">
      <c r="A57" s="67" t="str">
        <f>A50</f>
        <v xml:space="preserve">Corporate overheads costs </v>
      </c>
      <c r="B57" s="67" t="s">
        <v>22</v>
      </c>
      <c r="C57" s="68">
        <f t="shared" si="10"/>
        <v>6045001.0353707336</v>
      </c>
      <c r="D57" s="68">
        <f t="shared" si="10"/>
        <v>6370581.5747919707</v>
      </c>
      <c r="E57" s="68">
        <f t="shared" si="10"/>
        <v>7154549.7655492295</v>
      </c>
      <c r="F57" s="68">
        <f t="shared" si="10"/>
        <v>7398295.6930727325</v>
      </c>
      <c r="G57" s="68">
        <f t="shared" si="10"/>
        <v>7261543.4745042603</v>
      </c>
      <c r="H57" s="68">
        <f t="shared" si="10"/>
        <v>7348382.7875673706</v>
      </c>
      <c r="I57" s="68">
        <f t="shared" si="10"/>
        <v>7353007.4515053276</v>
      </c>
    </row>
    <row r="58" spans="1:9" ht="17.399999999999999">
      <c r="A58" s="67" t="str">
        <f>A51</f>
        <v>Total</v>
      </c>
      <c r="B58" s="67" t="s">
        <v>22</v>
      </c>
      <c r="C58" s="68">
        <f>SUM(C54:C57)</f>
        <v>29351861.545956608</v>
      </c>
      <c r="D58" s="68">
        <f t="shared" ref="D58:I58" si="11">SUM(D54:D57)</f>
        <v>30932737.191673338</v>
      </c>
      <c r="E58" s="68">
        <f t="shared" si="11"/>
        <v>34739341.302557483</v>
      </c>
      <c r="F58" s="68">
        <f t="shared" si="11"/>
        <v>35922864.12996456</v>
      </c>
      <c r="G58" s="68">
        <f t="shared" si="11"/>
        <v>35258855.610853024</v>
      </c>
      <c r="H58" s="68">
        <f t="shared" si="11"/>
        <v>35680509.052905433</v>
      </c>
      <c r="I58" s="68">
        <f t="shared" si="11"/>
        <v>35702964.383319639</v>
      </c>
    </row>
    <row r="61" spans="1:9">
      <c r="E61" s="44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8102E"/>
  </sheetPr>
  <dimension ref="A10:P35"/>
  <sheetViews>
    <sheetView tabSelected="1" topLeftCell="A4" zoomScaleNormal="100" workbookViewId="0">
      <selection activeCell="G15" sqref="G15:G18"/>
    </sheetView>
  </sheetViews>
  <sheetFormatPr defaultColWidth="9" defaultRowHeight="13.2"/>
  <cols>
    <col min="1" max="1" width="1.4609375" style="13" customWidth="1"/>
    <col min="2" max="2" width="1.07421875" style="13" customWidth="1"/>
    <col min="3" max="4" width="1.15234375" style="13" customWidth="1"/>
    <col min="5" max="5" width="17" style="13" customWidth="1"/>
    <col min="6" max="6" width="9" style="13"/>
    <col min="7" max="7" width="13.15234375" style="13" bestFit="1" customWidth="1"/>
    <col min="8" max="9" width="9" style="13"/>
    <col min="10" max="10" width="10.53515625" style="13" customWidth="1"/>
    <col min="11" max="12" width="9" style="13"/>
    <col min="13" max="13" width="9.921875" style="13" customWidth="1"/>
    <col min="14" max="16384" width="9" style="13"/>
  </cols>
  <sheetData>
    <row r="10" spans="1:16" s="12" customFormat="1" ht="22.8">
      <c r="A10" s="11" t="str">
        <f ca="1">RIGHT(CELL("filename",A1),LEN(CELL("filename",A1))-FIND("]",CELL("filename",A1)))</f>
        <v>Outputs│PTRM</v>
      </c>
    </row>
    <row r="12" spans="1:16" ht="22.8">
      <c r="E12" s="14" t="str">
        <f>"Forecast Operating Expenditure ($m Real 2022)"</f>
        <v>Forecast Operating Expenditure ($m Real 2022)</v>
      </c>
    </row>
    <row r="13" spans="1:16" ht="13.8" thickBot="1"/>
    <row r="14" spans="1:16" ht="18" thickBot="1">
      <c r="E14" s="15" t="s">
        <v>107</v>
      </c>
      <c r="F14" s="15"/>
      <c r="G14" s="16">
        <f>Calc│Forecast!E10</f>
        <v>2023</v>
      </c>
      <c r="H14" s="16">
        <f>Calc│Forecast!F10</f>
        <v>2024</v>
      </c>
      <c r="I14" s="16">
        <f>Calc│Forecast!G10</f>
        <v>2025</v>
      </c>
      <c r="J14" s="16">
        <f>Calc│Forecast!H10</f>
        <v>2026</v>
      </c>
      <c r="K14" s="16">
        <f>Calc│Forecast!I10</f>
        <v>2027</v>
      </c>
      <c r="L14" s="16">
        <f>Calc│Forecast!J10</f>
        <v>0</v>
      </c>
      <c r="M14" s="16">
        <f>Calc│Forecast!K10</f>
        <v>0</v>
      </c>
      <c r="N14" s="16">
        <f>Calc│Forecast!L10</f>
        <v>0</v>
      </c>
      <c r="O14" s="16">
        <f>Calc│Forecast!M10</f>
        <v>0</v>
      </c>
      <c r="P14" s="16">
        <f>Calc│Forecast!N10</f>
        <v>0</v>
      </c>
    </row>
    <row r="15" spans="1:16" ht="18" thickBot="1">
      <c r="E15" s="19" t="s">
        <v>108</v>
      </c>
      <c r="F15" s="18"/>
      <c r="G15" s="71">
        <f>+Calc│Forecast!E54/1000000-G18</f>
        <v>24.882574796342499</v>
      </c>
      <c r="H15" s="71">
        <f>+Calc│Forecast!F54/1000000-H18</f>
        <v>25.720647311393531</v>
      </c>
      <c r="I15" s="71">
        <f>+Calc│Forecast!G54/1000000-I18</f>
        <v>25.237847893515358</v>
      </c>
      <c r="J15" s="71">
        <f>+Calc│Forecast!H54/1000000-J18</f>
        <v>25.542558554926739</v>
      </c>
      <c r="K15" s="71">
        <f>+Calc│Forecast!I54/1000000-K18</f>
        <v>25.558560355333487</v>
      </c>
      <c r="L15" s="18"/>
      <c r="M15" s="18"/>
      <c r="N15" s="18"/>
      <c r="O15" s="18"/>
      <c r="P15" s="18"/>
    </row>
    <row r="16" spans="1:16" ht="18" thickBot="1">
      <c r="E16" s="17" t="s">
        <v>109</v>
      </c>
      <c r="F16" s="18"/>
      <c r="G16" s="71">
        <f>+Calc│Forecast!E55/1000000</f>
        <v>2.5178788107811934</v>
      </c>
      <c r="H16" s="71">
        <f>+Calc│Forecast!F55/1000000</f>
        <v>2.6036595693525921</v>
      </c>
      <c r="I16" s="71">
        <f>+Calc│Forecast!G55/1000000</f>
        <v>2.5555327794434803</v>
      </c>
      <c r="J16" s="71">
        <f>+Calc│Forecast!H55/1000000</f>
        <v>2.5860938732186964</v>
      </c>
      <c r="K16" s="71">
        <f>+Calc│Forecast!I55/1000000</f>
        <v>2.587721417049957</v>
      </c>
      <c r="L16" s="18"/>
      <c r="M16" s="18"/>
      <c r="N16" s="18"/>
      <c r="O16" s="18"/>
      <c r="P16" s="18"/>
    </row>
    <row r="17" spans="5:16" ht="18" thickBot="1">
      <c r="E17" s="19" t="s">
        <v>110</v>
      </c>
      <c r="F17" s="18"/>
      <c r="G17" s="71">
        <f>+Calc│Forecast!E57/1000000</f>
        <v>7.1545497655492296</v>
      </c>
      <c r="H17" s="71">
        <f>+Calc│Forecast!F57/1000000</f>
        <v>7.3982956930727326</v>
      </c>
      <c r="I17" s="71">
        <f>+Calc│Forecast!G57/1000000</f>
        <v>7.2615434745042604</v>
      </c>
      <c r="J17" s="71">
        <f>+Calc│Forecast!H57/1000000</f>
        <v>7.3483827875673704</v>
      </c>
      <c r="K17" s="71">
        <f>+Calc│Forecast!I57/1000000</f>
        <v>7.3530074515053272</v>
      </c>
      <c r="L17" s="18"/>
      <c r="M17" s="18"/>
      <c r="N17" s="18"/>
      <c r="O17" s="18"/>
      <c r="P17" s="18"/>
    </row>
    <row r="18" spans="5:16" ht="18" thickBot="1">
      <c r="E18" s="17" t="s">
        <v>23</v>
      </c>
      <c r="F18" s="18"/>
      <c r="G18" s="71">
        <f>Calc│Forecast!E30/1000000</f>
        <v>0.18433792988456191</v>
      </c>
      <c r="H18" s="71">
        <f>Calc│Forecast!F30/1000000</f>
        <v>0.20026155614570376</v>
      </c>
      <c r="I18" s="71">
        <f>Calc│Forecast!G30/1000000</f>
        <v>0.20393146338992962</v>
      </c>
      <c r="J18" s="71">
        <f>Calc│Forecast!H30/1000000</f>
        <v>0.20347383719262421</v>
      </c>
      <c r="K18" s="71">
        <f>Calc│Forecast!I30/1000000</f>
        <v>0.20367515943086403</v>
      </c>
      <c r="L18" s="18"/>
      <c r="M18" s="18"/>
      <c r="N18" s="18"/>
      <c r="O18" s="18"/>
      <c r="P18" s="18"/>
    </row>
    <row r="19" spans="5:16" ht="18" thickBot="1">
      <c r="E19" s="17"/>
      <c r="F19" s="18"/>
      <c r="G19" s="71"/>
      <c r="H19" s="71"/>
      <c r="I19" s="71"/>
      <c r="J19" s="71"/>
      <c r="K19" s="71"/>
      <c r="L19" s="18"/>
      <c r="M19" s="18"/>
      <c r="N19" s="18"/>
      <c r="O19" s="18"/>
      <c r="P19" s="18"/>
    </row>
    <row r="20" spans="5:16" ht="18" thickBot="1">
      <c r="E20" s="17"/>
      <c r="F20" s="18"/>
      <c r="G20" s="71"/>
      <c r="H20" s="71"/>
      <c r="I20" s="71"/>
      <c r="J20" s="71"/>
      <c r="K20" s="71"/>
      <c r="L20" s="18"/>
      <c r="M20" s="18"/>
      <c r="N20" s="18"/>
      <c r="O20" s="18"/>
      <c r="P20" s="18"/>
    </row>
    <row r="21" spans="5:16" ht="18" thickBot="1">
      <c r="E21" s="17"/>
      <c r="F21" s="18"/>
      <c r="G21" s="71"/>
      <c r="H21" s="71"/>
      <c r="I21" s="71"/>
      <c r="J21" s="71"/>
      <c r="K21" s="71"/>
      <c r="L21" s="18"/>
      <c r="M21" s="18"/>
      <c r="N21" s="18"/>
      <c r="O21" s="18"/>
      <c r="P21" s="18"/>
    </row>
    <row r="22" spans="5:16" ht="18" thickBot="1">
      <c r="E22" s="17"/>
      <c r="F22" s="18"/>
      <c r="G22" s="71"/>
      <c r="H22" s="71"/>
      <c r="I22" s="71"/>
      <c r="J22" s="71"/>
      <c r="K22" s="71"/>
      <c r="L22" s="18"/>
      <c r="M22" s="18"/>
      <c r="N22" s="18"/>
      <c r="O22" s="18"/>
      <c r="P22" s="18"/>
    </row>
    <row r="23" spans="5:16" ht="18" thickBot="1">
      <c r="E23" s="17"/>
      <c r="F23" s="18"/>
      <c r="G23" s="71"/>
      <c r="H23" s="71"/>
      <c r="I23" s="71"/>
      <c r="J23" s="71"/>
      <c r="K23" s="71"/>
      <c r="L23" s="18"/>
      <c r="M23" s="18"/>
      <c r="N23" s="18"/>
      <c r="O23" s="18"/>
      <c r="P23" s="18"/>
    </row>
    <row r="24" spans="5:16" ht="18" thickBot="1">
      <c r="E24" s="19" t="s">
        <v>111</v>
      </c>
      <c r="F24" s="20"/>
      <c r="G24" s="71">
        <f>+'[10]PTRM input'!G$448</f>
        <v>0.55267130143014165</v>
      </c>
      <c r="H24" s="71">
        <f>+'[10]PTRM input'!H$448</f>
        <v>0.5940907953481569</v>
      </c>
      <c r="I24" s="71">
        <f>+'[10]PTRM input'!I$448</f>
        <v>0.61992212807345715</v>
      </c>
      <c r="J24" s="71">
        <f>+'[10]PTRM input'!J$448</f>
        <v>0.61148498031026899</v>
      </c>
      <c r="K24" s="71">
        <f>+'[10]PTRM input'!K$448</f>
        <v>0.59247161104646284</v>
      </c>
      <c r="L24" s="18">
        <f>IF(COUNT($G24:K24)&gt;='[10]PTRM input'!$R$7,0,(Drc*Dv*[10]Assets!L775)/[10]Assets!L7)</f>
        <v>0</v>
      </c>
      <c r="M24" s="18">
        <f>IF(COUNT($G24:L24)&gt;='[10]PTRM input'!$R$7,0,(Drc*Dv*[10]Assets!M775)/[10]Assets!M7)</f>
        <v>0</v>
      </c>
      <c r="N24" s="18">
        <f>IF(COUNT($G24:M24)&gt;='[10]PTRM input'!$R$7,0,(Drc*Dv*[10]Assets!N775)/[10]Assets!N7)</f>
        <v>0</v>
      </c>
      <c r="O24" s="18">
        <f>IF(COUNT($G24:N24)&gt;='[10]PTRM input'!$R$7,0,(Drc*Dv*[10]Assets!O775)/[10]Assets!O7)</f>
        <v>0</v>
      </c>
      <c r="P24" s="18">
        <f>IF(COUNT($G24:O24)&gt;='[10]PTRM input'!$R$7,0,(Drc*Dv*[10]Assets!P775)/[10]Assets!P7)</f>
        <v>0</v>
      </c>
    </row>
    <row r="25" spans="5:16" ht="18" thickBot="1">
      <c r="E25" s="17" t="s">
        <v>11</v>
      </c>
      <c r="F25" s="18"/>
      <c r="G25" s="71">
        <f t="shared" ref="G25:P25" si="0">SUM(G15:G24)</f>
        <v>35.292012603987629</v>
      </c>
      <c r="H25" s="71">
        <f t="shared" si="0"/>
        <v>36.516954925312717</v>
      </c>
      <c r="I25" s="71">
        <f t="shared" si="0"/>
        <v>35.87877773892648</v>
      </c>
      <c r="J25" s="71">
        <f t="shared" si="0"/>
        <v>36.291994033215694</v>
      </c>
      <c r="K25" s="71">
        <f t="shared" si="0"/>
        <v>36.295435994366095</v>
      </c>
      <c r="L25" s="18">
        <f t="shared" si="0"/>
        <v>0</v>
      </c>
      <c r="M25" s="18">
        <f t="shared" si="0"/>
        <v>0</v>
      </c>
      <c r="N25" s="18">
        <f t="shared" si="0"/>
        <v>0</v>
      </c>
      <c r="O25" s="18">
        <f t="shared" si="0"/>
        <v>0</v>
      </c>
      <c r="P25" s="18">
        <f t="shared" si="0"/>
        <v>0</v>
      </c>
    </row>
    <row r="26" spans="5:16">
      <c r="G26" s="22" t="b">
        <f>SUM(G15:G18)=Calc│Forecast!E58/1000000</f>
        <v>1</v>
      </c>
      <c r="H26" s="22" t="b">
        <f>SUM(H15:H18)=Calc│Forecast!F58/1000000</f>
        <v>1</v>
      </c>
      <c r="I26" s="22" t="b">
        <f>SUM(I15:I18)=Calc│Forecast!G58/1000000</f>
        <v>1</v>
      </c>
      <c r="J26" s="22" t="b">
        <f>SUM(J15:J18)=Calc│Forecast!H58/1000000</f>
        <v>1</v>
      </c>
      <c r="K26" s="22" t="b">
        <f>SUM(K15:K18)=Calc│Forecast!I58/1000000</f>
        <v>1</v>
      </c>
    </row>
    <row r="27" spans="5:16">
      <c r="G27" s="22" t="b">
        <f>G25='[10]PTRM input'!G$449</f>
        <v>0</v>
      </c>
      <c r="H27" s="22" t="b">
        <f>H25='[10]PTRM input'!H$449</f>
        <v>0</v>
      </c>
      <c r="I27" s="22" t="b">
        <f>I25='[10]PTRM input'!I$449</f>
        <v>0</v>
      </c>
      <c r="J27" s="22" t="b">
        <f>J25='[10]PTRM input'!J$449</f>
        <v>0</v>
      </c>
      <c r="K27" s="22" t="b">
        <f>K25='[10]PTRM input'!K$449</f>
        <v>0</v>
      </c>
    </row>
    <row r="29" spans="5:16">
      <c r="G29" s="21"/>
      <c r="H29" s="21"/>
      <c r="I29" s="21"/>
      <c r="J29" s="21"/>
      <c r="K29" s="21"/>
    </row>
    <row r="31" spans="5:16">
      <c r="E31" s="21"/>
      <c r="F31" s="21"/>
      <c r="G31" s="21"/>
      <c r="H31" s="21"/>
      <c r="I31" s="21"/>
      <c r="J31" s="21"/>
      <c r="K31" s="21"/>
    </row>
    <row r="32" spans="5:16">
      <c r="E32" s="21"/>
      <c r="G32" s="21"/>
      <c r="H32" s="21"/>
      <c r="I32" s="21"/>
      <c r="J32" s="21"/>
      <c r="K32" s="21"/>
    </row>
    <row r="34" spans="7:11">
      <c r="G34" s="21"/>
      <c r="H34" s="21"/>
      <c r="I34" s="21"/>
      <c r="J34" s="21"/>
      <c r="K34" s="21"/>
    </row>
    <row r="35" spans="7:11">
      <c r="G35" s="21"/>
      <c r="H35" s="21"/>
      <c r="I35" s="21"/>
      <c r="J35" s="21"/>
      <c r="K35" s="21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2DF384-83F2-4310-A416-B3DD0CFBD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205781-583F-403B-83B5-F4ED377F9D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D86D35-DD55-4B52-9373-2B5A8EEE22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Calc│Forecast</vt:lpstr>
      <vt:lpstr>Outputs│PTRM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Alessandro, Silvana</cp:lastModifiedBy>
  <cp:revision/>
  <dcterms:created xsi:type="dcterms:W3CDTF">2016-06-01T05:04:09Z</dcterms:created>
  <dcterms:modified xsi:type="dcterms:W3CDTF">2021-12-01T03:34:25Z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</Properties>
</file>