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B11" i="1" l="1"/>
  <c r="D62" i="1"/>
  <c r="D47" i="1"/>
  <c r="D101" i="1"/>
  <c r="D55" i="1"/>
  <c r="D61" i="1"/>
  <c r="D64" i="1"/>
  <c r="D123" i="1"/>
  <c r="D122" i="1"/>
  <c r="B25" i="1"/>
  <c r="D129" i="1"/>
  <c r="D130" i="1"/>
  <c r="D132" i="1"/>
  <c r="D99" i="1"/>
  <c r="D134" i="1"/>
  <c r="D108" i="1"/>
  <c r="D109" i="1"/>
  <c r="D111" i="1"/>
  <c r="D88" i="1"/>
  <c r="D93" i="1"/>
  <c r="D40" i="1"/>
  <c r="D49" i="1"/>
  <c r="D67" i="1"/>
  <c r="D113" i="1"/>
  <c r="C23" i="1"/>
  <c r="D138" i="1"/>
  <c r="O12" i="1"/>
  <c r="S12" i="1"/>
  <c r="F12" i="1"/>
  <c r="J12" i="1"/>
  <c r="N12" i="1"/>
  <c r="P12" i="1"/>
  <c r="T12" i="1"/>
  <c r="G12" i="1"/>
  <c r="K12" i="1"/>
  <c r="E12" i="1"/>
  <c r="Q12" i="1"/>
  <c r="U12" i="1"/>
  <c r="H12" i="1"/>
  <c r="L12" i="1"/>
  <c r="D12" i="1"/>
  <c r="D143" i="1"/>
  <c r="R12" i="1"/>
  <c r="V12" i="1"/>
  <c r="I12" i="1"/>
  <c r="M12" i="1"/>
  <c r="C12" i="1"/>
  <c r="I23" i="1"/>
  <c r="F23" i="1"/>
  <c r="V23" i="1"/>
  <c r="S23" i="1"/>
  <c r="L23" i="1"/>
  <c r="J23" i="1"/>
  <c r="D23" i="1"/>
  <c r="Q23" i="1"/>
  <c r="K23" i="1"/>
  <c r="T23" i="1"/>
  <c r="R23" i="1"/>
  <c r="M23" i="1"/>
  <c r="G23" i="1"/>
  <c r="P23" i="1"/>
  <c r="N23" i="1"/>
  <c r="B30" i="1"/>
  <c r="O23" i="1"/>
  <c r="E23" i="1"/>
  <c r="U23" i="1"/>
  <c r="H23" i="1"/>
  <c r="C16" i="1"/>
  <c r="B13" i="1"/>
  <c r="B28" i="1"/>
  <c r="B16" i="1"/>
</calcChain>
</file>

<file path=xl/comments1.xml><?xml version="1.0" encoding="utf-8"?>
<comments xmlns="http://schemas.openxmlformats.org/spreadsheetml/2006/main">
  <authors>
    <author>Jones, Anthony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Jones, Anthony:</t>
        </r>
        <r>
          <rPr>
            <sz val="9"/>
            <color indexed="81"/>
            <rFont val="Tahoma"/>
            <family val="2"/>
          </rPr>
          <t xml:space="preserve">
from C Lai estimate</t>
        </r>
      </text>
    </comment>
  </commentList>
</comments>
</file>

<file path=xl/sharedStrings.xml><?xml version="1.0" encoding="utf-8"?>
<sst xmlns="http://schemas.openxmlformats.org/spreadsheetml/2006/main" count="87" uniqueCount="70">
  <si>
    <t>Remotely Monitored CP Units</t>
  </si>
  <si>
    <t>Opex saving</t>
  </si>
  <si>
    <t>Capex</t>
  </si>
  <si>
    <t>NPV</t>
  </si>
  <si>
    <t>Year</t>
  </si>
  <si>
    <t>Discount Rate</t>
  </si>
  <si>
    <t>Units</t>
  </si>
  <si>
    <t>Years</t>
  </si>
  <si>
    <t>Units per year</t>
  </si>
  <si>
    <t>Cost of battery</t>
  </si>
  <si>
    <t>Cost per year</t>
  </si>
  <si>
    <t>CPU</t>
  </si>
  <si>
    <t>CPU logger</t>
  </si>
  <si>
    <t>Test Point logger</t>
  </si>
  <si>
    <t>Installation time</t>
  </si>
  <si>
    <t>install cost</t>
  </si>
  <si>
    <t>per unit</t>
  </si>
  <si>
    <t>Unit quantity</t>
  </si>
  <si>
    <t>Cost</t>
  </si>
  <si>
    <t>Project Management</t>
  </si>
  <si>
    <t>Opex Savings</t>
  </si>
  <si>
    <t>CP Technician</t>
  </si>
  <si>
    <t>per day</t>
  </si>
  <si>
    <t>total</t>
  </si>
  <si>
    <t>Test points</t>
  </si>
  <si>
    <t>Inspections per day</t>
  </si>
  <si>
    <t>Days per year;</t>
  </si>
  <si>
    <t>Time on site</t>
  </si>
  <si>
    <t>hours per CPU</t>
  </si>
  <si>
    <t>Travel</t>
  </si>
  <si>
    <t>time between CPU</t>
  </si>
  <si>
    <t>bimonthly inspections</t>
  </si>
  <si>
    <t>Rounded down</t>
  </si>
  <si>
    <t>30 minutes on site, plus travel</t>
  </si>
  <si>
    <t>From Maintenance Regime</t>
  </si>
  <si>
    <t>Bimonthly CPU inspections</t>
  </si>
  <si>
    <t>Six monthly Potential surveys</t>
  </si>
  <si>
    <t>Total Opex reduction</t>
  </si>
  <si>
    <t>Data Transfer</t>
  </si>
  <si>
    <t>per year</t>
  </si>
  <si>
    <t>Transmission costs are nil as the data packet size is so small. The monthly supply charge of $5 per month per unit is charged by Telstra</t>
  </si>
  <si>
    <t>Capital Cost</t>
  </si>
  <si>
    <t>AEGIS UNIT quotes</t>
  </si>
  <si>
    <t>Interface</t>
  </si>
  <si>
    <t>Total Capex</t>
  </si>
  <si>
    <t>Payback Period, years</t>
  </si>
  <si>
    <t>The inspection of 1,000 test points and all CPU's every six months</t>
  </si>
  <si>
    <t>Test Points</t>
  </si>
  <si>
    <t>Time to inspect Test Point</t>
  </si>
  <si>
    <t>Project only to replace CPUs</t>
  </si>
  <si>
    <t>Opex Saving</t>
  </si>
  <si>
    <t>CPU costs</t>
  </si>
  <si>
    <t>Test Point costs</t>
  </si>
  <si>
    <t>Total Costs</t>
  </si>
  <si>
    <t>four loggers installed per day, so ~$200ea</t>
  </si>
  <si>
    <t>Recommended Project-CPU, 1000 Test points</t>
  </si>
  <si>
    <t>data logger installed, then retrieved, so two thousand trips</t>
  </si>
  <si>
    <t>Option 1</t>
  </si>
  <si>
    <t>Option 2</t>
  </si>
  <si>
    <t>CPU quantity</t>
  </si>
  <si>
    <t>Cost saving</t>
  </si>
  <si>
    <t>Opex costs for new loggers</t>
  </si>
  <si>
    <t>Battery replacement and calibration for test points</t>
  </si>
  <si>
    <t>Assume a three year cycle for calibration with battery replacement</t>
  </si>
  <si>
    <t>Time to travel per unit</t>
  </si>
  <si>
    <t>Time to install per unit</t>
  </si>
  <si>
    <t>Time to calibrate per unit</t>
  </si>
  <si>
    <t>Total Calibrations per day</t>
  </si>
  <si>
    <t>Total Opex effect per year</t>
  </si>
  <si>
    <t>Total Opex Costs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</si>
</sst>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&quot;$&quot;* #,##0_-;\-&quot;$&quot;* #,##0_-;_-&quot;$&quot;* &quot;-&quot;??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44" fontId="0" fillId="0" borderId="0" xfId="2" applyFont="1"/>
    <xf numFmtId="166" fontId="0" fillId="0" borderId="0" xfId="2" applyNumberFormat="1" applyFont="1"/>
    <xf numFmtId="0" fontId="0" fillId="0" borderId="1" xfId="0" applyBorder="1"/>
    <xf numFmtId="166" fontId="0" fillId="0" borderId="0" xfId="0" applyNumberFormat="1"/>
    <xf numFmtId="2" fontId="0" fillId="0" borderId="0" xfId="0" applyNumberFormat="1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66" fontId="0" fillId="0" borderId="3" xfId="0" applyNumberForma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0" fillId="0" borderId="0" xfId="0" applyBorder="1"/>
    <xf numFmtId="0" fontId="0" fillId="0" borderId="6" xfId="0" applyBorder="1"/>
    <xf numFmtId="6" fontId="0" fillId="0" borderId="0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0" fontId="0" fillId="0" borderId="8" xfId="0" applyBorder="1"/>
    <xf numFmtId="164" fontId="0" fillId="0" borderId="3" xfId="0" applyNumberFormat="1" applyBorder="1"/>
    <xf numFmtId="0" fontId="0" fillId="0" borderId="3" xfId="0" applyBorder="1"/>
    <xf numFmtId="0" fontId="0" fillId="0" borderId="4" xfId="0" applyBorder="1"/>
    <xf numFmtId="166" fontId="0" fillId="0" borderId="0" xfId="0" applyNumberFormat="1" applyBorder="1"/>
    <xf numFmtId="166" fontId="0" fillId="0" borderId="6" xfId="0" applyNumberFormat="1" applyBorder="1"/>
    <xf numFmtId="166" fontId="5" fillId="0" borderId="0" xfId="2" applyNumberFormat="1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0" fillId="2" borderId="0" xfId="0" applyFill="1"/>
    <xf numFmtId="44" fontId="0" fillId="0" borderId="0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3"/>
  <sheetViews>
    <sheetView tabSelected="1" workbookViewId="0">
      <selection activeCell="C4" sqref="C4"/>
    </sheetView>
  </sheetViews>
  <sheetFormatPr defaultRowHeight="12.75" x14ac:dyDescent="0.2"/>
  <cols>
    <col min="1" max="1" width="21.28515625" style="8" customWidth="1"/>
    <col min="2" max="2" width="26.28515625" bestFit="1" customWidth="1"/>
    <col min="3" max="3" width="22.85546875" customWidth="1"/>
    <col min="4" max="4" width="14.5703125" customWidth="1"/>
    <col min="5" max="5" width="12.28515625" bestFit="1" customWidth="1"/>
    <col min="6" max="22" width="11.28515625" bestFit="1" customWidth="1"/>
  </cols>
  <sheetData>
    <row r="1" spans="1:22" x14ac:dyDescent="0.2">
      <c r="B1" t="s">
        <v>0</v>
      </c>
    </row>
    <row r="3" spans="1:22" x14ac:dyDescent="0.2">
      <c r="B3" t="s">
        <v>5</v>
      </c>
      <c r="C3" s="6">
        <v>7.88</v>
      </c>
    </row>
    <row r="6" spans="1:22" x14ac:dyDescent="0.2">
      <c r="A6" s="8" t="s">
        <v>4</v>
      </c>
      <c r="B6">
        <v>0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</row>
    <row r="8" spans="1:22" x14ac:dyDescent="0.2">
      <c r="A8" s="8" t="s">
        <v>57</v>
      </c>
    </row>
    <row r="9" spans="1:22" x14ac:dyDescent="0.2">
      <c r="A9" s="10" t="s">
        <v>55</v>
      </c>
    </row>
    <row r="10" spans="1:22" x14ac:dyDescent="0.2">
      <c r="A10" s="26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</row>
    <row r="11" spans="1:22" x14ac:dyDescent="0.2">
      <c r="A11" s="27" t="s">
        <v>2</v>
      </c>
      <c r="B11" s="16">
        <f>-861729</f>
        <v>-861729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</row>
    <row r="12" spans="1:22" x14ac:dyDescent="0.2">
      <c r="A12" s="27" t="s">
        <v>1</v>
      </c>
      <c r="B12" s="14"/>
      <c r="C12" s="23">
        <f>$D$138</f>
        <v>200640</v>
      </c>
      <c r="D12" s="23">
        <f>$D$138</f>
        <v>200640</v>
      </c>
      <c r="E12" s="30">
        <f>$D$138-(($D$49*3)+$D$67)</f>
        <v>-25337.777777777781</v>
      </c>
      <c r="F12" s="23">
        <f t="shared" ref="F12:G12" si="0">$D$138</f>
        <v>200640</v>
      </c>
      <c r="G12" s="23">
        <f t="shared" si="0"/>
        <v>200640</v>
      </c>
      <c r="H12" s="30">
        <f t="shared" ref="H12" si="1">$D$138-(($D$49*3)+$D$67)</f>
        <v>-25337.777777777781</v>
      </c>
      <c r="I12" s="23">
        <f t="shared" ref="I12:J12" si="2">$D$138</f>
        <v>200640</v>
      </c>
      <c r="J12" s="23">
        <f t="shared" si="2"/>
        <v>200640</v>
      </c>
      <c r="K12" s="30">
        <f t="shared" ref="K12" si="3">$D$138-(($D$49*3)+$D$67)</f>
        <v>-25337.777777777781</v>
      </c>
      <c r="L12" s="23">
        <f t="shared" ref="L12:M12" si="4">$D$138</f>
        <v>200640</v>
      </c>
      <c r="M12" s="23">
        <f t="shared" si="4"/>
        <v>200640</v>
      </c>
      <c r="N12" s="30">
        <f t="shared" ref="N12" si="5">$D$138-(($D$49*3)+$D$67)</f>
        <v>-25337.777777777781</v>
      </c>
      <c r="O12" s="23">
        <f>$D$138</f>
        <v>200640</v>
      </c>
      <c r="P12" s="23">
        <f>$D$138</f>
        <v>200640</v>
      </c>
      <c r="Q12" s="30">
        <f>$D$138-(($D$49*3)+$D$67)</f>
        <v>-25337.777777777781</v>
      </c>
      <c r="R12" s="23">
        <f t="shared" ref="R12:S12" si="6">$D$138</f>
        <v>200640</v>
      </c>
      <c r="S12" s="23">
        <f t="shared" si="6"/>
        <v>200640</v>
      </c>
      <c r="T12" s="30">
        <f t="shared" ref="T12" si="7">$D$138-(($D$49*3)+$D$67)</f>
        <v>-25337.777777777781</v>
      </c>
      <c r="U12" s="23">
        <f t="shared" ref="U12:V12" si="8">$D$138</f>
        <v>200640</v>
      </c>
      <c r="V12" s="23">
        <f t="shared" si="8"/>
        <v>200640</v>
      </c>
    </row>
    <row r="13" spans="1:22" x14ac:dyDescent="0.2">
      <c r="A13" s="27" t="s">
        <v>3</v>
      </c>
      <c r="B13" s="16">
        <f>NPV($C$3/100,$B$11,$C$12:$V$12)</f>
        <v>433166.45719714981</v>
      </c>
      <c r="C13" s="1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</row>
    <row r="14" spans="1:22" x14ac:dyDescent="0.2">
      <c r="A14" s="27"/>
      <c r="B14" s="16"/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</row>
    <row r="15" spans="1:22" x14ac:dyDescent="0.2">
      <c r="A15" s="27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</row>
    <row r="16" spans="1:22" x14ac:dyDescent="0.2">
      <c r="A16" s="27" t="s">
        <v>45</v>
      </c>
      <c r="B16" s="17">
        <f>ABS(B11/C16)</f>
        <v>6.4866437496863556</v>
      </c>
      <c r="C16" s="25">
        <f>(SUM(C12:V12))/20</f>
        <v>132846.66666666666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</row>
    <row r="17" spans="1:22" x14ac:dyDescent="0.2">
      <c r="A17" s="28"/>
      <c r="B17" s="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19"/>
    </row>
    <row r="18" spans="1:22" x14ac:dyDescent="0.2">
      <c r="B18" s="1"/>
    </row>
    <row r="19" spans="1:22" x14ac:dyDescent="0.2">
      <c r="B19" s="1"/>
    </row>
    <row r="20" spans="1:22" x14ac:dyDescent="0.2">
      <c r="A20" s="8" t="s">
        <v>58</v>
      </c>
      <c r="B20" s="1"/>
    </row>
    <row r="21" spans="1:22" x14ac:dyDescent="0.2">
      <c r="A21" s="10" t="s">
        <v>49</v>
      </c>
      <c r="B21" s="1"/>
    </row>
    <row r="22" spans="1:22" x14ac:dyDescent="0.2">
      <c r="A22" s="26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</row>
    <row r="23" spans="1:22" x14ac:dyDescent="0.2">
      <c r="A23" s="8" t="s">
        <v>50</v>
      </c>
      <c r="B23">
        <v>0</v>
      </c>
      <c r="C23" s="23">
        <f>$D$113-$D$61</f>
        <v>50520</v>
      </c>
      <c r="D23" s="23">
        <f>$C$23</f>
        <v>50520</v>
      </c>
      <c r="E23" s="23">
        <f t="shared" ref="E23:V23" si="9">$C$23</f>
        <v>50520</v>
      </c>
      <c r="F23" s="23">
        <f t="shared" si="9"/>
        <v>50520</v>
      </c>
      <c r="G23" s="23">
        <f t="shared" si="9"/>
        <v>50520</v>
      </c>
      <c r="H23" s="23">
        <f t="shared" si="9"/>
        <v>50520</v>
      </c>
      <c r="I23" s="23">
        <f t="shared" si="9"/>
        <v>50520</v>
      </c>
      <c r="J23" s="23">
        <f t="shared" si="9"/>
        <v>50520</v>
      </c>
      <c r="K23" s="23">
        <f t="shared" si="9"/>
        <v>50520</v>
      </c>
      <c r="L23" s="23">
        <f t="shared" si="9"/>
        <v>50520</v>
      </c>
      <c r="M23" s="23">
        <f t="shared" si="9"/>
        <v>50520</v>
      </c>
      <c r="N23" s="23">
        <f t="shared" si="9"/>
        <v>50520</v>
      </c>
      <c r="O23" s="23">
        <f t="shared" si="9"/>
        <v>50520</v>
      </c>
      <c r="P23" s="23">
        <f t="shared" si="9"/>
        <v>50520</v>
      </c>
      <c r="Q23" s="23">
        <f t="shared" si="9"/>
        <v>50520</v>
      </c>
      <c r="R23" s="23">
        <f t="shared" si="9"/>
        <v>50520</v>
      </c>
      <c r="S23" s="23">
        <f t="shared" si="9"/>
        <v>50520</v>
      </c>
      <c r="T23" s="23">
        <f t="shared" si="9"/>
        <v>50520</v>
      </c>
      <c r="U23" s="23">
        <f t="shared" si="9"/>
        <v>50520</v>
      </c>
      <c r="V23" s="24">
        <f t="shared" si="9"/>
        <v>50520</v>
      </c>
    </row>
    <row r="24" spans="1:22" x14ac:dyDescent="0.2">
      <c r="A24" s="27"/>
      <c r="B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</row>
    <row r="25" spans="1:22" x14ac:dyDescent="0.2">
      <c r="A25" s="27" t="s">
        <v>41</v>
      </c>
      <c r="B25" s="16">
        <f>-(($D$81*$D$85)+$D$90+$D$91)</f>
        <v>-179000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5"/>
    </row>
    <row r="26" spans="1:22" x14ac:dyDescent="0.2">
      <c r="A26" s="27"/>
      <c r="B26" s="1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</row>
    <row r="27" spans="1:22" x14ac:dyDescent="0.2">
      <c r="A27" s="27"/>
      <c r="B27" s="1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</row>
    <row r="28" spans="1:22" x14ac:dyDescent="0.2">
      <c r="A28" s="27" t="s">
        <v>3</v>
      </c>
      <c r="B28" s="16">
        <f>NPV($C$3/100,$B$25,C23:V23)</f>
        <v>297991.90880609624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</row>
    <row r="29" spans="1:22" x14ac:dyDescent="0.2">
      <c r="A29" s="27"/>
      <c r="B29" s="1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</row>
    <row r="30" spans="1:22" x14ac:dyDescent="0.2">
      <c r="A30" s="27" t="s">
        <v>45</v>
      </c>
      <c r="B30" s="17">
        <f>ABS(B25/C23)</f>
        <v>3.5431512272367378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</row>
    <row r="31" spans="1:22" x14ac:dyDescent="0.2">
      <c r="A31" s="27"/>
      <c r="B31" s="1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</row>
    <row r="32" spans="1:22" x14ac:dyDescent="0.2">
      <c r="A32" s="28"/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19"/>
    </row>
    <row r="33" spans="2:4" x14ac:dyDescent="0.2">
      <c r="B33" s="1"/>
    </row>
    <row r="34" spans="2:4" x14ac:dyDescent="0.2">
      <c r="B34" s="1"/>
      <c r="C34" s="8" t="s">
        <v>61</v>
      </c>
    </row>
    <row r="35" spans="2:4" x14ac:dyDescent="0.2">
      <c r="C35" s="9" t="s">
        <v>62</v>
      </c>
    </row>
    <row r="37" spans="2:4" x14ac:dyDescent="0.2">
      <c r="C37" t="s">
        <v>63</v>
      </c>
    </row>
    <row r="38" spans="2:4" x14ac:dyDescent="0.2">
      <c r="C38" t="s">
        <v>6</v>
      </c>
      <c r="D38">
        <v>1000</v>
      </c>
    </row>
    <row r="39" spans="2:4" x14ac:dyDescent="0.2">
      <c r="C39" t="s">
        <v>7</v>
      </c>
      <c r="D39">
        <v>3</v>
      </c>
    </row>
    <row r="40" spans="2:4" x14ac:dyDescent="0.2">
      <c r="C40" t="s">
        <v>8</v>
      </c>
      <c r="D40" s="7">
        <f>D38/D39</f>
        <v>333.33333333333331</v>
      </c>
    </row>
    <row r="42" spans="2:4" x14ac:dyDescent="0.2">
      <c r="C42" t="s">
        <v>9</v>
      </c>
      <c r="D42">
        <v>20</v>
      </c>
    </row>
    <row r="43" spans="2:4" x14ac:dyDescent="0.2">
      <c r="C43" s="29" t="s">
        <v>65</v>
      </c>
      <c r="D43">
        <v>0.25</v>
      </c>
    </row>
    <row r="44" spans="2:4" x14ac:dyDescent="0.2">
      <c r="C44" s="29" t="s">
        <v>66</v>
      </c>
      <c r="D44">
        <v>0.25</v>
      </c>
    </row>
    <row r="45" spans="2:4" x14ac:dyDescent="0.2">
      <c r="C45" s="29" t="s">
        <v>64</v>
      </c>
      <c r="D45">
        <v>0.3</v>
      </c>
    </row>
    <row r="47" spans="2:4" x14ac:dyDescent="0.2">
      <c r="C47" t="s">
        <v>67</v>
      </c>
      <c r="D47">
        <f>ROUNDDOWN(7.6/(SUM(D43:D45)),0)</f>
        <v>9</v>
      </c>
    </row>
    <row r="49" spans="3:5" x14ac:dyDescent="0.2">
      <c r="C49" t="s">
        <v>10</v>
      </c>
      <c r="D49" s="3">
        <f>(D40/D47)*$D$99+(D42*D40)</f>
        <v>40444.444444444445</v>
      </c>
    </row>
    <row r="53" spans="3:5" x14ac:dyDescent="0.2">
      <c r="C53" s="9" t="s">
        <v>38</v>
      </c>
    </row>
    <row r="54" spans="3:5" x14ac:dyDescent="0.2">
      <c r="C54" s="9"/>
    </row>
    <row r="55" spans="3:5" x14ac:dyDescent="0.2">
      <c r="C55" t="s">
        <v>11</v>
      </c>
      <c r="D55">
        <f>$D$101</f>
        <v>70</v>
      </c>
    </row>
    <row r="56" spans="3:5" x14ac:dyDescent="0.2">
      <c r="C56" t="s">
        <v>24</v>
      </c>
      <c r="D56">
        <v>1000</v>
      </c>
    </row>
    <row r="57" spans="3:5" x14ac:dyDescent="0.2">
      <c r="C57" t="s">
        <v>40</v>
      </c>
      <c r="D57" s="2"/>
    </row>
    <row r="61" spans="3:5" x14ac:dyDescent="0.2">
      <c r="C61" t="s">
        <v>51</v>
      </c>
      <c r="D61" s="5">
        <f>5*D55*12</f>
        <v>4200</v>
      </c>
      <c r="E61" t="s">
        <v>39</v>
      </c>
    </row>
    <row r="62" spans="3:5" x14ac:dyDescent="0.2">
      <c r="C62" t="s">
        <v>52</v>
      </c>
      <c r="D62" s="5">
        <f>$D$86*5*12</f>
        <v>60000</v>
      </c>
      <c r="E62" t="s">
        <v>39</v>
      </c>
    </row>
    <row r="64" spans="3:5" x14ac:dyDescent="0.2">
      <c r="C64" t="s">
        <v>53</v>
      </c>
      <c r="D64" s="5">
        <f>SUM(D61:D63)</f>
        <v>64200</v>
      </c>
    </row>
    <row r="67" spans="3:10" x14ac:dyDescent="0.2">
      <c r="C67" s="8" t="s">
        <v>69</v>
      </c>
      <c r="D67" s="5">
        <f>D64+D49</f>
        <v>104644.44444444444</v>
      </c>
    </row>
    <row r="68" spans="3:10" x14ac:dyDescent="0.2">
      <c r="C68" s="4"/>
      <c r="D68" s="4"/>
      <c r="E68" s="4"/>
      <c r="F68" s="4"/>
      <c r="G68" s="4"/>
      <c r="H68" s="4"/>
      <c r="I68" s="4"/>
      <c r="J68" s="4"/>
    </row>
    <row r="70" spans="3:10" x14ac:dyDescent="0.2">
      <c r="C70" s="8" t="s">
        <v>41</v>
      </c>
    </row>
    <row r="74" spans="3:10" x14ac:dyDescent="0.2">
      <c r="C74" t="s">
        <v>12</v>
      </c>
      <c r="D74" s="3">
        <v>1500</v>
      </c>
      <c r="F74" t="s">
        <v>42</v>
      </c>
    </row>
    <row r="75" spans="3:10" x14ac:dyDescent="0.2">
      <c r="C75" t="s">
        <v>13</v>
      </c>
      <c r="D75" s="3">
        <v>400</v>
      </c>
      <c r="F75" t="s">
        <v>42</v>
      </c>
      <c r="I75" s="5"/>
    </row>
    <row r="78" spans="3:10" x14ac:dyDescent="0.2">
      <c r="C78" s="29" t="s">
        <v>14</v>
      </c>
      <c r="D78" s="29" t="s">
        <v>33</v>
      </c>
    </row>
    <row r="80" spans="3:10" x14ac:dyDescent="0.2">
      <c r="C80" t="s">
        <v>15</v>
      </c>
    </row>
    <row r="81" spans="3:10" x14ac:dyDescent="0.2">
      <c r="C81" s="9" t="s">
        <v>12</v>
      </c>
      <c r="D81" s="3">
        <v>1700</v>
      </c>
      <c r="E81" t="s">
        <v>16</v>
      </c>
      <c r="F81" t="s">
        <v>54</v>
      </c>
    </row>
    <row r="82" spans="3:10" x14ac:dyDescent="0.2">
      <c r="C82" s="9" t="s">
        <v>13</v>
      </c>
      <c r="D82" s="3">
        <v>500</v>
      </c>
      <c r="E82" t="s">
        <v>16</v>
      </c>
    </row>
    <row r="84" spans="3:10" x14ac:dyDescent="0.2">
      <c r="C84" t="s">
        <v>17</v>
      </c>
    </row>
    <row r="85" spans="3:10" x14ac:dyDescent="0.2">
      <c r="C85" s="9" t="s">
        <v>12</v>
      </c>
      <c r="D85">
        <v>70</v>
      </c>
      <c r="E85" s="5"/>
    </row>
    <row r="86" spans="3:10" x14ac:dyDescent="0.2">
      <c r="C86" s="9" t="s">
        <v>13</v>
      </c>
      <c r="D86">
        <v>1000</v>
      </c>
      <c r="F86" s="5"/>
    </row>
    <row r="88" spans="3:10" x14ac:dyDescent="0.2">
      <c r="C88" t="s">
        <v>18</v>
      </c>
      <c r="D88" s="3">
        <f>(D85*D81)+(D82*D86)</f>
        <v>619000</v>
      </c>
    </row>
    <row r="90" spans="3:10" x14ac:dyDescent="0.2">
      <c r="C90" t="s">
        <v>19</v>
      </c>
      <c r="D90" s="3">
        <v>30000</v>
      </c>
    </row>
    <row r="91" spans="3:10" x14ac:dyDescent="0.2">
      <c r="C91" t="s">
        <v>43</v>
      </c>
      <c r="D91" s="3">
        <v>30000</v>
      </c>
    </row>
    <row r="92" spans="3:10" x14ac:dyDescent="0.2">
      <c r="D92" s="3"/>
    </row>
    <row r="93" spans="3:10" x14ac:dyDescent="0.2">
      <c r="C93" t="s">
        <v>44</v>
      </c>
      <c r="D93" s="3">
        <f>SUM(D88:D91)</f>
        <v>679000</v>
      </c>
    </row>
    <row r="94" spans="3:10" x14ac:dyDescent="0.2">
      <c r="C94" s="4"/>
      <c r="D94" s="4"/>
      <c r="E94" s="4"/>
      <c r="F94" s="4"/>
      <c r="G94" s="4"/>
      <c r="H94" s="4"/>
      <c r="I94" s="4"/>
      <c r="J94" s="4"/>
    </row>
    <row r="96" spans="3:10" x14ac:dyDescent="0.2">
      <c r="C96" s="8" t="s">
        <v>20</v>
      </c>
    </row>
    <row r="97" spans="3:7" x14ac:dyDescent="0.2">
      <c r="C97" s="9" t="s">
        <v>35</v>
      </c>
    </row>
    <row r="99" spans="3:7" x14ac:dyDescent="0.2">
      <c r="C99" t="s">
        <v>21</v>
      </c>
      <c r="D99" s="3">
        <f>7.6*120</f>
        <v>912</v>
      </c>
      <c r="E99" t="s">
        <v>22</v>
      </c>
      <c r="F99" s="5"/>
    </row>
    <row r="101" spans="3:7" x14ac:dyDescent="0.2">
      <c r="C101" s="29" t="s">
        <v>59</v>
      </c>
      <c r="D101">
        <f>$D$85</f>
        <v>70</v>
      </c>
      <c r="E101" t="s">
        <v>23</v>
      </c>
    </row>
    <row r="103" spans="3:7" x14ac:dyDescent="0.2">
      <c r="C103" s="29" t="s">
        <v>27</v>
      </c>
      <c r="D103">
        <v>0.25</v>
      </c>
      <c r="E103" t="s">
        <v>28</v>
      </c>
      <c r="G103" t="s">
        <v>34</v>
      </c>
    </row>
    <row r="105" spans="3:7" x14ac:dyDescent="0.2">
      <c r="C105" s="29" t="s">
        <v>29</v>
      </c>
      <c r="D105">
        <v>0.75</v>
      </c>
      <c r="E105" t="s">
        <v>30</v>
      </c>
    </row>
    <row r="108" spans="3:7" x14ac:dyDescent="0.2">
      <c r="C108" t="s">
        <v>25</v>
      </c>
      <c r="D108" s="6">
        <f>7.6/(D105+D103)</f>
        <v>7.6</v>
      </c>
    </row>
    <row r="109" spans="3:7" x14ac:dyDescent="0.2">
      <c r="C109" t="s">
        <v>32</v>
      </c>
      <c r="D109" s="7">
        <f>ROUNDDOWN(D108,0)</f>
        <v>7</v>
      </c>
    </row>
    <row r="110" spans="3:7" x14ac:dyDescent="0.2">
      <c r="D110" s="7"/>
    </row>
    <row r="111" spans="3:7" x14ac:dyDescent="0.2">
      <c r="C111" t="s">
        <v>26</v>
      </c>
      <c r="D111" s="7">
        <f>D101*6/D109</f>
        <v>60</v>
      </c>
      <c r="E111" t="s">
        <v>31</v>
      </c>
    </row>
    <row r="113" spans="3:6" x14ac:dyDescent="0.2">
      <c r="C113" t="s">
        <v>60</v>
      </c>
      <c r="D113" s="5">
        <f>D111*D99</f>
        <v>54720</v>
      </c>
    </row>
    <row r="117" spans="3:6" x14ac:dyDescent="0.2">
      <c r="C117" s="8" t="s">
        <v>20</v>
      </c>
    </row>
    <row r="118" spans="3:6" x14ac:dyDescent="0.2">
      <c r="C118" s="9" t="s">
        <v>36</v>
      </c>
    </row>
    <row r="120" spans="3:6" x14ac:dyDescent="0.2">
      <c r="C120" t="s">
        <v>46</v>
      </c>
    </row>
    <row r="122" spans="3:6" x14ac:dyDescent="0.2">
      <c r="C122" t="s">
        <v>11</v>
      </c>
      <c r="D122">
        <f>$D$101</f>
        <v>70</v>
      </c>
    </row>
    <row r="123" spans="3:6" x14ac:dyDescent="0.2">
      <c r="C123" t="s">
        <v>47</v>
      </c>
      <c r="D123">
        <f>$D$86*2</f>
        <v>2000</v>
      </c>
      <c r="F123" t="s">
        <v>56</v>
      </c>
    </row>
    <row r="124" spans="3:6" x14ac:dyDescent="0.2">
      <c r="D124" s="5"/>
    </row>
    <row r="125" spans="3:6" x14ac:dyDescent="0.2">
      <c r="C125" s="29" t="s">
        <v>48</v>
      </c>
      <c r="D125" s="6">
        <v>0.1</v>
      </c>
    </row>
    <row r="126" spans="3:6" x14ac:dyDescent="0.2">
      <c r="D126" s="6"/>
    </row>
    <row r="127" spans="3:6" x14ac:dyDescent="0.2">
      <c r="C127" s="29" t="s">
        <v>29</v>
      </c>
      <c r="D127" s="6">
        <v>0.2</v>
      </c>
    </row>
    <row r="128" spans="3:6" x14ac:dyDescent="0.2">
      <c r="D128" s="6"/>
    </row>
    <row r="129" spans="3:10" x14ac:dyDescent="0.2">
      <c r="C129" s="29" t="s">
        <v>25</v>
      </c>
      <c r="D129" s="6">
        <f>7.6/(D127+D125)</f>
        <v>25.333333333333329</v>
      </c>
    </row>
    <row r="130" spans="3:10" x14ac:dyDescent="0.2">
      <c r="C130" t="s">
        <v>32</v>
      </c>
      <c r="D130" s="6">
        <f>ROUNDDOWN(D129,0)</f>
        <v>25</v>
      </c>
    </row>
    <row r="132" spans="3:10" x14ac:dyDescent="0.2">
      <c r="C132" t="s">
        <v>26</v>
      </c>
      <c r="D132">
        <f>D123*2/D130</f>
        <v>160</v>
      </c>
    </row>
    <row r="134" spans="3:10" x14ac:dyDescent="0.2">
      <c r="C134" t="s">
        <v>60</v>
      </c>
      <c r="D134" s="5">
        <f>D132*D99</f>
        <v>145920</v>
      </c>
    </row>
    <row r="138" spans="3:10" x14ac:dyDescent="0.2">
      <c r="C138" s="10" t="s">
        <v>37</v>
      </c>
      <c r="D138" s="5">
        <f>D113+D134</f>
        <v>200640</v>
      </c>
    </row>
    <row r="140" spans="3:10" x14ac:dyDescent="0.2">
      <c r="C140" s="4"/>
      <c r="D140" s="4"/>
      <c r="E140" s="4"/>
      <c r="F140" s="4"/>
      <c r="G140" s="4"/>
      <c r="H140" s="4"/>
      <c r="I140" s="4"/>
      <c r="J140" s="4"/>
    </row>
    <row r="142" spans="3:10" x14ac:dyDescent="0.2">
      <c r="C142" s="8" t="s">
        <v>68</v>
      </c>
    </row>
    <row r="143" spans="3:10" x14ac:dyDescent="0.2">
      <c r="D143" s="5">
        <f>D138-D67</f>
        <v>95995.555555555562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285993AD4E34B9D92EFC5D186D3BC" ma:contentTypeVersion="0" ma:contentTypeDescription="Create a new document." ma:contentTypeScope="" ma:versionID="31d97804ea2d0ce053e313e949c175f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A97C6A-BDE1-433C-B418-B8C214BDFFA0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18C4DB-9370-448F-9AD5-D8D053611E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8F3518-13AD-486C-829B-97EC0F251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Anthony</dc:creator>
  <cp:lastModifiedBy>APA</cp:lastModifiedBy>
  <dcterms:created xsi:type="dcterms:W3CDTF">2016-01-04T00:24:00Z</dcterms:created>
  <dcterms:modified xsi:type="dcterms:W3CDTF">2017-01-03T01:21:05Z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0x010100304285993AD4E34B9D92EFC5D186D3BC</vt:lpwstr>
  </property>
</Properties>
</file>