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480" yWindow="495" windowWidth="20010" windowHeight="7695" firstSheet="1" activeTab="2"/>
  </bookViews>
  <sheets>
    <sheet name="Input│ Historic Opex" sheetId="21" r:id="rId1"/>
    <sheet name="Calc│Forecast" sheetId="20" r:id="rId2"/>
    <sheet name="Calc│EBSS" sheetId="23" r:id="rId3"/>
    <sheet name="Outputs│PTRM" sheetId="22" r:id="rId4"/>
    <sheet name="Outputs│Tables" sheetId="25" r:id="rId5"/>
    <sheet name="Outputs│Graphs" sheetId="26" r:id="rId6"/>
    <sheet name="Outputs│RIN" sheetId="27" r:id="rId7"/>
  </sheets>
  <calcPr calcId="145621"/>
</workbook>
</file>

<file path=xl/calcChain.xml><?xml version="1.0" encoding="utf-8"?>
<calcChain xmlns="http://schemas.openxmlformats.org/spreadsheetml/2006/main">
  <c r="I60" i="20" l="1"/>
  <c r="H60" i="20"/>
  <c r="G60" i="20"/>
  <c r="F60" i="20"/>
  <c r="E60" i="20"/>
  <c r="D60" i="20"/>
  <c r="C60" i="20"/>
  <c r="I59" i="20"/>
  <c r="H59" i="20"/>
  <c r="G59" i="20"/>
  <c r="F59" i="20"/>
  <c r="E59" i="20"/>
  <c r="D59" i="20"/>
  <c r="C59" i="20"/>
  <c r="B32" i="27"/>
  <c r="F32" i="27"/>
  <c r="G32" i="27"/>
  <c r="H32" i="27"/>
  <c r="I32" i="27"/>
  <c r="E32" i="27"/>
  <c r="I19" i="27"/>
  <c r="J19" i="27"/>
  <c r="K19" i="27"/>
  <c r="L19" i="27"/>
  <c r="H19" i="27"/>
  <c r="H24" i="22"/>
  <c r="I24" i="22"/>
  <c r="J24" i="22"/>
  <c r="K24" i="22"/>
  <c r="G24" i="22"/>
  <c r="E76" i="21"/>
  <c r="F76" i="21"/>
  <c r="G76" i="21"/>
  <c r="H76" i="21"/>
  <c r="D76" i="21"/>
  <c r="I82" i="25"/>
  <c r="G82" i="25"/>
  <c r="H82" i="25"/>
  <c r="J82" i="25"/>
  <c r="F82" i="25"/>
  <c r="A106" i="21"/>
  <c r="I72" i="21"/>
  <c r="A73" i="21"/>
  <c r="F71" i="25"/>
  <c r="C33" i="20"/>
  <c r="F32" i="20"/>
  <c r="G71" i="25"/>
  <c r="G32" i="20"/>
  <c r="H71" i="25"/>
  <c r="B32" i="20"/>
  <c r="B45" i="27"/>
  <c r="B31" i="27"/>
  <c r="B30" i="27"/>
  <c r="A211" i="21"/>
  <c r="A212" i="21"/>
  <c r="A213" i="21"/>
  <c r="A214" i="21"/>
  <c r="A215" i="21"/>
  <c r="A216" i="21"/>
  <c r="A217" i="21"/>
  <c r="A218" i="21"/>
  <c r="A219" i="21"/>
  <c r="A210" i="21"/>
  <c r="F39" i="25"/>
  <c r="F40" i="25"/>
  <c r="F41" i="25"/>
  <c r="E40" i="25"/>
  <c r="E41" i="25"/>
  <c r="E39" i="25"/>
  <c r="K82" i="25"/>
  <c r="A88" i="23"/>
  <c r="A87" i="23"/>
  <c r="B194" i="21"/>
  <c r="B183" i="21"/>
  <c r="B184" i="21"/>
  <c r="B187" i="21"/>
  <c r="B190" i="21"/>
  <c r="H190" i="21"/>
  <c r="H187" i="21"/>
  <c r="H183" i="21"/>
  <c r="A170" i="21"/>
  <c r="A169" i="21"/>
  <c r="A175" i="21"/>
  <c r="A180" i="21"/>
  <c r="A168" i="21"/>
  <c r="A174" i="21"/>
  <c r="A179" i="21"/>
  <c r="A167" i="21"/>
  <c r="A173" i="21"/>
  <c r="A178" i="21"/>
  <c r="L38" i="25"/>
  <c r="F103" i="21"/>
  <c r="G103" i="21"/>
  <c r="H103" i="21"/>
  <c r="I103" i="21"/>
  <c r="E103" i="21"/>
  <c r="E25" i="21"/>
  <c r="A104" i="21"/>
  <c r="A105" i="21"/>
  <c r="E104" i="21"/>
  <c r="F25" i="21"/>
  <c r="G25" i="21"/>
  <c r="F104" i="21"/>
  <c r="H25" i="21"/>
  <c r="G104" i="21"/>
  <c r="I25" i="21"/>
  <c r="I104" i="21"/>
  <c r="H104" i="21"/>
  <c r="J66" i="27"/>
  <c r="J52" i="27"/>
  <c r="J37" i="27"/>
  <c r="M22" i="27"/>
  <c r="F22" i="27"/>
  <c r="E22" i="27"/>
  <c r="D22" i="27"/>
  <c r="C22" i="27"/>
  <c r="E34" i="23"/>
  <c r="F34" i="23"/>
  <c r="G34" i="23"/>
  <c r="H34" i="23"/>
  <c r="I34" i="23"/>
  <c r="E35" i="23"/>
  <c r="F35" i="23"/>
  <c r="G35" i="23"/>
  <c r="H35" i="23"/>
  <c r="I35" i="23"/>
  <c r="D35" i="23"/>
  <c r="D34" i="23"/>
  <c r="D29" i="23"/>
  <c r="E29" i="23"/>
  <c r="F29" i="23"/>
  <c r="G29" i="23"/>
  <c r="H29" i="23"/>
  <c r="I29" i="23"/>
  <c r="E28" i="23"/>
  <c r="F28" i="23"/>
  <c r="G28" i="23"/>
  <c r="H28" i="23"/>
  <c r="I28" i="23"/>
  <c r="D28" i="23"/>
  <c r="F15" i="23"/>
  <c r="G15" i="23"/>
  <c r="H15" i="23"/>
  <c r="I15" i="23"/>
  <c r="E15" i="23"/>
  <c r="D66" i="21"/>
  <c r="E66" i="21"/>
  <c r="F66" i="21"/>
  <c r="G66" i="21"/>
  <c r="H66" i="21"/>
  <c r="E66" i="25"/>
  <c r="F79" i="21"/>
  <c r="G79" i="21"/>
  <c r="H79" i="21"/>
  <c r="I79" i="21"/>
  <c r="E79" i="21"/>
  <c r="C53" i="21"/>
  <c r="E53" i="21"/>
  <c r="F53" i="21"/>
  <c r="G53" i="21"/>
  <c r="H53" i="21"/>
  <c r="D53" i="21"/>
  <c r="B51" i="21"/>
  <c r="B50" i="21"/>
  <c r="B66" i="21"/>
  <c r="B67" i="21"/>
  <c r="B70" i="21"/>
  <c r="C68" i="21"/>
  <c r="D65" i="21"/>
  <c r="E65" i="21"/>
  <c r="F65" i="21"/>
  <c r="G65" i="21"/>
  <c r="H65" i="21"/>
  <c r="C65" i="21"/>
  <c r="E12" i="25"/>
  <c r="G19" i="25"/>
  <c r="I38" i="21"/>
  <c r="I39" i="21"/>
  <c r="H38" i="21"/>
  <c r="G38" i="21"/>
  <c r="F38" i="21"/>
  <c r="E38" i="21"/>
  <c r="B38" i="21"/>
  <c r="B22" i="20"/>
  <c r="F19" i="25"/>
  <c r="L19" i="25"/>
  <c r="C70" i="21"/>
  <c r="D31" i="20"/>
  <c r="M19" i="25"/>
  <c r="C69" i="21"/>
  <c r="D69" i="21"/>
  <c r="A136" i="21"/>
  <c r="A146" i="21"/>
  <c r="A156" i="21"/>
  <c r="A137" i="21"/>
  <c r="A147" i="21"/>
  <c r="A157" i="21"/>
  <c r="A138" i="21"/>
  <c r="A148" i="21"/>
  <c r="A158" i="21"/>
  <c r="A139" i="21"/>
  <c r="A149" i="21"/>
  <c r="A159" i="21"/>
  <c r="A140" i="21"/>
  <c r="A150" i="21"/>
  <c r="A160" i="21"/>
  <c r="A141" i="21"/>
  <c r="A151" i="21"/>
  <c r="A161" i="21"/>
  <c r="A142" i="21"/>
  <c r="A152" i="21"/>
  <c r="A162" i="21"/>
  <c r="A135" i="21"/>
  <c r="A145" i="21"/>
  <c r="A155" i="21"/>
  <c r="E69" i="21"/>
  <c r="H161" i="21"/>
  <c r="H160" i="21"/>
  <c r="H157" i="21"/>
  <c r="H155" i="21"/>
  <c r="H158" i="21"/>
  <c r="H162" i="21"/>
  <c r="H159" i="21"/>
  <c r="F69" i="21"/>
  <c r="L14" i="25"/>
  <c r="K14" i="25"/>
  <c r="J46" i="25"/>
  <c r="H170" i="21"/>
  <c r="H184" i="21"/>
  <c r="H194" i="21"/>
  <c r="H193" i="21"/>
  <c r="J51" i="25"/>
  <c r="L24" i="25"/>
  <c r="G69" i="21"/>
  <c r="F86" i="21"/>
  <c r="E86" i="21"/>
  <c r="H86" i="21"/>
  <c r="I86" i="21"/>
  <c r="G86" i="21"/>
  <c r="H69" i="21"/>
  <c r="C58" i="21"/>
  <c r="B54" i="21"/>
  <c r="B55" i="21"/>
  <c r="B56" i="21"/>
  <c r="B57" i="21"/>
  <c r="A60" i="21"/>
  <c r="E63" i="25"/>
  <c r="A61" i="21"/>
  <c r="E64" i="25"/>
  <c r="A62" i="21"/>
  <c r="E65" i="25"/>
  <c r="A59" i="21"/>
  <c r="E62" i="25"/>
  <c r="F58" i="21"/>
  <c r="G58" i="21"/>
  <c r="D58" i="21"/>
  <c r="H58" i="21"/>
  <c r="E58" i="21"/>
  <c r="C50" i="21"/>
  <c r="A51" i="21"/>
  <c r="D50" i="21"/>
  <c r="H50" i="21"/>
  <c r="E50" i="21"/>
  <c r="G50" i="21"/>
  <c r="F50" i="21"/>
  <c r="H117" i="21"/>
  <c r="B119" i="21"/>
  <c r="H118" i="21"/>
  <c r="H119" i="21"/>
  <c r="H16" i="21"/>
  <c r="H202" i="21"/>
  <c r="J52" i="25"/>
  <c r="F25" i="25"/>
  <c r="F26" i="25"/>
  <c r="F27" i="25"/>
  <c r="E25" i="25"/>
  <c r="A10" i="26"/>
  <c r="N14" i="25"/>
  <c r="P14" i="26"/>
  <c r="O14" i="25"/>
  <c r="Q14" i="26"/>
  <c r="P14" i="25"/>
  <c r="R14" i="26"/>
  <c r="Q14" i="25"/>
  <c r="S14" i="26"/>
  <c r="M14" i="25"/>
  <c r="O14" i="26"/>
  <c r="H14" i="25"/>
  <c r="G31" i="25"/>
  <c r="I14" i="25"/>
  <c r="H46" i="25"/>
  <c r="J14" i="25"/>
  <c r="I46" i="25"/>
  <c r="J31" i="25"/>
  <c r="J38" i="25"/>
  <c r="G14" i="25"/>
  <c r="A10" i="25"/>
  <c r="F70" i="25"/>
  <c r="F56" i="25"/>
  <c r="I70" i="25"/>
  <c r="I56" i="25"/>
  <c r="G24" i="25"/>
  <c r="F51" i="25"/>
  <c r="H70" i="25"/>
  <c r="H56" i="25"/>
  <c r="G70" i="25"/>
  <c r="G56" i="25"/>
  <c r="J70" i="25"/>
  <c r="J56" i="25"/>
  <c r="G46" i="25"/>
  <c r="G38" i="25"/>
  <c r="J61" i="25"/>
  <c r="J75" i="25"/>
  <c r="J80" i="25"/>
  <c r="J89" i="25"/>
  <c r="F61" i="25"/>
  <c r="F75" i="25"/>
  <c r="F80" i="25"/>
  <c r="F89" i="25"/>
  <c r="G61" i="25"/>
  <c r="G75" i="25"/>
  <c r="G80" i="25"/>
  <c r="G89" i="25"/>
  <c r="I61" i="25"/>
  <c r="I75" i="25"/>
  <c r="I80" i="25"/>
  <c r="I89" i="25"/>
  <c r="H61" i="25"/>
  <c r="H75" i="25"/>
  <c r="H80" i="25"/>
  <c r="H89" i="25"/>
  <c r="I31" i="25"/>
  <c r="I38" i="25"/>
  <c r="I51" i="25"/>
  <c r="H31" i="25"/>
  <c r="H38" i="25"/>
  <c r="H51" i="25"/>
  <c r="G51" i="25"/>
  <c r="N14" i="26"/>
  <c r="K31" i="25"/>
  <c r="K38" i="25"/>
  <c r="J24" i="25"/>
  <c r="L14" i="26"/>
  <c r="I24" i="25"/>
  <c r="K14" i="26"/>
  <c r="H24" i="25"/>
  <c r="J14" i="26"/>
  <c r="K24" i="25"/>
  <c r="M14" i="26"/>
  <c r="B57" i="23"/>
  <c r="C57" i="23"/>
  <c r="H57" i="23"/>
  <c r="G57" i="23"/>
  <c r="F57" i="23"/>
  <c r="E57" i="23"/>
  <c r="D57" i="23"/>
  <c r="A49" i="20"/>
  <c r="A56" i="20"/>
  <c r="L44" i="23"/>
  <c r="M44" i="23"/>
  <c r="N44" i="23"/>
  <c r="O44" i="23"/>
  <c r="P44" i="23"/>
  <c r="G45" i="23"/>
  <c r="H45" i="23"/>
  <c r="Q44" i="23"/>
  <c r="P45" i="23"/>
  <c r="J55" i="23"/>
  <c r="K55" i="23"/>
  <c r="L55" i="23"/>
  <c r="M55" i="23"/>
  <c r="N55" i="23"/>
  <c r="O55" i="23"/>
  <c r="P55" i="23"/>
  <c r="J56" i="23"/>
  <c r="K56" i="23"/>
  <c r="L56" i="23"/>
  <c r="M56" i="23"/>
  <c r="N56" i="23"/>
  <c r="O56" i="23"/>
  <c r="P56" i="23"/>
  <c r="J57" i="23"/>
  <c r="K57" i="23"/>
  <c r="L57" i="23"/>
  <c r="M57" i="23"/>
  <c r="M58" i="23"/>
  <c r="N57" i="23"/>
  <c r="O57" i="23"/>
  <c r="P57" i="23"/>
  <c r="B58" i="23"/>
  <c r="C58" i="23"/>
  <c r="D58" i="23"/>
  <c r="E58" i="23"/>
  <c r="F58" i="23"/>
  <c r="G58" i="23"/>
  <c r="H58" i="23"/>
  <c r="G87" i="23"/>
  <c r="G91" i="23"/>
  <c r="B15" i="23"/>
  <c r="B16" i="23"/>
  <c r="B17" i="23"/>
  <c r="B18" i="23"/>
  <c r="A31" i="23"/>
  <c r="A33" i="23"/>
  <c r="A37" i="23"/>
  <c r="A27" i="23"/>
  <c r="A28" i="23"/>
  <c r="A29" i="23"/>
  <c r="A30" i="23"/>
  <c r="A32" i="23"/>
  <c r="A34" i="23"/>
  <c r="A35" i="23"/>
  <c r="A36" i="23"/>
  <c r="A10" i="23"/>
  <c r="O58" i="23"/>
  <c r="K58" i="23"/>
  <c r="B20" i="23"/>
  <c r="B21" i="23"/>
  <c r="B22" i="23"/>
  <c r="B23" i="23"/>
  <c r="P58" i="23"/>
  <c r="L58" i="23"/>
  <c r="J58" i="23"/>
  <c r="N58" i="23"/>
  <c r="O65" i="23"/>
  <c r="O45" i="23"/>
  <c r="N65" i="23"/>
  <c r="N45" i="23"/>
  <c r="M45" i="23"/>
  <c r="M65" i="23"/>
  <c r="L45" i="23"/>
  <c r="K45" i="23"/>
  <c r="J65" i="23"/>
  <c r="K65" i="23"/>
  <c r="L65" i="23"/>
  <c r="H22" i="21"/>
  <c r="C23" i="21"/>
  <c r="C37" i="23"/>
  <c r="B63" i="23"/>
  <c r="H206" i="21"/>
  <c r="H205" i="21"/>
  <c r="H207" i="21"/>
  <c r="F52" i="25"/>
  <c r="G52" i="25"/>
  <c r="H52" i="25"/>
  <c r="I52" i="25"/>
  <c r="H212" i="21"/>
  <c r="H216" i="21"/>
  <c r="H210" i="21"/>
  <c r="H213" i="21"/>
  <c r="H217" i="21"/>
  <c r="H211" i="21"/>
  <c r="H218" i="21"/>
  <c r="H215" i="21"/>
  <c r="H214" i="21"/>
  <c r="D62" i="21"/>
  <c r="F65" i="25"/>
  <c r="G59" i="21"/>
  <c r="F60" i="21"/>
  <c r="H63" i="25"/>
  <c r="E61" i="21"/>
  <c r="G64" i="25"/>
  <c r="H62" i="21"/>
  <c r="J65" i="25"/>
  <c r="G62" i="21"/>
  <c r="I65" i="25"/>
  <c r="D61" i="21"/>
  <c r="F64" i="25"/>
  <c r="F59" i="21"/>
  <c r="E60" i="21"/>
  <c r="G63" i="25"/>
  <c r="H61" i="21"/>
  <c r="J64" i="25"/>
  <c r="G61" i="21"/>
  <c r="I64" i="25"/>
  <c r="F62" i="21"/>
  <c r="H65" i="25"/>
  <c r="D60" i="21"/>
  <c r="F63" i="25"/>
  <c r="E59" i="21"/>
  <c r="H60" i="21"/>
  <c r="J63" i="25"/>
  <c r="G60" i="21"/>
  <c r="I63" i="25"/>
  <c r="F61" i="21"/>
  <c r="H64" i="25"/>
  <c r="E62" i="21"/>
  <c r="G65" i="25"/>
  <c r="D59" i="21"/>
  <c r="H59" i="21"/>
  <c r="B66" i="23"/>
  <c r="J63" i="23"/>
  <c r="J66" i="23"/>
  <c r="H39" i="21"/>
  <c r="C22" i="20"/>
  <c r="C23" i="20"/>
  <c r="H29" i="21"/>
  <c r="K15" i="25"/>
  <c r="C51" i="21"/>
  <c r="D39" i="20"/>
  <c r="C63" i="21"/>
  <c r="D30" i="20"/>
  <c r="D51" i="21"/>
  <c r="E39" i="20"/>
  <c r="G51" i="21"/>
  <c r="H39" i="20"/>
  <c r="F51" i="21"/>
  <c r="G39" i="20"/>
  <c r="E51" i="21"/>
  <c r="F39" i="20"/>
  <c r="H51" i="21"/>
  <c r="I39" i="20"/>
  <c r="H31" i="21"/>
  <c r="H30" i="21"/>
  <c r="K16" i="25"/>
  <c r="H32" i="21"/>
  <c r="F18" i="23"/>
  <c r="D22" i="23"/>
  <c r="D36" i="23"/>
  <c r="E18" i="23"/>
  <c r="F17" i="23"/>
  <c r="E22" i="23"/>
  <c r="D18" i="23"/>
  <c r="D32" i="23"/>
  <c r="E17" i="23"/>
  <c r="E16" i="23"/>
  <c r="G17" i="23"/>
  <c r="G16" i="23"/>
  <c r="G22" i="23"/>
  <c r="F16" i="23"/>
  <c r="F22" i="23"/>
  <c r="G18" i="23"/>
  <c r="D17" i="23"/>
  <c r="D31" i="23"/>
  <c r="G22" i="21"/>
  <c r="H18" i="23"/>
  <c r="H17" i="23"/>
  <c r="D17" i="21"/>
  <c r="D16" i="23"/>
  <c r="D30" i="23"/>
  <c r="H16" i="23"/>
  <c r="H22" i="23"/>
  <c r="E12" i="22"/>
  <c r="P14" i="22"/>
  <c r="O14" i="22"/>
  <c r="N14" i="22"/>
  <c r="M14" i="22"/>
  <c r="L14" i="22"/>
  <c r="K14" i="22"/>
  <c r="J14" i="22"/>
  <c r="I14" i="22"/>
  <c r="H14" i="22"/>
  <c r="G14" i="22"/>
  <c r="F45" i="27"/>
  <c r="G57" i="25"/>
  <c r="I45" i="27"/>
  <c r="J57" i="25"/>
  <c r="E45" i="27"/>
  <c r="F57" i="25"/>
  <c r="G45" i="27"/>
  <c r="H57" i="25"/>
  <c r="H45" i="27"/>
  <c r="I57" i="25"/>
  <c r="H219" i="21"/>
  <c r="J62" i="25"/>
  <c r="J66" i="25"/>
  <c r="H63" i="21"/>
  <c r="I30" i="20"/>
  <c r="F88" i="23"/>
  <c r="H62" i="25"/>
  <c r="H66" i="25"/>
  <c r="F63" i="21"/>
  <c r="G30" i="20"/>
  <c r="D88" i="23"/>
  <c r="K18" i="25"/>
  <c r="K26" i="25"/>
  <c r="F62" i="25"/>
  <c r="D63" i="21"/>
  <c r="E30" i="20"/>
  <c r="B88" i="23"/>
  <c r="K64" i="25"/>
  <c r="G62" i="25"/>
  <c r="G66" i="25"/>
  <c r="E63" i="21"/>
  <c r="F30" i="20"/>
  <c r="C88" i="23"/>
  <c r="I62" i="25"/>
  <c r="I66" i="25"/>
  <c r="G63" i="21"/>
  <c r="H30" i="20"/>
  <c r="E88" i="23"/>
  <c r="K17" i="25"/>
  <c r="J47" i="25"/>
  <c r="K63" i="25"/>
  <c r="K65" i="25"/>
  <c r="G29" i="21"/>
  <c r="J15" i="25"/>
  <c r="G39" i="21"/>
  <c r="K19" i="25"/>
  <c r="G30" i="21"/>
  <c r="J16" i="25"/>
  <c r="G31" i="21"/>
  <c r="F23" i="23"/>
  <c r="G23" i="23"/>
  <c r="E23" i="23"/>
  <c r="G32" i="21"/>
  <c r="H23" i="23"/>
  <c r="H33" i="21"/>
  <c r="D37" i="23"/>
  <c r="C63" i="23"/>
  <c r="D23" i="23"/>
  <c r="G88" i="23"/>
  <c r="G52" i="27"/>
  <c r="G64" i="27"/>
  <c r="I52" i="27"/>
  <c r="I64" i="27"/>
  <c r="H52" i="27"/>
  <c r="H64" i="27"/>
  <c r="E52" i="27"/>
  <c r="E64" i="27"/>
  <c r="F52" i="27"/>
  <c r="F64" i="27"/>
  <c r="J19" i="25"/>
  <c r="K57" i="25"/>
  <c r="E30" i="27"/>
  <c r="G30" i="27"/>
  <c r="F30" i="27"/>
  <c r="I30" i="27"/>
  <c r="H30" i="27"/>
  <c r="K20" i="25"/>
  <c r="K25" i="25"/>
  <c r="K27" i="25"/>
  <c r="K62" i="25"/>
  <c r="K66" i="25"/>
  <c r="F66" i="25"/>
  <c r="J17" i="25"/>
  <c r="I47" i="25"/>
  <c r="G33" i="21"/>
  <c r="J18" i="25"/>
  <c r="J26" i="25"/>
  <c r="C66" i="23"/>
  <c r="K63" i="23"/>
  <c r="K66" i="23"/>
  <c r="M15" i="26"/>
  <c r="J20" i="25"/>
  <c r="J25" i="25"/>
  <c r="J27" i="25"/>
  <c r="L15" i="26"/>
  <c r="L25" i="22"/>
  <c r="M25" i="22"/>
  <c r="N25" i="22"/>
  <c r="O25" i="22"/>
  <c r="P25" i="22"/>
  <c r="A10" i="22"/>
  <c r="D40" i="20"/>
  <c r="E40" i="20"/>
  <c r="F40" i="20"/>
  <c r="G40" i="20"/>
  <c r="H40" i="20"/>
  <c r="I40" i="20"/>
  <c r="C40" i="20"/>
  <c r="B16" i="20"/>
  <c r="B19" i="20"/>
  <c r="B23" i="20"/>
  <c r="B26" i="20"/>
  <c r="B30" i="20"/>
  <c r="F22" i="21"/>
  <c r="E23" i="21"/>
  <c r="A33" i="21"/>
  <c r="E88" i="21"/>
  <c r="E105" i="21"/>
  <c r="E31" i="23"/>
  <c r="E32" i="23"/>
  <c r="E36" i="23"/>
  <c r="F23" i="21"/>
  <c r="E30" i="23"/>
  <c r="B31" i="20"/>
  <c r="B33" i="20"/>
  <c r="F39" i="21"/>
  <c r="I19" i="25"/>
  <c r="F29" i="21"/>
  <c r="I15" i="25"/>
  <c r="F32" i="21"/>
  <c r="F30" i="21"/>
  <c r="I16" i="25"/>
  <c r="F31" i="21"/>
  <c r="E22" i="21"/>
  <c r="G32" i="25"/>
  <c r="G39" i="25"/>
  <c r="E106" i="21"/>
  <c r="J16" i="26"/>
  <c r="F88" i="21"/>
  <c r="F105" i="21"/>
  <c r="I17" i="25"/>
  <c r="H47" i="25"/>
  <c r="I18" i="25"/>
  <c r="I26" i="25"/>
  <c r="G23" i="21"/>
  <c r="F36" i="23"/>
  <c r="F30" i="23"/>
  <c r="F32" i="23"/>
  <c r="F31" i="23"/>
  <c r="E37" i="23"/>
  <c r="B36" i="20"/>
  <c r="E39" i="21"/>
  <c r="H19" i="25"/>
  <c r="E29" i="21"/>
  <c r="H15" i="25"/>
  <c r="E31" i="21"/>
  <c r="E32" i="21"/>
  <c r="E30" i="21"/>
  <c r="H16" i="25"/>
  <c r="A31" i="21"/>
  <c r="E17" i="25"/>
  <c r="A47" i="20"/>
  <c r="A54" i="20"/>
  <c r="A30" i="21"/>
  <c r="E16" i="25"/>
  <c r="A46" i="20"/>
  <c r="A53" i="20"/>
  <c r="A29" i="21"/>
  <c r="E15" i="25"/>
  <c r="A45" i="20"/>
  <c r="A52" i="20"/>
  <c r="A32" i="21"/>
  <c r="E18" i="25"/>
  <c r="E26" i="25"/>
  <c r="A48" i="20"/>
  <c r="A55" i="20"/>
  <c r="D22" i="21"/>
  <c r="C22" i="21"/>
  <c r="F17" i="21"/>
  <c r="H33" i="25"/>
  <c r="H40" i="25"/>
  <c r="E17" i="21"/>
  <c r="G33" i="25"/>
  <c r="G40" i="25"/>
  <c r="G17" i="21"/>
  <c r="I33" i="25"/>
  <c r="I40" i="25"/>
  <c r="H32" i="25"/>
  <c r="F106" i="21"/>
  <c r="K16" i="26"/>
  <c r="F73" i="21"/>
  <c r="C73" i="21"/>
  <c r="H32" i="20"/>
  <c r="I71" i="25"/>
  <c r="H73" i="21"/>
  <c r="I73" i="21"/>
  <c r="D32" i="20"/>
  <c r="G73" i="21"/>
  <c r="D73" i="21"/>
  <c r="I32" i="20"/>
  <c r="E73" i="21"/>
  <c r="G41" i="25"/>
  <c r="G88" i="21"/>
  <c r="G105" i="21"/>
  <c r="I20" i="25"/>
  <c r="H18" i="25"/>
  <c r="H26" i="25"/>
  <c r="H17" i="25"/>
  <c r="G47" i="25"/>
  <c r="F37" i="23"/>
  <c r="E63" i="23"/>
  <c r="D63" i="23"/>
  <c r="H23" i="21"/>
  <c r="G30" i="23"/>
  <c r="G32" i="23"/>
  <c r="G36" i="23"/>
  <c r="G31" i="23"/>
  <c r="B39" i="20"/>
  <c r="B40" i="20"/>
  <c r="B42" i="20"/>
  <c r="D29" i="21"/>
  <c r="G15" i="25"/>
  <c r="F33" i="21"/>
  <c r="D30" i="21"/>
  <c r="G16" i="25"/>
  <c r="D32" i="21"/>
  <c r="G18" i="25"/>
  <c r="G26" i="25"/>
  <c r="D31" i="21"/>
  <c r="G17" i="25"/>
  <c r="H17" i="21"/>
  <c r="J33" i="25"/>
  <c r="J40" i="25"/>
  <c r="C13" i="20"/>
  <c r="C19" i="20"/>
  <c r="C26" i="20"/>
  <c r="C36" i="20"/>
  <c r="A10" i="21"/>
  <c r="I32" i="25"/>
  <c r="I34" i="25"/>
  <c r="G106" i="21"/>
  <c r="L16" i="26"/>
  <c r="L63" i="23"/>
  <c r="L66" i="23"/>
  <c r="L69" i="23"/>
  <c r="N72" i="23"/>
  <c r="I39" i="25"/>
  <c r="I41" i="25"/>
  <c r="H34" i="25"/>
  <c r="H39" i="25"/>
  <c r="H88" i="21"/>
  <c r="H105" i="21"/>
  <c r="H20" i="25"/>
  <c r="P72" i="23"/>
  <c r="Q72" i="23"/>
  <c r="D66" i="23"/>
  <c r="M63" i="23"/>
  <c r="M66" i="23"/>
  <c r="E66" i="23"/>
  <c r="G37" i="23"/>
  <c r="F63" i="23"/>
  <c r="I23" i="21"/>
  <c r="H36" i="23"/>
  <c r="H31" i="23"/>
  <c r="H30" i="23"/>
  <c r="H32" i="23"/>
  <c r="C45" i="20"/>
  <c r="C48" i="20"/>
  <c r="C47" i="20"/>
  <c r="C46" i="20"/>
  <c r="G20" i="25"/>
  <c r="G34" i="25"/>
  <c r="I25" i="25"/>
  <c r="I27" i="25"/>
  <c r="K15" i="26"/>
  <c r="E33" i="21"/>
  <c r="D26" i="20"/>
  <c r="C42" i="20"/>
  <c r="A10" i="20"/>
  <c r="M69" i="23"/>
  <c r="Q73" i="23"/>
  <c r="J32" i="25"/>
  <c r="J34" i="25"/>
  <c r="H106" i="21"/>
  <c r="M16" i="26"/>
  <c r="O72" i="23"/>
  <c r="M72" i="23"/>
  <c r="J71" i="25"/>
  <c r="K71" i="25"/>
  <c r="D33" i="20"/>
  <c r="D36" i="20"/>
  <c r="D42" i="20"/>
  <c r="H41" i="25"/>
  <c r="I88" i="21"/>
  <c r="I105" i="21"/>
  <c r="P73" i="23"/>
  <c r="F66" i="23"/>
  <c r="N63" i="23"/>
  <c r="N66" i="23"/>
  <c r="N69" i="23"/>
  <c r="H37" i="23"/>
  <c r="G63" i="23"/>
  <c r="H25" i="25"/>
  <c r="H27" i="25"/>
  <c r="J15" i="26"/>
  <c r="D33" i="21"/>
  <c r="G25" i="25"/>
  <c r="G27" i="25"/>
  <c r="C55" i="20"/>
  <c r="D48" i="20"/>
  <c r="D45" i="20"/>
  <c r="C49" i="20"/>
  <c r="D49" i="20"/>
  <c r="E49" i="20"/>
  <c r="F49" i="20"/>
  <c r="G49" i="20"/>
  <c r="H49" i="20"/>
  <c r="I49" i="20"/>
  <c r="C52" i="20"/>
  <c r="C53" i="20"/>
  <c r="D46" i="20"/>
  <c r="C54" i="20"/>
  <c r="D47" i="20"/>
  <c r="E26" i="20"/>
  <c r="N73" i="23"/>
  <c r="R73" i="23"/>
  <c r="O73" i="23"/>
  <c r="J39" i="25"/>
  <c r="J41" i="25"/>
  <c r="K32" i="25"/>
  <c r="K39" i="25"/>
  <c r="I106" i="21"/>
  <c r="N16" i="26"/>
  <c r="K33" i="25"/>
  <c r="K40" i="25"/>
  <c r="L40" i="25"/>
  <c r="G16" i="27"/>
  <c r="G20" i="27"/>
  <c r="G17" i="27"/>
  <c r="G14" i="27"/>
  <c r="G18" i="27"/>
  <c r="G13" i="27"/>
  <c r="G15" i="27"/>
  <c r="G21" i="27"/>
  <c r="O74" i="23"/>
  <c r="R74" i="23"/>
  <c r="P74" i="23"/>
  <c r="S74" i="23"/>
  <c r="Q74" i="23"/>
  <c r="O63" i="23"/>
  <c r="O66" i="23"/>
  <c r="G66" i="23"/>
  <c r="D52" i="20"/>
  <c r="L15" i="25"/>
  <c r="E45" i="20"/>
  <c r="E48" i="20"/>
  <c r="D55" i="20"/>
  <c r="L18" i="25"/>
  <c r="L26" i="25"/>
  <c r="D53" i="20"/>
  <c r="L16" i="25"/>
  <c r="E46" i="20"/>
  <c r="E47" i="20"/>
  <c r="D54" i="20"/>
  <c r="L17" i="25"/>
  <c r="C56" i="20"/>
  <c r="F26" i="20"/>
  <c r="L32" i="25"/>
  <c r="G22" i="27"/>
  <c r="K41" i="25"/>
  <c r="L41" i="25"/>
  <c r="L39" i="25"/>
  <c r="O69" i="23"/>
  <c r="P66" i="23"/>
  <c r="P69" i="23"/>
  <c r="L20" i="25"/>
  <c r="D56" i="20"/>
  <c r="D60" i="27"/>
  <c r="F47" i="20"/>
  <c r="F48" i="20"/>
  <c r="F46" i="20"/>
  <c r="F45" i="20"/>
  <c r="G26" i="20"/>
  <c r="T76" i="23"/>
  <c r="U76" i="23"/>
  <c r="U77" i="23"/>
  <c r="U79" i="23"/>
  <c r="Q76" i="23"/>
  <c r="R76" i="23"/>
  <c r="S76" i="23"/>
  <c r="T75" i="23"/>
  <c r="P75" i="23"/>
  <c r="R75" i="23"/>
  <c r="R77" i="23"/>
  <c r="R79" i="23"/>
  <c r="S75" i="23"/>
  <c r="S77" i="23"/>
  <c r="S79" i="23"/>
  <c r="Q75" i="23"/>
  <c r="N15" i="26"/>
  <c r="L25" i="25"/>
  <c r="L27" i="25"/>
  <c r="K34" i="25"/>
  <c r="L33" i="25"/>
  <c r="L34" i="25"/>
  <c r="G45" i="20"/>
  <c r="G48" i="20"/>
  <c r="G46" i="20"/>
  <c r="G47" i="20"/>
  <c r="H26" i="20"/>
  <c r="K16" i="22"/>
  <c r="J83" i="25"/>
  <c r="J90" i="25"/>
  <c r="H16" i="22"/>
  <c r="G83" i="25"/>
  <c r="G90" i="25"/>
  <c r="I16" i="22"/>
  <c r="H83" i="25"/>
  <c r="H90" i="25"/>
  <c r="T77" i="23"/>
  <c r="T79" i="23"/>
  <c r="Q77" i="23"/>
  <c r="H47" i="20"/>
  <c r="H46" i="20"/>
  <c r="H48" i="20"/>
  <c r="H45" i="20"/>
  <c r="I26" i="20"/>
  <c r="J16" i="22"/>
  <c r="I83" i="25"/>
  <c r="I90" i="25"/>
  <c r="V77" i="23"/>
  <c r="Q79" i="23"/>
  <c r="I45" i="20"/>
  <c r="I46" i="20"/>
  <c r="I48" i="20"/>
  <c r="I47" i="20"/>
  <c r="V79" i="23"/>
  <c r="F83" i="25"/>
  <c r="G16" i="22"/>
  <c r="K83" i="25"/>
  <c r="F90" i="25"/>
  <c r="K90" i="25"/>
  <c r="E68" i="21"/>
  <c r="E70" i="21"/>
  <c r="F31" i="20"/>
  <c r="D68" i="21"/>
  <c r="D70" i="21"/>
  <c r="E31" i="20"/>
  <c r="F68" i="21"/>
  <c r="F70" i="21"/>
  <c r="G31" i="20"/>
  <c r="G68" i="21"/>
  <c r="G70" i="21"/>
  <c r="H31" i="20"/>
  <c r="E89" i="23"/>
  <c r="H31" i="27"/>
  <c r="I84" i="25"/>
  <c r="H33" i="20"/>
  <c r="H36" i="20"/>
  <c r="H42" i="20"/>
  <c r="Q19" i="25"/>
  <c r="D89" i="23"/>
  <c r="H84" i="25"/>
  <c r="P19" i="25"/>
  <c r="G33" i="20"/>
  <c r="G36" i="20"/>
  <c r="G42" i="20"/>
  <c r="G31" i="27"/>
  <c r="B89" i="23"/>
  <c r="E31" i="27"/>
  <c r="N19" i="25"/>
  <c r="F84" i="25"/>
  <c r="E33" i="20"/>
  <c r="E36" i="20"/>
  <c r="E42" i="20"/>
  <c r="H68" i="21"/>
  <c r="H70" i="21"/>
  <c r="I31" i="20"/>
  <c r="C89" i="23"/>
  <c r="F31" i="27"/>
  <c r="O19" i="25"/>
  <c r="G84" i="25"/>
  <c r="F33" i="20"/>
  <c r="F36" i="20"/>
  <c r="F42" i="20"/>
  <c r="C85" i="23"/>
  <c r="F52" i="20"/>
  <c r="I15" i="27"/>
  <c r="I20" i="27"/>
  <c r="F54" i="20"/>
  <c r="N17" i="25"/>
  <c r="I14" i="27"/>
  <c r="I13" i="27"/>
  <c r="I18" i="27"/>
  <c r="F55" i="20"/>
  <c r="N18" i="25"/>
  <c r="I16" i="27"/>
  <c r="F53" i="20"/>
  <c r="N16" i="25"/>
  <c r="H15" i="22"/>
  <c r="H25" i="22"/>
  <c r="I17" i="27"/>
  <c r="I21" i="27"/>
  <c r="E85" i="23"/>
  <c r="J15" i="22"/>
  <c r="J25" i="22"/>
  <c r="K15" i="27"/>
  <c r="K14" i="27"/>
  <c r="K20" i="27"/>
  <c r="K18" i="27"/>
  <c r="H52" i="20"/>
  <c r="H54" i="20"/>
  <c r="P17" i="25"/>
  <c r="K17" i="27"/>
  <c r="K16" i="27"/>
  <c r="H55" i="20"/>
  <c r="P18" i="25"/>
  <c r="K13" i="27"/>
  <c r="K21" i="27"/>
  <c r="H53" i="20"/>
  <c r="P16" i="25"/>
  <c r="G37" i="27"/>
  <c r="F89" i="23"/>
  <c r="J84" i="25"/>
  <c r="K84" i="25"/>
  <c r="I31" i="27"/>
  <c r="I33" i="20"/>
  <c r="I36" i="20"/>
  <c r="I42" i="20"/>
  <c r="E37" i="27"/>
  <c r="D85" i="23"/>
  <c r="J17" i="27"/>
  <c r="J13" i="27"/>
  <c r="G55" i="20"/>
  <c r="O18" i="25"/>
  <c r="G54" i="20"/>
  <c r="O17" i="25"/>
  <c r="J14" i="27"/>
  <c r="J16" i="27"/>
  <c r="J18" i="27"/>
  <c r="J20" i="27"/>
  <c r="G52" i="20"/>
  <c r="J15" i="27"/>
  <c r="G53" i="20"/>
  <c r="O16" i="25"/>
  <c r="I15" i="22"/>
  <c r="I25" i="22"/>
  <c r="J21" i="27"/>
  <c r="H37" i="27"/>
  <c r="F37" i="27"/>
  <c r="B85" i="23"/>
  <c r="H14" i="27"/>
  <c r="H13" i="27"/>
  <c r="E52" i="20"/>
  <c r="H16" i="27"/>
  <c r="H20" i="27"/>
  <c r="H18" i="27"/>
  <c r="E55" i="20"/>
  <c r="M18" i="25"/>
  <c r="H15" i="27"/>
  <c r="G15" i="22"/>
  <c r="G25" i="22"/>
  <c r="H21" i="27"/>
  <c r="E53" i="20"/>
  <c r="M16" i="25"/>
  <c r="H17" i="27"/>
  <c r="E54" i="20"/>
  <c r="M17" i="25"/>
  <c r="G89" i="23"/>
  <c r="H65" i="27"/>
  <c r="G65" i="27"/>
  <c r="F65" i="27"/>
  <c r="B92" i="23"/>
  <c r="H56" i="20"/>
  <c r="P15" i="25"/>
  <c r="P20" i="25"/>
  <c r="I22" i="27"/>
  <c r="H22" i="27"/>
  <c r="G56" i="20"/>
  <c r="O15" i="25"/>
  <c r="O20" i="25"/>
  <c r="J22" i="27"/>
  <c r="E65" i="27"/>
  <c r="M15" i="25"/>
  <c r="M20" i="25"/>
  <c r="E56" i="20"/>
  <c r="F85" i="23"/>
  <c r="L20" i="27"/>
  <c r="K15" i="22"/>
  <c r="K25" i="22"/>
  <c r="L14" i="27"/>
  <c r="L15" i="27"/>
  <c r="L18" i="27"/>
  <c r="L13" i="27"/>
  <c r="L16" i="27"/>
  <c r="L21" i="27"/>
  <c r="I53" i="20"/>
  <c r="L17" i="27"/>
  <c r="I54" i="20"/>
  <c r="I52" i="20"/>
  <c r="I55" i="20"/>
  <c r="N15" i="25"/>
  <c r="N20" i="25"/>
  <c r="F56" i="20"/>
  <c r="D92" i="23"/>
  <c r="I37" i="27"/>
  <c r="K22" i="27"/>
  <c r="E92" i="23"/>
  <c r="C92" i="23"/>
  <c r="E60" i="27"/>
  <c r="H60" i="27"/>
  <c r="G60" i="27"/>
  <c r="F60" i="27"/>
  <c r="I65" i="27"/>
  <c r="I56" i="20"/>
  <c r="I16" i="23"/>
  <c r="Q15" i="25"/>
  <c r="H76" i="25"/>
  <c r="H81" i="25"/>
  <c r="H85" i="25"/>
  <c r="Q15" i="26"/>
  <c r="I18" i="23"/>
  <c r="I32" i="23"/>
  <c r="Q17" i="25"/>
  <c r="F92" i="23"/>
  <c r="P15" i="26"/>
  <c r="G76" i="25"/>
  <c r="G81" i="25"/>
  <c r="G85" i="25"/>
  <c r="L22" i="27"/>
  <c r="G85" i="23"/>
  <c r="G92" i="23"/>
  <c r="Q18" i="25"/>
  <c r="I22" i="23"/>
  <c r="I36" i="23"/>
  <c r="Q16" i="25"/>
  <c r="I17" i="23"/>
  <c r="I31" i="23"/>
  <c r="F76" i="25"/>
  <c r="O15" i="26"/>
  <c r="H66" i="27"/>
  <c r="R15" i="26"/>
  <c r="I76" i="25"/>
  <c r="I81" i="25"/>
  <c r="I85" i="25"/>
  <c r="I60" i="27"/>
  <c r="F66" i="27"/>
  <c r="G66" i="27"/>
  <c r="E66" i="27"/>
  <c r="F81" i="25"/>
  <c r="Q20" i="25"/>
  <c r="I23" i="23"/>
  <c r="I30" i="23"/>
  <c r="I37" i="23"/>
  <c r="I66" i="27"/>
  <c r="S15" i="26"/>
  <c r="J76" i="25"/>
  <c r="F85" i="25"/>
  <c r="J81" i="25"/>
  <c r="K76" i="25"/>
  <c r="J85" i="25"/>
  <c r="K85" i="25"/>
  <c r="K81" i="25"/>
</calcChain>
</file>

<file path=xl/sharedStrings.xml><?xml version="1.0" encoding="utf-8"?>
<sst xmlns="http://schemas.openxmlformats.org/spreadsheetml/2006/main" count="380" uniqueCount="231">
  <si>
    <t>Unit</t>
  </si>
  <si>
    <t>$ nominal</t>
  </si>
  <si>
    <t>Total</t>
  </si>
  <si>
    <t>Inflation Value</t>
  </si>
  <si>
    <t>Percent</t>
  </si>
  <si>
    <t>CPI</t>
  </si>
  <si>
    <t>Source: Regulatory Accounts</t>
  </si>
  <si>
    <t>Source: ABS</t>
  </si>
  <si>
    <t>Historic opex in $2017 real</t>
  </si>
  <si>
    <t>Efficient Base Year</t>
  </si>
  <si>
    <t>Total Operating Expenditure</t>
  </si>
  <si>
    <t>real $2017</t>
  </si>
  <si>
    <t>Less one off costs</t>
  </si>
  <si>
    <t>Efficient Base Year Less one off costs</t>
  </si>
  <si>
    <t>Total one off costs</t>
  </si>
  <si>
    <t>Total items forecast separately</t>
  </si>
  <si>
    <t>Starting Base Year Opex</t>
  </si>
  <si>
    <t>Separate Forecasts</t>
  </si>
  <si>
    <t>Total of Separate Forecasts</t>
  </si>
  <si>
    <t>Baseline forecast Opex</t>
  </si>
  <si>
    <t>Step Changes</t>
  </si>
  <si>
    <t>Total Step changes</t>
  </si>
  <si>
    <t>Total Opex Forecast</t>
  </si>
  <si>
    <t>Year</t>
  </si>
  <si>
    <t>Opex</t>
  </si>
  <si>
    <t>Debt raising costs</t>
  </si>
  <si>
    <t>Inflation Index (base 2017)</t>
  </si>
  <si>
    <t>Forecast inputs</t>
  </si>
  <si>
    <t>Yes</t>
  </si>
  <si>
    <t>Other Corporate Overheads</t>
  </si>
  <si>
    <t>Equity Raising Cost</t>
  </si>
  <si>
    <t>Debt Raising Costs</t>
  </si>
  <si>
    <t>Other AO &amp; M</t>
  </si>
  <si>
    <t>Allowances</t>
  </si>
  <si>
    <t>Augmentation Expansion Opex</t>
  </si>
  <si>
    <t>Adjusted forecast opex ($million, 2015-16)</t>
  </si>
  <si>
    <t xml:space="preserve">Less excluded costs </t>
  </si>
  <si>
    <t>Forecast opex ($million, 2017)</t>
  </si>
  <si>
    <t>7.5.2 - Proposed forecast opex for the Benefit Sharing Allowance for the forthcoming regulatory control period</t>
  </si>
  <si>
    <t xml:space="preserve"> </t>
  </si>
  <si>
    <t>PTRM inputs ($m, Dec 2017)</t>
  </si>
  <si>
    <t>$m, real Dec 2017</t>
  </si>
  <si>
    <t>Total Carryover Amount ($million, 2015-16)</t>
  </si>
  <si>
    <t xml:space="preserve">Total </t>
  </si>
  <si>
    <t>$m, real Dec 2011</t>
  </si>
  <si>
    <t>Carryover</t>
  </si>
  <si>
    <t>Incremental gain $m, Dec 2011</t>
  </si>
  <si>
    <t>Actual opex for Benefit Sharing Allowance purposes</t>
  </si>
  <si>
    <t>Movements in provisions</t>
  </si>
  <si>
    <t>Total opex (actual)</t>
  </si>
  <si>
    <t>$m, Dec 2011</t>
  </si>
  <si>
    <t>7.5.1.2 - Actual and estimated opex applicable to Benefit Sharing Allowance</t>
  </si>
  <si>
    <t>Forecast opex for Benefit Sharing Allowance purposes</t>
  </si>
  <si>
    <t xml:space="preserve">Costs associated with extensions and expansions (clause 8.2(f)(iii)) </t>
  </si>
  <si>
    <t>Approved cost pass through events (clause 8.2(f)(ii))</t>
  </si>
  <si>
    <t>Total opex allowance</t>
  </si>
  <si>
    <t>7.5.1.1 - Opex allowance applicable to Benefit Sharing Allowance (Benefit Sharing Allowance target)</t>
  </si>
  <si>
    <t>CPI used in opex forecasting model for 2013-17</t>
  </si>
  <si>
    <t>Estimate</t>
  </si>
  <si>
    <t>ABS CPI index - December (rebased index in March 2012)</t>
  </si>
  <si>
    <t>Inflation rate (per cent)</t>
  </si>
  <si>
    <t>ABS CPI index - December (old base)</t>
  </si>
  <si>
    <t>Actual</t>
  </si>
  <si>
    <t>Actual and estimated inflation</t>
  </si>
  <si>
    <t>APA GasNet is required to populate all input cells (yellow) in the tables presented below.
Efficiency gains are calculated using the formulae below.  Adjusted target and actual amounts are used to calculate the carry-over amounts.
For the first application of the scheme, the efficiency carry forward amount for the first year of the regulatory period is expressed mathematically as: 
                 E1 = F1 – A1 where A1 is the actual operating cost for year 1 and F1 is the regulatory target operating cost for that year. 
For savings that arose in the second to fifth year of the regulatory period, the efficiency carry forward amount is calculated as:
                 Et = (Ft – At) – (Ft-1 – At-1), where: Et is the efficiency benefit/loss in year t;
                 At, At-1 is the actual operating cost for the years t and t-1 respectively; and
                 Ft, Ft-1 is the forecast operating cost for the years t and t-1 respectively 
Because the revenue determination will  occur prior to the completion of the current period, opex for the final year will be estimated as follows:
                 A5 = F5 – (F4 – A4)</t>
  </si>
  <si>
    <t>Instructions</t>
  </si>
  <si>
    <t>EBSS</t>
  </si>
  <si>
    <t>Allocation to categories</t>
  </si>
  <si>
    <t>Allocation in dollars</t>
  </si>
  <si>
    <t>real $2016</t>
  </si>
  <si>
    <t>Growth Opex</t>
  </si>
  <si>
    <t>Linepack</t>
  </si>
  <si>
    <t>Spares</t>
  </si>
  <si>
    <t>real 2017 m</t>
  </si>
  <si>
    <t>Operating expenditure less corporate overheads</t>
  </si>
  <si>
    <t>Total operating expenditure</t>
  </si>
  <si>
    <t>Corporate Overheads</t>
  </si>
  <si>
    <t>1 Jan to 30 June (Actuals)</t>
  </si>
  <si>
    <t>1 July to 31 December (Budget)</t>
  </si>
  <si>
    <t>Calculation of VTS budget overheads</t>
  </si>
  <si>
    <t>Budgeted Corporate overheads Victoria (1 Jul - 31 Dec)</t>
  </si>
  <si>
    <t>Opex allocator to VTS</t>
  </si>
  <si>
    <t>percent</t>
  </si>
  <si>
    <t>Total Corporate Allocation to VTS</t>
  </si>
  <si>
    <t>Actuals FY16</t>
  </si>
  <si>
    <t>Actual (1 Jan to 30 June)</t>
  </si>
  <si>
    <t>Calculation of VTS actual overheads</t>
  </si>
  <si>
    <t>Step changes</t>
  </si>
  <si>
    <t>Docklands Rental</t>
  </si>
  <si>
    <t>Docklands lease</t>
  </si>
  <si>
    <t>Operating Expenditure (real 2017 $m)</t>
  </si>
  <si>
    <t>Docklands Relocation</t>
  </si>
  <si>
    <t>Proportion attributable to operation of VTS</t>
  </si>
  <si>
    <t>VTS proportion of lease</t>
  </si>
  <si>
    <t xml:space="preserve"> $ 2016</t>
  </si>
  <si>
    <t>Opex from Capex Augmentation (from business cases)</t>
  </si>
  <si>
    <t>AER's Final Decision</t>
  </si>
  <si>
    <t>Difference</t>
  </si>
  <si>
    <t>Historic Opex from Regulatory Accounts</t>
  </si>
  <si>
    <t>Actuals vs AER Forecast</t>
  </si>
  <si>
    <t>$ 2012</t>
  </si>
  <si>
    <t>Opex for VTS less debt raising cost</t>
  </si>
  <si>
    <t>Corporate overheads</t>
  </si>
  <si>
    <t>Historic Operating Expenditure</t>
  </si>
  <si>
    <t>Corporate Cost Allocation for 2016</t>
  </si>
  <si>
    <t>Networks</t>
  </si>
  <si>
    <t>Transmission</t>
  </si>
  <si>
    <t>Generation</t>
  </si>
  <si>
    <t>Allgas</t>
  </si>
  <si>
    <t>Wallumbilla Gas Pipelines</t>
  </si>
  <si>
    <t>Australian Gas Network</t>
  </si>
  <si>
    <t>Commercial Development</t>
  </si>
  <si>
    <t>Residual</t>
  </si>
  <si>
    <t>Actuals (Jul to Dec 15)</t>
  </si>
  <si>
    <t>Actual (Jul to Jun 16)</t>
  </si>
  <si>
    <t>Forecast (Jul to Dec 16)</t>
  </si>
  <si>
    <t>Estimate Calendar year 16</t>
  </si>
  <si>
    <t>Total Allowance</t>
  </si>
  <si>
    <t>nominal $</t>
  </si>
  <si>
    <t>proportion</t>
  </si>
  <si>
    <t>Forecast Capex</t>
  </si>
  <si>
    <t>Asset Value</t>
  </si>
  <si>
    <t>Total operating expenditure less debt raising costs</t>
  </si>
  <si>
    <t>Capex related operating expenditure (real 2017 $'000)</t>
  </si>
  <si>
    <t>Total forecast operating expenditure excluding Debt Raising Costs (real 2017 $m)</t>
  </si>
  <si>
    <t>Selection</t>
  </si>
  <si>
    <t>No</t>
  </si>
  <si>
    <t>Inflation Index (base 2012)</t>
  </si>
  <si>
    <t>EBSS Opex (real $2012)</t>
  </si>
  <si>
    <t>Operating expenditure less corporate overheads and debt raising costs (real 2017 $m)</t>
  </si>
  <si>
    <t>nominal $m</t>
  </si>
  <si>
    <t>Insurance</t>
  </si>
  <si>
    <t>Corporate Overheads  (nominal $m)</t>
  </si>
  <si>
    <t>Insurance (nominal $000)</t>
  </si>
  <si>
    <t>APA VTS actual expenditure</t>
  </si>
  <si>
    <t>AER forecast</t>
  </si>
  <si>
    <t>3.1.1 - OPERATING EXPENDITURE</t>
  </si>
  <si>
    <t>EXPENDITURE
Actual ($0's)</t>
  </si>
  <si>
    <t>1 July to 31 December 2013</t>
  </si>
  <si>
    <t>Labour</t>
  </si>
  <si>
    <t>Materials</t>
  </si>
  <si>
    <t>Outside services</t>
  </si>
  <si>
    <t>Other operating costs</t>
  </si>
  <si>
    <t>Overheads/corporate costs</t>
  </si>
  <si>
    <t>Equity raising costs</t>
  </si>
  <si>
    <t>Insurance costs</t>
  </si>
  <si>
    <t>Other overheads</t>
  </si>
  <si>
    <t>Total operating &amp; maintenance expenditure - Pipeline Service</t>
  </si>
  <si>
    <t>3.1.2 - CATEGORY SPECIFIC FORECASTS</t>
  </si>
  <si>
    <t>Next access arrangement period</t>
  </si>
  <si>
    <t>Forecast</t>
  </si>
  <si>
    <t>Total category specific forecasts</t>
  </si>
  <si>
    <t>3.1.3 - STEP CHANGES</t>
  </si>
  <si>
    <t>Total step changes</t>
  </si>
  <si>
    <t>3.1.4 - FORECAST OPEX SUMMARY</t>
  </si>
  <si>
    <t>Current access arrangement period</t>
  </si>
  <si>
    <t>Estimated final year opex</t>
  </si>
  <si>
    <t>Real price growth</t>
  </si>
  <si>
    <t>Output growth</t>
  </si>
  <si>
    <t>Productivity growth</t>
  </si>
  <si>
    <t>Category specific forecasts</t>
  </si>
  <si>
    <t>Total opex</t>
  </si>
  <si>
    <t>AER's Revised AAI following appeal</t>
  </si>
  <si>
    <t>$m nominal</t>
  </si>
  <si>
    <t>2013*</t>
  </si>
  <si>
    <t>Controllable opex</t>
  </si>
  <si>
    <t>Reset costs</t>
  </si>
  <si>
    <t>Other allowances</t>
  </si>
  <si>
    <t>Real 2012 $m</t>
  </si>
  <si>
    <t>AER</t>
  </si>
  <si>
    <t>AER baseline to real $2012</t>
  </si>
  <si>
    <t>Total operating expenditure vs AER forecast (nominal $m)</t>
  </si>
  <si>
    <t>Overheads</t>
  </si>
  <si>
    <t>Revenue</t>
  </si>
  <si>
    <t>Revenue for VTS</t>
  </si>
  <si>
    <t>Revenue for Residual Allocator</t>
  </si>
  <si>
    <t>Revenue for Transmission Allocator</t>
  </si>
  <si>
    <t>Revenue for VTS 1 Jan to 31 Dec</t>
  </si>
  <si>
    <t>Transmission Allocator Revenue</t>
  </si>
  <si>
    <t>Residual Allocator Revenue</t>
  </si>
  <si>
    <t>Revenue for 1 Jan to 31 Dec</t>
  </si>
  <si>
    <t>Regulated VTS</t>
  </si>
  <si>
    <t>Percentage for AA submission</t>
  </si>
  <si>
    <t>Equity Raising costs</t>
  </si>
  <si>
    <t>Controllable operating expenditure</t>
  </si>
  <si>
    <t>EBSS adjustments</t>
  </si>
  <si>
    <t>RIN calculation</t>
  </si>
  <si>
    <t>2016 operating expense</t>
  </si>
  <si>
    <t>Proportions</t>
  </si>
  <si>
    <t>Augmentation and Expansion related opex</t>
  </si>
  <si>
    <t>Access Arrangement Costs</t>
  </si>
  <si>
    <t>Less base year items forecast separately</t>
  </si>
  <si>
    <t>Access Arrangement costs</t>
  </si>
  <si>
    <t>Debt Raising costs from PTRM</t>
  </si>
  <si>
    <t>`</t>
  </si>
  <si>
    <t>Access arrangement (real 2017 $'000)</t>
  </si>
  <si>
    <t>Access arrangement</t>
  </si>
  <si>
    <t>Docklands lease (real 2017 $'000)</t>
  </si>
  <si>
    <t>2016 Coporate Overheads</t>
  </si>
  <si>
    <t>Corporate overheads allocated to VTS</t>
  </si>
  <si>
    <t>real $2012</t>
  </si>
  <si>
    <t>Total operating expenditure actual and forecast</t>
  </si>
  <si>
    <t>AER Forecast</t>
  </si>
  <si>
    <t>AER Total Operating Expenditure</t>
  </si>
  <si>
    <t>Real 2017 $m</t>
  </si>
  <si>
    <t>Operating Expenditure (actual)</t>
  </si>
  <si>
    <t>Operating Expenditure (forecast)</t>
  </si>
  <si>
    <t>Total operating expenditure including allowances (real 2017 $m)</t>
  </si>
  <si>
    <t>Efficiency carryonver</t>
  </si>
  <si>
    <t>EBSS Efficiency Carryover (real 2017 $m)</t>
  </si>
  <si>
    <t>DRC</t>
  </si>
  <si>
    <t>Opening RAB Value</t>
  </si>
  <si>
    <t>Warragul</t>
  </si>
  <si>
    <t>Anglesea</t>
  </si>
  <si>
    <t>VNIE</t>
  </si>
  <si>
    <t>WORM Easement</t>
  </si>
  <si>
    <t>Cumulative index (2017=1)</t>
  </si>
  <si>
    <t>$m, real December 2017</t>
  </si>
  <si>
    <t>7.5.1 - The carryover amounts that arise from applying the Benefit Sharing Allowance during the 2018 to 2022 regulatory control period</t>
  </si>
  <si>
    <t>2018</t>
  </si>
  <si>
    <t>$m, real 2012</t>
  </si>
  <si>
    <t>Step out and scope changes</t>
  </si>
  <si>
    <t>Benefit sharing allowance</t>
  </si>
  <si>
    <t xml:space="preserve">Asset operations and management </t>
  </si>
  <si>
    <t>Regulatory (Asset Licences)</t>
  </si>
  <si>
    <t xml:space="preserve">Insurance </t>
  </si>
  <si>
    <t xml:space="preserve">Corporate overheads costs </t>
  </si>
  <si>
    <t>opex by category</t>
  </si>
  <si>
    <t>EXPENDITURE
Forecast ($0's real, December 2017)</t>
  </si>
  <si>
    <t>$0's, real December 2017</t>
  </si>
  <si>
    <t>Base Opex</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</si>
</sst>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0000"/>
    <numFmt numFmtId="166" formatCode="_-* #,##0.0_-;\-* #,##0.0_-;_-* &quot;-&quot;??_-;_-@_-"/>
    <numFmt numFmtId="167" formatCode="_-* #,##0_-;\-* #,##0_-;_-* &quot;-&quot;??_-;_-@_-"/>
    <numFmt numFmtId="168" formatCode="0.0"/>
    <numFmt numFmtId="169" formatCode="_-&quot;$&quot;* #,##0.0_-;\-&quot;$&quot;* #,##0.0_-;_-&quot;$&quot;* &quot;-&quot;??_-;_-@_-"/>
    <numFmt numFmtId="170" formatCode="_-* #,##0.0_-;\-* #,##0.0_-;_-* &quot;-&quot;_-;_-@_-"/>
    <numFmt numFmtId="171" formatCode="_(* #,##0_);_(* \(#,##0\);_(* &quot;-&quot;_);_(@_)"/>
    <numFmt numFmtId="172" formatCode="_(* #,##0.00_);_(* \(#,##0.00\);_(* &quot;-&quot;??_);_(@_)"/>
    <numFmt numFmtId="173" formatCode="_([$€-2]* #,##0.00_);_([$€-2]* \(#,##0.00\);_([$€-2]* &quot;-&quot;??_)"/>
    <numFmt numFmtId="174" formatCode="_-* #,##0.00_-;[Red]\(#,##0.00\)_-;_-* &quot;-&quot;??_-;_-@_-"/>
    <numFmt numFmtId="175" formatCode="mm/dd/yy"/>
    <numFmt numFmtId="176" formatCode="0_);[Red]\(0\)"/>
    <numFmt numFmtId="177" formatCode="_(* #,##0.0_);_(* \(#,##0.0\);_(* &quot;-&quot;?_);_(@_)"/>
    <numFmt numFmtId="178" formatCode="_(* #,##0_);_(* \(#,##0\);_(* &quot;-&quot;?_);_(@_)"/>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s>
  <fonts count="80">
    <font>
      <sz val="14"/>
      <color theme="1"/>
      <name val="Century Gothic"/>
      <family val="2"/>
    </font>
    <font>
      <sz val="10"/>
      <color theme="1"/>
      <name val="Arial"/>
      <family val="2"/>
    </font>
    <font>
      <b/>
      <sz val="10"/>
      <color theme="0"/>
      <name val="Arial"/>
      <family val="2"/>
    </font>
    <font>
      <sz val="10"/>
      <color theme="1"/>
      <name val="Century Gothic"/>
      <family val="2"/>
    </font>
    <font>
      <sz val="10"/>
      <color rgb="FF006100"/>
      <name val="Arial"/>
      <family val="2"/>
    </font>
    <font>
      <sz val="10"/>
      <color rgb="FF9C0006"/>
      <name val="Arial"/>
      <family val="2"/>
    </font>
    <font>
      <sz val="10"/>
      <color rgb="FF9C6500"/>
      <name val="Arial"/>
      <family val="2"/>
    </font>
    <font>
      <i/>
      <sz val="10"/>
      <color rgb="FF7F7F7F"/>
      <name val="Arial"/>
      <family val="2"/>
    </font>
    <font>
      <sz val="10"/>
      <color theme="0"/>
      <name val="Arial"/>
      <family val="2"/>
    </font>
    <font>
      <sz val="9"/>
      <color theme="0"/>
      <name val="Century Gothic"/>
      <family val="2"/>
    </font>
    <font>
      <sz val="10"/>
      <color rgb="FFFF0000"/>
      <name val="Arial"/>
      <family val="2"/>
    </font>
    <font>
      <b/>
      <sz val="10"/>
      <color theme="1"/>
      <name val="Arial"/>
      <family val="2"/>
    </font>
    <font>
      <sz val="10"/>
      <color rgb="FFFA7D00"/>
      <name val="Arial"/>
      <family val="2"/>
    </font>
    <font>
      <b/>
      <sz val="11"/>
      <color rgb="FFBEAFA8"/>
      <name val="Century Gothic"/>
      <family val="2"/>
    </font>
    <font>
      <sz val="14"/>
      <name val="Century Gothic"/>
      <family val="2"/>
    </font>
    <font>
      <b/>
      <sz val="14"/>
      <color rgb="FF25282A"/>
      <name val="Century Gothic"/>
      <family val="2"/>
    </font>
    <font>
      <sz val="14"/>
      <color rgb="FF25282A"/>
      <name val="Century Gothic"/>
      <family val="2"/>
    </font>
    <font>
      <sz val="8"/>
      <name val="Century Gothic"/>
      <family val="2"/>
    </font>
    <font>
      <b/>
      <sz val="14"/>
      <color rgb="FFC8102E"/>
      <name val="Century Gothic"/>
      <family val="2"/>
    </font>
    <font>
      <b/>
      <sz val="14"/>
      <color rgb="FFFFFFFF"/>
      <name val="Arial Narrow"/>
      <family val="2"/>
    </font>
    <font>
      <sz val="14"/>
      <color theme="1"/>
      <name val="Century Gothic"/>
      <family val="2"/>
    </font>
    <font>
      <b/>
      <sz val="18"/>
      <color rgb="FFC8102E"/>
      <name val="Century Gothic"/>
      <family val="2"/>
    </font>
    <font>
      <sz val="14"/>
      <color theme="0"/>
      <name val="Century Gothic"/>
      <family val="2"/>
    </font>
    <font>
      <b/>
      <sz val="14"/>
      <color theme="0"/>
      <name val="Arial"/>
      <family val="2"/>
    </font>
    <font>
      <sz val="10"/>
      <name val="Arial"/>
      <family val="2"/>
    </font>
    <font>
      <b/>
      <sz val="10"/>
      <name val="Arial"/>
      <family val="2"/>
    </font>
    <font>
      <sz val="11"/>
      <color theme="1"/>
      <name val="Calibri"/>
      <family val="2"/>
      <scheme val="minor"/>
    </font>
    <font>
      <b/>
      <sz val="12"/>
      <name val="Arial"/>
      <family val="2"/>
    </font>
    <font>
      <sz val="8"/>
      <name val="Arial"/>
      <family val="2"/>
    </font>
    <font>
      <b/>
      <sz val="9"/>
      <name val="Arial"/>
      <family val="2"/>
    </font>
    <font>
      <b/>
      <sz val="8"/>
      <name val="Arial"/>
      <family val="2"/>
    </font>
    <font>
      <b/>
      <sz val="16"/>
      <color indexed="9"/>
      <name val="Arial"/>
      <family val="2"/>
    </font>
    <font>
      <b/>
      <sz val="12"/>
      <color theme="0"/>
      <name val="Calibri"/>
      <family val="2"/>
      <scheme val="minor"/>
    </font>
    <font>
      <sz val="10"/>
      <name val="Helv"/>
      <charset val="204"/>
    </font>
    <font>
      <sz val="14"/>
      <name val="System"/>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name val="Century Gothic"/>
      <family val="2"/>
    </font>
  </fonts>
  <fills count="7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C4483"/>
        <bgColor indexed="64"/>
      </patternFill>
    </fill>
    <fill>
      <patternFill patternType="solid">
        <fgColor rgb="FF333333"/>
        <bgColor indexed="64"/>
      </patternFill>
    </fill>
    <fill>
      <patternFill patternType="solid">
        <fgColor rgb="FFF9B5C0"/>
        <bgColor indexed="64"/>
      </patternFill>
    </fill>
    <fill>
      <patternFill patternType="solid">
        <fgColor rgb="FFABB1B5"/>
        <bgColor indexed="64"/>
      </patternFill>
    </fill>
    <fill>
      <patternFill patternType="solid">
        <fgColor rgb="FFD3F1E2"/>
        <bgColor indexed="64"/>
      </patternFill>
    </fill>
    <fill>
      <patternFill patternType="solid">
        <fgColor rgb="FFC8102E"/>
        <bgColor indexed="64"/>
      </patternFill>
    </fill>
    <fill>
      <patternFill patternType="solid">
        <fgColor theme="1"/>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4" tint="-0.499984740745262"/>
        <bgColor indexed="64"/>
      </patternFill>
    </fill>
    <fill>
      <patternFill patternType="solid">
        <fgColor indexed="44"/>
        <bgColor indexed="64"/>
      </patternFill>
    </fill>
    <fill>
      <patternFill patternType="solid">
        <fgColor theme="0" tint="-0.499984740745262"/>
        <bgColor indexed="64"/>
      </patternFill>
    </fill>
    <fill>
      <patternFill patternType="solid">
        <fgColor indexed="8"/>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mediumGray">
        <fgColor indexed="22"/>
      </patternFill>
    </fill>
    <fill>
      <patternFill patternType="solid">
        <fgColor rgb="FFF68E6E"/>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style="medium">
        <color rgb="FF000000"/>
      </top>
      <bottom style="medium">
        <color rgb="FF000000"/>
      </bottom>
      <diagonal/>
    </border>
    <border>
      <left/>
      <right/>
      <top/>
      <bottom style="medium">
        <color rgb="FF000000"/>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s>
  <cellStyleXfs count="316">
    <xf numFmtId="0" fontId="0" fillId="2"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35" borderId="1" applyNumberFormat="0" applyAlignment="0" applyProtection="0"/>
    <xf numFmtId="41" fontId="1" fillId="0" borderId="0" applyFont="0" applyFill="0" applyBorder="0" applyAlignment="0" applyProtection="0"/>
    <xf numFmtId="42" fontId="1" fillId="0" borderId="0" applyFont="0" applyFill="0" applyBorder="0" applyAlignment="0" applyProtection="0"/>
    <xf numFmtId="0" fontId="21" fillId="0" borderId="0" applyNumberFormat="0" applyFill="0" applyBorder="0" applyAlignment="0" applyProtection="0"/>
    <xf numFmtId="0" fontId="18" fillId="2" borderId="0" applyNumberFormat="0" applyAlignment="0" applyProtection="0"/>
    <xf numFmtId="0" fontId="15" fillId="2" borderId="0" applyNumberFormat="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14" fillId="34" borderId="2" applyNumberFormat="0" applyAlignment="0" applyProtection="0"/>
    <xf numFmtId="0" fontId="9" fillId="31" borderId="3" applyNumberFormat="0" applyAlignment="0" applyProtection="0"/>
    <xf numFmtId="0" fontId="14" fillId="0" borderId="2" applyNumberFormat="0" applyAlignment="0" applyProtection="0"/>
    <xf numFmtId="0" fontId="2" fillId="6" borderId="4" applyNumberFormat="0" applyAlignment="0" applyProtection="0"/>
    <xf numFmtId="0" fontId="7" fillId="0" borderId="0" applyNumberFormat="0" applyFill="0" applyBorder="0" applyAlignment="0" applyProtection="0"/>
    <xf numFmtId="0" fontId="8"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8" fillId="30" borderId="0" applyNumberFormat="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9" fillId="32" borderId="7">
      <alignment horizontal="left" vertical="center" wrapText="1"/>
    </xf>
    <xf numFmtId="0" fontId="16" fillId="2" borderId="8">
      <alignment horizontal="left" vertical="center" wrapText="1"/>
    </xf>
    <xf numFmtId="43" fontId="16" fillId="2" borderId="8">
      <alignment horizontal="right" vertical="center" wrapText="1"/>
    </xf>
    <xf numFmtId="9" fontId="20" fillId="0" borderId="0" applyFill="0" applyBorder="0" applyAlignment="0" applyProtection="0"/>
    <xf numFmtId="0" fontId="13" fillId="0" borderId="0" applyNumberFormat="0" applyFill="0" applyAlignment="0" applyProtection="0"/>
    <xf numFmtId="0" fontId="14" fillId="33" borderId="2" applyAlignment="0" applyProtection="0"/>
    <xf numFmtId="41" fontId="20" fillId="0" borderId="0" applyFill="0" applyBorder="0" applyAlignment="0" applyProtection="0"/>
    <xf numFmtId="0" fontId="22" fillId="36" borderId="0"/>
    <xf numFmtId="0" fontId="24" fillId="0" borderId="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6" fillId="0" borderId="0"/>
    <xf numFmtId="9" fontId="24" fillId="0" borderId="0" applyFont="0" applyFill="0" applyBorder="0" applyAlignment="0" applyProtection="0"/>
    <xf numFmtId="0" fontId="31" fillId="41" borderId="0"/>
    <xf numFmtId="0" fontId="24" fillId="0" borderId="0"/>
    <xf numFmtId="9"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171" fontId="24" fillId="42" borderId="0" applyFont="0" applyBorder="0" applyAlignment="0">
      <alignment horizontal="right"/>
      <protection locked="0"/>
    </xf>
    <xf numFmtId="171" fontId="24" fillId="40" borderId="0" applyFont="0" applyBorder="0">
      <alignment horizontal="right"/>
      <protection locked="0"/>
    </xf>
    <xf numFmtId="0" fontId="26" fillId="0" borderId="0"/>
    <xf numFmtId="0" fontId="24" fillId="0" borderId="0" applyFill="0"/>
    <xf numFmtId="0" fontId="31" fillId="43" borderId="0">
      <alignment horizontal="left" vertical="center"/>
      <protection locked="0"/>
    </xf>
    <xf numFmtId="0" fontId="32" fillId="37" borderId="0">
      <alignment vertical="center"/>
      <protection locked="0"/>
    </xf>
    <xf numFmtId="0" fontId="24" fillId="0" borderId="0"/>
    <xf numFmtId="0" fontId="24" fillId="0" borderId="0"/>
    <xf numFmtId="0" fontId="24" fillId="0" borderId="0"/>
    <xf numFmtId="173" fontId="24" fillId="0" borderId="0"/>
    <xf numFmtId="0" fontId="33" fillId="0" borderId="0"/>
    <xf numFmtId="0" fontId="33" fillId="0" borderId="0"/>
    <xf numFmtId="0" fontId="2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4" fillId="0" borderId="0"/>
    <xf numFmtId="0" fontId="24" fillId="0" borderId="0"/>
    <xf numFmtId="0" fontId="24" fillId="0" borderId="0"/>
    <xf numFmtId="174" fontId="28" fillId="0" borderId="0"/>
    <xf numFmtId="174" fontId="28" fillId="0" borderId="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5" fillId="54" borderId="0" applyNumberFormat="0" applyBorder="0" applyAlignment="0" applyProtection="0"/>
    <xf numFmtId="0" fontId="35" fillId="55" borderId="0" applyNumberFormat="0" applyBorder="0" applyAlignment="0" applyProtection="0"/>
    <xf numFmtId="0" fontId="36" fillId="56" borderId="0" applyNumberFormat="0" applyBorder="0" applyAlignment="0" applyProtection="0"/>
    <xf numFmtId="0" fontId="36" fillId="57" borderId="0" applyNumberFormat="0" applyBorder="0" applyAlignment="0" applyProtection="0"/>
    <xf numFmtId="0" fontId="35" fillId="54" borderId="0" applyNumberFormat="0" applyBorder="0" applyAlignment="0" applyProtection="0"/>
    <xf numFmtId="0" fontId="35" fillId="58" borderId="0" applyNumberFormat="0" applyBorder="0" applyAlignment="0" applyProtection="0"/>
    <xf numFmtId="0" fontId="36" fillId="55" borderId="0" applyNumberFormat="0" applyBorder="0" applyAlignment="0" applyProtection="0"/>
    <xf numFmtId="0" fontId="36" fillId="59" borderId="0" applyNumberFormat="0" applyBorder="0" applyAlignment="0" applyProtection="0"/>
    <xf numFmtId="0" fontId="35" fillId="51" borderId="0" applyNumberFormat="0" applyBorder="0" applyAlignment="0" applyProtection="0"/>
    <xf numFmtId="0" fontId="35" fillId="55" borderId="0" applyNumberFormat="0" applyBorder="0" applyAlignment="0" applyProtection="0"/>
    <xf numFmtId="0" fontId="36" fillId="55" borderId="0" applyNumberFormat="0" applyBorder="0" applyAlignment="0" applyProtection="0"/>
    <xf numFmtId="0" fontId="36" fillId="60" borderId="0" applyNumberFormat="0" applyBorder="0" applyAlignment="0" applyProtection="0"/>
    <xf numFmtId="0" fontId="35" fillId="61" borderId="0" applyNumberFormat="0" applyBorder="0" applyAlignment="0" applyProtection="0"/>
    <xf numFmtId="0" fontId="35"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5" fillId="54" borderId="0" applyNumberFormat="0" applyBorder="0" applyAlignment="0" applyProtection="0"/>
    <xf numFmtId="0" fontId="35" fillId="62" borderId="0" applyNumberFormat="0" applyBorder="0" applyAlignment="0" applyProtection="0"/>
    <xf numFmtId="0" fontId="36" fillId="62" borderId="0" applyNumberFormat="0" applyBorder="0" applyAlignment="0" applyProtection="0"/>
    <xf numFmtId="0" fontId="36" fillId="63" borderId="0" applyNumberFormat="0" applyBorder="0" applyAlignment="0" applyProtection="0"/>
    <xf numFmtId="0" fontId="37" fillId="0" borderId="0"/>
    <xf numFmtId="42" fontId="38" fillId="0" borderId="0" applyFont="0" applyFill="0" applyBorder="0" applyAlignment="0" applyProtection="0"/>
    <xf numFmtId="0" fontId="39" fillId="64" borderId="0" applyNumberFormat="0" applyBorder="0" applyAlignment="0" applyProtection="0"/>
    <xf numFmtId="0" fontId="40" fillId="0" borderId="0" applyNumberFormat="0" applyFill="0" applyBorder="0" applyAlignment="0"/>
    <xf numFmtId="171" fontId="24" fillId="39" borderId="0" applyNumberFormat="0" applyFont="0" applyBorder="0" applyAlignment="0">
      <alignment horizontal="right"/>
    </xf>
    <xf numFmtId="171" fontId="24" fillId="39" borderId="0" applyNumberFormat="0" applyFont="0" applyBorder="0" applyAlignment="0">
      <alignment horizontal="right"/>
    </xf>
    <xf numFmtId="0" fontId="41" fillId="0" borderId="0" applyNumberFormat="0" applyFill="0" applyBorder="0" applyAlignment="0">
      <protection locked="0"/>
    </xf>
    <xf numFmtId="0" fontId="42" fillId="48" borderId="13" applyNumberFormat="0" applyAlignment="0" applyProtection="0"/>
    <xf numFmtId="0" fontId="43" fillId="65" borderId="14" applyNumberFormat="0" applyAlignment="0" applyProtection="0"/>
    <xf numFmtId="41" fontId="24" fillId="0" borderId="0" applyFont="0" applyFill="0" applyBorder="0" applyAlignment="0" applyProtection="0"/>
    <xf numFmtId="0" fontId="4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2"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72" fontId="45"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3" fontId="46"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2"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47" fillId="66"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173" fontId="35" fillId="0" borderId="0" applyFont="0" applyFill="0" applyBorder="0" applyAlignment="0" applyProtection="0"/>
    <xf numFmtId="0" fontId="48" fillId="0" borderId="0" applyNumberForma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0" fontId="49" fillId="0" borderId="0"/>
    <xf numFmtId="0" fontId="50" fillId="0" borderId="0"/>
    <xf numFmtId="0" fontId="51" fillId="69" borderId="0" applyNumberFormat="0" applyBorder="0" applyAlignment="0" applyProtection="0"/>
    <xf numFmtId="0" fontId="25" fillId="0" borderId="0" applyFill="0" applyBorder="0">
      <alignment vertical="center"/>
    </xf>
    <xf numFmtId="0" fontId="52" fillId="0" borderId="15" applyNumberFormat="0" applyFill="0" applyAlignment="0" applyProtection="0"/>
    <xf numFmtId="0" fontId="25" fillId="0" borderId="0" applyFill="0" applyBorder="0">
      <alignment vertical="center"/>
    </xf>
    <xf numFmtId="0" fontId="29" fillId="0" borderId="0" applyFill="0" applyBorder="0">
      <alignment vertical="center"/>
    </xf>
    <xf numFmtId="0" fontId="53" fillId="0" borderId="16" applyNumberFormat="0" applyFill="0" applyAlignment="0" applyProtection="0"/>
    <xf numFmtId="0" fontId="29" fillId="0" borderId="0" applyFill="0" applyBorder="0">
      <alignment vertical="center"/>
    </xf>
    <xf numFmtId="0" fontId="54" fillId="0" borderId="17" applyNumberFormat="0" applyFill="0" applyAlignment="0" applyProtection="0"/>
    <xf numFmtId="0" fontId="54" fillId="0" borderId="17" applyNumberFormat="0" applyFill="0" applyAlignment="0" applyProtection="0"/>
    <xf numFmtId="0" fontId="30" fillId="0" borderId="0" applyFill="0" applyBorder="0">
      <alignment vertical="center"/>
    </xf>
    <xf numFmtId="0" fontId="30" fillId="0" borderId="0" applyFill="0" applyBorder="0">
      <alignment vertical="center"/>
    </xf>
    <xf numFmtId="0" fontId="28" fillId="0" borderId="0" applyFill="0" applyBorder="0">
      <alignment vertical="center"/>
    </xf>
    <xf numFmtId="0" fontId="54" fillId="0" borderId="0" applyNumberFormat="0" applyFill="0" applyBorder="0" applyAlignment="0" applyProtection="0"/>
    <xf numFmtId="0" fontId="28" fillId="0" borderId="0" applyFill="0" applyBorder="0">
      <alignment vertical="center"/>
    </xf>
    <xf numFmtId="164" fontId="55" fillId="0" borderId="0"/>
    <xf numFmtId="0" fontId="56" fillId="0" borderId="0" applyNumberFormat="0" applyFill="0" applyBorder="0" applyAlignment="0" applyProtection="0">
      <alignment vertical="top"/>
      <protection locked="0"/>
    </xf>
    <xf numFmtId="0" fontId="57" fillId="0" borderId="0" applyFill="0" applyBorder="0">
      <alignment horizontal="center" vertical="center"/>
      <protection locked="0"/>
    </xf>
    <xf numFmtId="0" fontId="58" fillId="0" borderId="0" applyFill="0" applyBorder="0">
      <alignment horizontal="left" vertical="center"/>
      <protection locked="0"/>
    </xf>
    <xf numFmtId="177" fontId="24" fillId="40" borderId="0" applyFont="0" applyBorder="0">
      <alignment horizontal="right"/>
    </xf>
    <xf numFmtId="0" fontId="59" fillId="46" borderId="13" applyNumberFormat="0" applyAlignment="0" applyProtection="0"/>
    <xf numFmtId="171" fontId="24" fillId="70" borderId="0" applyFont="0" applyBorder="0" applyAlignment="0">
      <alignment horizontal="right"/>
      <protection locked="0"/>
    </xf>
    <xf numFmtId="171" fontId="24" fillId="42" borderId="0" applyFont="0" applyBorder="0" applyAlignment="0">
      <alignment horizontal="right"/>
      <protection locked="0"/>
    </xf>
    <xf numFmtId="178" fontId="24" fillId="71" borderId="0" applyFont="0" applyBorder="0">
      <alignment horizontal="right"/>
      <protection locked="0"/>
    </xf>
    <xf numFmtId="178" fontId="24" fillId="71" borderId="0" applyFont="0" applyBorder="0">
      <alignment horizontal="right"/>
      <protection locked="0"/>
    </xf>
    <xf numFmtId="171" fontId="24" fillId="40" borderId="0" applyFont="0" applyBorder="0">
      <alignment horizontal="right"/>
      <protection locked="0"/>
    </xf>
    <xf numFmtId="0" fontId="28" fillId="39" borderId="0"/>
    <xf numFmtId="0" fontId="60" fillId="0" borderId="18" applyNumberFormat="0" applyFill="0" applyAlignment="0" applyProtection="0"/>
    <xf numFmtId="179" fontId="61" fillId="0" borderId="0"/>
    <xf numFmtId="0" fontId="27" fillId="0" borderId="0" applyFill="0" applyBorder="0">
      <alignment horizontal="left" vertical="center"/>
    </xf>
    <xf numFmtId="0" fontId="62" fillId="49" borderId="0" applyNumberFormat="0" applyBorder="0" applyAlignment="0" applyProtection="0"/>
    <xf numFmtId="180" fontId="6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38"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xf numFmtId="0" fontId="35" fillId="0" borderId="0"/>
    <xf numFmtId="0" fontId="24" fillId="38" borderId="0"/>
    <xf numFmtId="0" fontId="24" fillId="0" borderId="0"/>
    <xf numFmtId="0" fontId="26" fillId="0" borderId="0"/>
    <xf numFmtId="0" fontId="24" fillId="0" borderId="0"/>
    <xf numFmtId="0" fontId="24" fillId="0" borderId="0"/>
    <xf numFmtId="0" fontId="24" fillId="47" borderId="19" applyNumberFormat="0" applyFont="0" applyAlignment="0" applyProtection="0"/>
    <xf numFmtId="0" fontId="64" fillId="48" borderId="20" applyNumberFormat="0" applyAlignment="0" applyProtection="0"/>
    <xf numFmtId="181" fontId="24" fillId="0" borderId="0" applyFill="0" applyBorder="0"/>
    <xf numFmtId="181" fontId="24" fillId="0" borderId="0" applyFill="0" applyBorder="0"/>
    <xf numFmtId="181" fontId="24" fillId="0" borderId="0" applyFill="0" applyBorder="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64" fontId="65" fillId="0" borderId="0"/>
    <xf numFmtId="0" fontId="30" fillId="0" borderId="0" applyFill="0" applyBorder="0">
      <alignment vertical="center"/>
    </xf>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182" fontId="66" fillId="0" borderId="11"/>
    <xf numFmtId="0" fontId="67" fillId="0" borderId="12">
      <alignment horizontal="center"/>
    </xf>
    <xf numFmtId="3" fontId="44" fillId="0" borderId="0" applyFont="0" applyFill="0" applyBorder="0" applyAlignment="0" applyProtection="0"/>
    <xf numFmtId="0" fontId="44" fillId="72" borderId="0" applyNumberFormat="0" applyFont="0" applyBorder="0" applyAlignment="0" applyProtection="0"/>
    <xf numFmtId="183" fontId="24" fillId="0" borderId="0"/>
    <xf numFmtId="183" fontId="24" fillId="0" borderId="0"/>
    <xf numFmtId="183" fontId="24" fillId="0" borderId="0"/>
    <xf numFmtId="184" fontId="28" fillId="0" borderId="0" applyFill="0" applyBorder="0">
      <alignment horizontal="right" vertical="center"/>
    </xf>
    <xf numFmtId="185" fontId="28" fillId="0" borderId="0" applyFill="0" applyBorder="0">
      <alignment horizontal="right" vertical="center"/>
    </xf>
    <xf numFmtId="186" fontId="28" fillId="0" borderId="0" applyFill="0" applyBorder="0">
      <alignment horizontal="right" vertical="center"/>
    </xf>
    <xf numFmtId="0" fontId="24" fillId="47" borderId="0" applyNumberFormat="0" applyFont="0" applyBorder="0" applyAlignment="0" applyProtection="0"/>
    <xf numFmtId="0" fontId="24" fillId="47" borderId="0" applyNumberFormat="0" applyFont="0" applyBorder="0" applyAlignment="0" applyProtection="0"/>
    <xf numFmtId="0" fontId="24" fillId="48" borderId="0" applyNumberFormat="0" applyFont="0" applyBorder="0" applyAlignment="0" applyProtection="0"/>
    <xf numFmtId="0" fontId="24" fillId="48" borderId="0" applyNumberFormat="0" applyFont="0" applyBorder="0" applyAlignment="0" applyProtection="0"/>
    <xf numFmtId="0" fontId="24" fillId="50" borderId="0" applyNumberFormat="0" applyFont="0" applyBorder="0" applyAlignment="0" applyProtection="0"/>
    <xf numFmtId="0" fontId="24" fillId="50" borderId="0" applyNumberFormat="0" applyFont="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50" borderId="0" applyNumberFormat="0" applyFont="0" applyBorder="0" applyAlignment="0" applyProtection="0"/>
    <xf numFmtId="0" fontId="24" fillId="50" borderId="0" applyNumberFormat="0" applyFont="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Border="0" applyAlignment="0" applyProtection="0"/>
    <xf numFmtId="0" fontId="24" fillId="0" borderId="0" applyNumberFormat="0" applyFont="0" applyBorder="0" applyAlignment="0" applyProtection="0"/>
    <xf numFmtId="0" fontId="68" fillId="0" borderId="0" applyNumberFormat="0" applyFill="0" applyBorder="0" applyAlignment="0" applyProtection="0"/>
    <xf numFmtId="0" fontId="24" fillId="0" borderId="0"/>
    <xf numFmtId="0" fontId="24" fillId="0" borderId="0"/>
    <xf numFmtId="0" fontId="24" fillId="0" borderId="0"/>
    <xf numFmtId="0" fontId="27" fillId="0" borderId="0"/>
    <xf numFmtId="0" fontId="69" fillId="0" borderId="0"/>
    <xf numFmtId="15" fontId="24" fillId="0" borderId="0"/>
    <xf numFmtId="15" fontId="24" fillId="0" borderId="0"/>
    <xf numFmtId="15" fontId="24" fillId="0" borderId="0"/>
    <xf numFmtId="10" fontId="24" fillId="0" borderId="0"/>
    <xf numFmtId="10" fontId="24" fillId="0" borderId="0"/>
    <xf numFmtId="10" fontId="24" fillId="0" borderId="0"/>
    <xf numFmtId="0" fontId="70" fillId="44" borderId="9" applyBorder="0" applyProtection="0">
      <alignment horizontal="centerContinuous" vertical="center"/>
    </xf>
    <xf numFmtId="0" fontId="71" fillId="0" borderId="0" applyBorder="0" applyProtection="0">
      <alignment vertical="center"/>
    </xf>
    <xf numFmtId="0" fontId="72" fillId="0" borderId="0">
      <alignment horizontal="left"/>
    </xf>
    <xf numFmtId="0" fontId="72" fillId="0" borderId="21" applyFill="0" applyBorder="0" applyProtection="0">
      <alignment horizontal="left" vertical="top"/>
    </xf>
    <xf numFmtId="49" fontId="24" fillId="0" borderId="0" applyFont="0" applyFill="0" applyBorder="0" applyAlignment="0" applyProtection="0"/>
    <xf numFmtId="0" fontId="73" fillId="0" borderId="0"/>
    <xf numFmtId="49" fontId="24" fillId="0" borderId="0" applyFont="0" applyFill="0" applyBorder="0" applyAlignment="0" applyProtection="0"/>
    <xf numFmtId="0" fontId="74" fillId="0" borderId="0"/>
    <xf numFmtId="0" fontId="74" fillId="0" borderId="0"/>
    <xf numFmtId="0" fontId="73" fillId="0" borderId="0"/>
    <xf numFmtId="179" fontId="75" fillId="0" borderId="0"/>
    <xf numFmtId="0" fontId="68" fillId="0" borderId="0" applyNumberFormat="0" applyFill="0" applyBorder="0" applyAlignment="0" applyProtection="0"/>
    <xf numFmtId="0" fontId="76" fillId="0" borderId="0" applyFill="0" applyBorder="0">
      <alignment horizontal="left" vertical="center"/>
      <protection locked="0"/>
    </xf>
    <xf numFmtId="0" fontId="73" fillId="0" borderId="0"/>
    <xf numFmtId="0" fontId="77" fillId="0" borderId="0" applyFill="0" applyBorder="0">
      <alignment horizontal="left" vertical="center"/>
      <protection locked="0"/>
    </xf>
    <xf numFmtId="0" fontId="78" fillId="0" borderId="0" applyNumberFormat="0" applyFill="0" applyBorder="0" applyAlignment="0" applyProtection="0"/>
    <xf numFmtId="187" fontId="24" fillId="0" borderId="9" applyBorder="0" applyProtection="0">
      <alignment horizontal="right"/>
    </xf>
    <xf numFmtId="187" fontId="24" fillId="0" borderId="9" applyBorder="0" applyProtection="0">
      <alignment horizontal="right"/>
    </xf>
    <xf numFmtId="0" fontId="79" fillId="73" borderId="10" applyNumberFormat="0" applyFont="0" applyBorder="0" applyAlignment="0" applyProtection="0"/>
  </cellStyleXfs>
  <cellXfs count="103">
    <xf numFmtId="0" fontId="0" fillId="2" borderId="0" xfId="0"/>
    <xf numFmtId="0" fontId="17" fillId="35" borderId="1" xfId="4"/>
    <xf numFmtId="0" fontId="3" fillId="2" borderId="0" xfId="0" applyFont="1"/>
    <xf numFmtId="0" fontId="3" fillId="2" borderId="0" xfId="0" applyFont="1" applyFill="1"/>
    <xf numFmtId="0" fontId="3" fillId="0" borderId="0" xfId="0" applyFont="1" applyFill="1"/>
    <xf numFmtId="0" fontId="21" fillId="0" borderId="0" xfId="7" applyFill="1"/>
    <xf numFmtId="0" fontId="14" fillId="0" borderId="2" xfId="15"/>
    <xf numFmtId="0" fontId="14" fillId="34" borderId="2" xfId="13"/>
    <xf numFmtId="0" fontId="14" fillId="33" borderId="2" xfId="50"/>
    <xf numFmtId="0" fontId="18" fillId="2" borderId="0" xfId="8"/>
    <xf numFmtId="41" fontId="20" fillId="34" borderId="2" xfId="51" applyFill="1" applyBorder="1"/>
    <xf numFmtId="41" fontId="14" fillId="0" borderId="2" xfId="15" applyNumberFormat="1"/>
    <xf numFmtId="14" fontId="15" fillId="2" borderId="0" xfId="9" applyNumberFormat="1"/>
    <xf numFmtId="6" fontId="14" fillId="34" borderId="2" xfId="13" quotePrefix="1" applyNumberFormat="1"/>
    <xf numFmtId="6" fontId="14" fillId="0" borderId="2" xfId="15" quotePrefix="1" applyNumberFormat="1"/>
    <xf numFmtId="0" fontId="15" fillId="2" borderId="0" xfId="9"/>
    <xf numFmtId="164" fontId="20" fillId="34" borderId="2" xfId="48" applyNumberFormat="1" applyFill="1" applyBorder="1"/>
    <xf numFmtId="0" fontId="15" fillId="2" borderId="0" xfId="9" applyAlignment="1">
      <alignment horizontal="left" vertical="center" wrapText="1"/>
    </xf>
    <xf numFmtId="6" fontId="14" fillId="0" borderId="2" xfId="15" applyNumberFormat="1"/>
    <xf numFmtId="41" fontId="14" fillId="33" borderId="2" xfId="50" applyNumberFormat="1"/>
    <xf numFmtId="0" fontId="21" fillId="0" borderId="0" xfId="7"/>
    <xf numFmtId="0" fontId="19" fillId="32" borderId="7" xfId="45">
      <alignment horizontal="left" vertical="center" wrapText="1"/>
    </xf>
    <xf numFmtId="0" fontId="16" fillId="2" borderId="8" xfId="46">
      <alignment horizontal="left" vertical="center" wrapText="1"/>
    </xf>
    <xf numFmtId="43" fontId="16" fillId="2" borderId="8" xfId="47">
      <alignment horizontal="right" vertical="center" wrapText="1"/>
    </xf>
    <xf numFmtId="0" fontId="19" fillId="32" borderId="7" xfId="45" applyAlignment="1">
      <alignment horizontal="right" vertical="center" wrapText="1"/>
    </xf>
    <xf numFmtId="2" fontId="14" fillId="0" borderId="2" xfId="15" applyNumberFormat="1"/>
    <xf numFmtId="167" fontId="14" fillId="0" borderId="2" xfId="15" applyNumberFormat="1"/>
    <xf numFmtId="41" fontId="14" fillId="34" borderId="2" xfId="13" applyNumberFormat="1"/>
    <xf numFmtId="0" fontId="14" fillId="0" borderId="2" xfId="15" applyAlignment="1">
      <alignment horizontal="left" indent="1"/>
    </xf>
    <xf numFmtId="168" fontId="14" fillId="0" borderId="2" xfId="15" applyNumberFormat="1"/>
    <xf numFmtId="166" fontId="14" fillId="34" borderId="2" xfId="13" applyNumberFormat="1"/>
    <xf numFmtId="0" fontId="13" fillId="0" borderId="0" xfId="49"/>
    <xf numFmtId="168" fontId="0" fillId="2" borderId="0" xfId="0" applyNumberFormat="1"/>
    <xf numFmtId="0" fontId="0" fillId="0" borderId="0" xfId="0" applyFill="1" applyProtection="1">
      <protection locked="0"/>
    </xf>
    <xf numFmtId="168" fontId="15" fillId="2" borderId="0" xfId="9" applyNumberFormat="1"/>
    <xf numFmtId="168" fontId="0" fillId="2" borderId="0" xfId="0" quotePrefix="1" applyNumberFormat="1"/>
    <xf numFmtId="169" fontId="14" fillId="34" borderId="2" xfId="13" applyNumberFormat="1"/>
    <xf numFmtId="168" fontId="14" fillId="34" borderId="2" xfId="13" applyNumberFormat="1"/>
    <xf numFmtId="168" fontId="22" fillId="36" borderId="0" xfId="52" applyNumberFormat="1"/>
    <xf numFmtId="0" fontId="22" fillId="36" borderId="0" xfId="52"/>
    <xf numFmtId="0" fontId="23" fillId="37" borderId="0" xfId="0" applyFont="1" applyFill="1" applyBorder="1" applyAlignment="1">
      <alignment vertical="center"/>
    </xf>
    <xf numFmtId="2" fontId="24" fillId="2" borderId="0" xfId="0" applyNumberFormat="1" applyFont="1" applyFill="1" applyBorder="1" applyAlignment="1" applyProtection="1">
      <alignment horizontal="right" vertical="center" wrapText="1"/>
    </xf>
    <xf numFmtId="0" fontId="0" fillId="2" borderId="0" xfId="0" applyFill="1" applyAlignment="1" applyProtection="1">
      <alignment horizontal="left" vertical="top" wrapText="1"/>
    </xf>
    <xf numFmtId="0" fontId="25" fillId="2" borderId="0" xfId="0" applyFont="1" applyFill="1" applyAlignment="1" applyProtection="1">
      <alignment vertical="center" wrapText="1"/>
    </xf>
    <xf numFmtId="9" fontId="14" fillId="0" borderId="2" xfId="15" applyNumberFormat="1"/>
    <xf numFmtId="165" fontId="0" fillId="2" borderId="0" xfId="0" applyNumberFormat="1"/>
    <xf numFmtId="9" fontId="14" fillId="34" borderId="2" xfId="13" applyNumberFormat="1"/>
    <xf numFmtId="167" fontId="14" fillId="34" borderId="2" xfId="13" applyNumberFormat="1"/>
    <xf numFmtId="0" fontId="15" fillId="2" borderId="0" xfId="9"/>
    <xf numFmtId="43" fontId="3" fillId="2" borderId="0" xfId="0" applyNumberFormat="1" applyFont="1"/>
    <xf numFmtId="0" fontId="15" fillId="2" borderId="0" xfId="9"/>
    <xf numFmtId="6" fontId="14" fillId="34" borderId="2" xfId="13" applyNumberFormat="1"/>
    <xf numFmtId="0" fontId="15" fillId="2" borderId="0" xfId="9"/>
    <xf numFmtId="0" fontId="21" fillId="2" borderId="0" xfId="7" applyFill="1"/>
    <xf numFmtId="0" fontId="18" fillId="2" borderId="0" xfId="8" applyFill="1"/>
    <xf numFmtId="0" fontId="16" fillId="2" borderId="8" xfId="46" applyFill="1">
      <alignment horizontal="left" vertical="center" wrapText="1"/>
    </xf>
    <xf numFmtId="43" fontId="14" fillId="34" borderId="2" xfId="13" applyNumberFormat="1"/>
    <xf numFmtId="0" fontId="14" fillId="34" borderId="2" xfId="13" quotePrefix="1"/>
    <xf numFmtId="43" fontId="14" fillId="0" borderId="2" xfId="15" applyNumberFormat="1"/>
    <xf numFmtId="170" fontId="14" fillId="0" borderId="2" xfId="15" applyNumberFormat="1"/>
    <xf numFmtId="0" fontId="15" fillId="2" borderId="0" xfId="9"/>
    <xf numFmtId="0" fontId="14" fillId="0" borderId="2" xfId="15" applyAlignment="1">
      <alignment horizontal="left" vertical="center" wrapText="1"/>
    </xf>
    <xf numFmtId="10" fontId="14" fillId="0" borderId="2" xfId="15" applyNumberFormat="1"/>
    <xf numFmtId="10" fontId="20" fillId="0" borderId="2" xfId="48" applyNumberFormat="1" applyBorder="1"/>
    <xf numFmtId="0" fontId="15" fillId="2" borderId="0" xfId="9"/>
    <xf numFmtId="166" fontId="3" fillId="2" borderId="0" xfId="0" applyNumberFormat="1" applyFont="1"/>
    <xf numFmtId="166" fontId="16" fillId="2" borderId="8" xfId="47" applyNumberFormat="1" applyFill="1">
      <alignment horizontal="right" vertical="center" wrapText="1"/>
    </xf>
    <xf numFmtId="166" fontId="16" fillId="2" borderId="8" xfId="47" applyNumberFormat="1">
      <alignment horizontal="right" vertical="center" wrapText="1"/>
    </xf>
    <xf numFmtId="0" fontId="15" fillId="2" borderId="8" xfId="46" applyFont="1">
      <alignment horizontal="left" vertical="center" wrapText="1"/>
    </xf>
    <xf numFmtId="167" fontId="16" fillId="2" borderId="8" xfId="47" applyNumberFormat="1">
      <alignment horizontal="right" vertical="center" wrapText="1"/>
    </xf>
    <xf numFmtId="167" fontId="15" fillId="2" borderId="8" xfId="47" applyNumberFormat="1" applyFont="1">
      <alignment horizontal="right" vertical="center" wrapText="1"/>
    </xf>
    <xf numFmtId="6" fontId="15" fillId="2" borderId="0" xfId="9" applyNumberFormat="1"/>
    <xf numFmtId="41" fontId="15" fillId="2" borderId="0" xfId="9" applyNumberFormat="1"/>
    <xf numFmtId="6" fontId="15" fillId="2" borderId="0" xfId="9" quotePrefix="1" applyNumberFormat="1"/>
    <xf numFmtId="0" fontId="15" fillId="2" borderId="0" xfId="9"/>
    <xf numFmtId="0" fontId="15" fillId="2" borderId="0" xfId="9"/>
    <xf numFmtId="168" fontId="14" fillId="0" borderId="2" xfId="15" applyNumberFormat="1"/>
    <xf numFmtId="0" fontId="18" fillId="2" borderId="0" xfId="8" applyAlignment="1">
      <alignment wrapText="1"/>
    </xf>
    <xf numFmtId="0" fontId="17" fillId="35" borderId="1" xfId="4"/>
    <xf numFmtId="0" fontId="15" fillId="2" borderId="0" xfId="9" applyAlignment="1">
      <alignment vertical="center" wrapText="1"/>
    </xf>
    <xf numFmtId="0" fontId="15" fillId="2" borderId="0" xfId="9" applyAlignment="1">
      <alignment horizontal="center" vertical="center" wrapText="1"/>
    </xf>
    <xf numFmtId="0" fontId="14" fillId="34" borderId="2" xfId="13" applyAlignment="1">
      <alignment vertical="center" wrapText="1"/>
    </xf>
    <xf numFmtId="0" fontId="14" fillId="34" borderId="2" xfId="13" applyAlignment="1">
      <alignment horizontal="center" vertical="center" wrapText="1"/>
    </xf>
    <xf numFmtId="0" fontId="14" fillId="0" borderId="2" xfId="15" applyAlignment="1">
      <alignment vertical="center" wrapText="1"/>
    </xf>
    <xf numFmtId="0" fontId="14" fillId="0" borderId="2" xfId="15" applyAlignment="1">
      <alignment horizontal="center" vertical="center" wrapText="1"/>
    </xf>
    <xf numFmtId="164" fontId="20" fillId="0" borderId="2" xfId="48" applyNumberFormat="1" applyBorder="1"/>
    <xf numFmtId="3" fontId="14" fillId="34" borderId="2" xfId="13" applyNumberFormat="1"/>
    <xf numFmtId="164" fontId="20" fillId="33" borderId="2" xfId="48" applyNumberFormat="1" applyFill="1" applyBorder="1"/>
    <xf numFmtId="3" fontId="14" fillId="0" borderId="2" xfId="15" applyNumberFormat="1"/>
    <xf numFmtId="0" fontId="15" fillId="2" borderId="0" xfId="9" applyAlignment="1">
      <alignment horizontal="right"/>
    </xf>
    <xf numFmtId="168" fontId="14" fillId="0" borderId="2" xfId="15" applyNumberFormat="1"/>
    <xf numFmtId="2" fontId="14" fillId="34" borderId="2" xfId="13" applyNumberFormat="1"/>
    <xf numFmtId="0" fontId="15" fillId="2" borderId="0" xfId="9"/>
    <xf numFmtId="0" fontId="16" fillId="2" borderId="8" xfId="46" applyAlignment="1">
      <alignment horizontal="left" vertical="center"/>
    </xf>
    <xf numFmtId="43" fontId="16" fillId="2" borderId="8" xfId="47" applyAlignment="1">
      <alignment horizontal="right" vertical="center"/>
    </xf>
    <xf numFmtId="41" fontId="3" fillId="2" borderId="0" xfId="0" applyNumberFormat="1" applyFont="1"/>
    <xf numFmtId="0" fontId="17" fillId="35" borderId="1" xfId="4"/>
    <xf numFmtId="0" fontId="15" fillId="2" borderId="0" xfId="9"/>
    <xf numFmtId="0" fontId="15" fillId="2" borderId="0" xfId="9" applyAlignment="1">
      <alignment horizontal="center"/>
    </xf>
    <xf numFmtId="168" fontId="14" fillId="0" borderId="2" xfId="15" applyNumberFormat="1"/>
    <xf numFmtId="168" fontId="15" fillId="2" borderId="0" xfId="9" applyNumberFormat="1"/>
    <xf numFmtId="168" fontId="15" fillId="2" borderId="0" xfId="9" applyNumberFormat="1" applyAlignment="1">
      <alignment horizontal="center"/>
    </xf>
    <xf numFmtId="0" fontId="18" fillId="2" borderId="0" xfId="8" applyAlignment="1">
      <alignment horizontal="center"/>
    </xf>
  </cellXfs>
  <cellStyles count="316">
    <cellStyle name=" 1" xfId="71"/>
    <cellStyle name=" 1 2" xfId="72"/>
    <cellStyle name=" 1 2 2" xfId="73"/>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94"/>
    <cellStyle name="_Capex 2" xfId="95"/>
    <cellStyle name="_Capex_29(d) - Gas extensions -tariffs" xfId="96"/>
    <cellStyle name="_UED AMP 2009-14 Final 250309 Less PU" xfId="97"/>
    <cellStyle name="_UED AMP 2009-14 Final 250309 Less PU_1011 monthly" xfId="98"/>
    <cellStyle name="20% - Accent1" xfId="19" builtinId="30" hidden="1"/>
    <cellStyle name="20% - Accent1 2" xfId="99"/>
    <cellStyle name="20% - Accent2" xfId="23" builtinId="34" hidden="1"/>
    <cellStyle name="20% - Accent2 2" xfId="100"/>
    <cellStyle name="20% - Accent3" xfId="27" builtinId="38" hidden="1"/>
    <cellStyle name="20% - Accent3 2" xfId="101"/>
    <cellStyle name="20% - Accent4" xfId="31" builtinId="42" hidden="1"/>
    <cellStyle name="20% - Accent4 2" xfId="102"/>
    <cellStyle name="20% - Accent5" xfId="35" builtinId="46" hidden="1"/>
    <cellStyle name="20% - Accent5 2" xfId="103"/>
    <cellStyle name="20% - Accent6" xfId="39" builtinId="50" hidden="1"/>
    <cellStyle name="20% - Accent6 2" xfId="104"/>
    <cellStyle name="40% - Accent1" xfId="20" builtinId="31" hidden="1"/>
    <cellStyle name="40% - Accent1 2" xfId="105"/>
    <cellStyle name="40% - Accent2" xfId="24" builtinId="35" hidden="1"/>
    <cellStyle name="40% - Accent2 2" xfId="106"/>
    <cellStyle name="40% - Accent3" xfId="28" builtinId="39" hidden="1"/>
    <cellStyle name="40% - Accent3 2" xfId="107"/>
    <cellStyle name="40% - Accent4" xfId="32" builtinId="43" hidden="1"/>
    <cellStyle name="40% - Accent4 2" xfId="108"/>
    <cellStyle name="40% - Accent5" xfId="36" builtinId="47" hidden="1"/>
    <cellStyle name="40% - Accent5 2" xfId="109"/>
    <cellStyle name="40% - Accent6" xfId="40" builtinId="51" hidden="1"/>
    <cellStyle name="40% - Accent6 2" xfId="110"/>
    <cellStyle name="60% - Accent1" xfId="21" builtinId="32" hidden="1"/>
    <cellStyle name="60% - Accent1 2" xfId="111"/>
    <cellStyle name="60% - Accent2" xfId="25" builtinId="36" hidden="1"/>
    <cellStyle name="60% - Accent2 2" xfId="112"/>
    <cellStyle name="60% - Accent3" xfId="29" builtinId="40" hidden="1"/>
    <cellStyle name="60% - Accent3 2" xfId="113"/>
    <cellStyle name="60% - Accent4" xfId="33" builtinId="44" hidden="1"/>
    <cellStyle name="60% - Accent4 2" xfId="114"/>
    <cellStyle name="60% - Accent5" xfId="37" builtinId="48" hidden="1"/>
    <cellStyle name="60% - Accent5 2" xfId="115"/>
    <cellStyle name="60% - Accent6" xfId="41" builtinId="52" hidden="1"/>
    <cellStyle name="60% - Accent6 2" xfId="116"/>
    <cellStyle name="Accent1" xfId="18" builtinId="29" hidden="1"/>
    <cellStyle name="Accent1 - 20%" xfId="117"/>
    <cellStyle name="Accent1 - 40%" xfId="118"/>
    <cellStyle name="Accent1 - 60%" xfId="119"/>
    <cellStyle name="Accent1 2" xfId="120"/>
    <cellStyle name="Accent2" xfId="22" builtinId="33" hidden="1"/>
    <cellStyle name="Accent2 - 20%" xfId="121"/>
    <cellStyle name="Accent2 - 40%" xfId="122"/>
    <cellStyle name="Accent2 - 60%" xfId="123"/>
    <cellStyle name="Accent2 2" xfId="124"/>
    <cellStyle name="Accent3" xfId="26" builtinId="37" hidden="1"/>
    <cellStyle name="Accent3 - 20%" xfId="125"/>
    <cellStyle name="Accent3 - 40%" xfId="126"/>
    <cellStyle name="Accent3 - 60%" xfId="127"/>
    <cellStyle name="Accent3 2" xfId="128"/>
    <cellStyle name="Accent4" xfId="30" builtinId="41" hidden="1"/>
    <cellStyle name="Accent4 - 20%" xfId="129"/>
    <cellStyle name="Accent4 - 40%" xfId="130"/>
    <cellStyle name="Accent4 - 60%" xfId="131"/>
    <cellStyle name="Accent4 2" xfId="132"/>
    <cellStyle name="Accent5" xfId="34" builtinId="45" hidden="1"/>
    <cellStyle name="Accent5 - 20%" xfId="133"/>
    <cellStyle name="Accent5 - 40%" xfId="134"/>
    <cellStyle name="Accent5 - 60%" xfId="135"/>
    <cellStyle name="Accent5 2" xfId="136"/>
    <cellStyle name="Accent6" xfId="38" builtinId="49" hidden="1"/>
    <cellStyle name="Accent6 - 20%" xfId="137"/>
    <cellStyle name="Accent6 - 40%" xfId="138"/>
    <cellStyle name="Accent6 - 60%" xfId="139"/>
    <cellStyle name="Accent6 2" xfId="140"/>
    <cellStyle name="AER" xfId="52"/>
    <cellStyle name="Agara" xfId="141"/>
    <cellStyle name="B79812_.wvu.PrintTitlest" xfId="142"/>
    <cellStyle name="Bad" xfId="11" builtinId="27" hidden="1"/>
    <cellStyle name="Bad 2" xfId="143"/>
    <cellStyle name="Black" xfId="144"/>
    <cellStyle name="Blockout" xfId="145"/>
    <cellStyle name="Blockout 2" xfId="146"/>
    <cellStyle name="Blue" xfId="147"/>
    <cellStyle name="Calculation" xfId="15" builtinId="22" customBuiltin="1"/>
    <cellStyle name="Calculation 2" xfId="148"/>
    <cellStyle name="Check Cell" xfId="16" builtinId="23" hidden="1"/>
    <cellStyle name="Check Cell 2" xfId="149"/>
    <cellStyle name="colour-01" xfId="315"/>
    <cellStyle name="Comma" xfId="1" builtinId="3" hidden="1"/>
    <cellStyle name="Comma [0]" xfId="5" builtinId="6" hidden="1"/>
    <cellStyle name="Comma [0]7Z_87C" xfId="150"/>
    <cellStyle name="Comma 0" xfId="151"/>
    <cellStyle name="Comma 1" xfId="152"/>
    <cellStyle name="Comma 1 2" xfId="153"/>
    <cellStyle name="Comma 2" xfId="63"/>
    <cellStyle name="Comma 2 2" xfId="154"/>
    <cellStyle name="Comma 2 3" xfId="155"/>
    <cellStyle name="Comma 2 3 2" xfId="156"/>
    <cellStyle name="Comma 2 4" xfId="157"/>
    <cellStyle name="Comma 2 5" xfId="158"/>
    <cellStyle name="Comma 3" xfId="159"/>
    <cellStyle name="Comma 3 2" xfId="160"/>
    <cellStyle name="Comma 3 3" xfId="161"/>
    <cellStyle name="Comma 4" xfId="162"/>
    <cellStyle name="Comma 5" xfId="163"/>
    <cellStyle name="Comma 6" xfId="164"/>
    <cellStyle name="Comma 7" xfId="165"/>
    <cellStyle name="Comma 8" xfId="166"/>
    <cellStyle name="Comma0" xfId="167"/>
    <cellStyle name="Currency" xfId="2" builtinId="4" hidden="1"/>
    <cellStyle name="Currency" xfId="51"/>
    <cellStyle name="Currency [0]" xfId="6" builtinId="7" hidden="1"/>
    <cellStyle name="Currency 11" xfId="168"/>
    <cellStyle name="Currency 11 2" xfId="169"/>
    <cellStyle name="Currency 2" xfId="170"/>
    <cellStyle name="Currency 2 2" xfId="55"/>
    <cellStyle name="Currency 2 3" xfId="56"/>
    <cellStyle name="Currency 3" xfId="171"/>
    <cellStyle name="Currency 3 2" xfId="172"/>
    <cellStyle name="Currency 4" xfId="173"/>
    <cellStyle name="Currency 4 2" xfId="174"/>
    <cellStyle name="Currency 5" xfId="54"/>
    <cellStyle name="D4_B8B1_005004B79812_.wvu.PrintTitlest" xfId="175"/>
    <cellStyle name="Date" xfId="176"/>
    <cellStyle name="Date 2" xfId="177"/>
    <cellStyle name="Emphasis 1" xfId="178"/>
    <cellStyle name="Emphasis 2" xfId="179"/>
    <cellStyle name="Emphasis 3" xfId="180"/>
    <cellStyle name="Euro" xfId="181"/>
    <cellStyle name="Explanatory Text" xfId="17" builtinId="53" hidden="1"/>
    <cellStyle name="Explanatory Text 2" xfId="182"/>
    <cellStyle name="Fixed" xfId="183"/>
    <cellStyle name="Fixed 2" xfId="184"/>
    <cellStyle name="Gilsans" xfId="185"/>
    <cellStyle name="Gilsansl" xfId="186"/>
    <cellStyle name="Good" xfId="10" builtinId="26" hidden="1"/>
    <cellStyle name="Good 2" xfId="187"/>
    <cellStyle name="Heading 1" xfId="8" builtinId="16" customBuiltin="1"/>
    <cellStyle name="Heading 1 2" xfId="188"/>
    <cellStyle name="Heading 1 2 2" xfId="189"/>
    <cellStyle name="Heading 1 3" xfId="190"/>
    <cellStyle name="Heading 2" xfId="9" builtinId="17" customBuiltin="1"/>
    <cellStyle name="Heading 2 2" xfId="191"/>
    <cellStyle name="Heading 2 2 2" xfId="192"/>
    <cellStyle name="Heading 2 3" xfId="193"/>
    <cellStyle name="Heading 3" xfId="49" builtinId="18" customBuiltin="1"/>
    <cellStyle name="Heading 3 2" xfId="194"/>
    <cellStyle name="Heading 3 2 2" xfId="195"/>
    <cellStyle name="Heading 3 2 3" xfId="196"/>
    <cellStyle name="Heading 3 3" xfId="197"/>
    <cellStyle name="Heading 4 2" xfId="198"/>
    <cellStyle name="Heading 4 2 2" xfId="199"/>
    <cellStyle name="Heading 4 3" xfId="200"/>
    <cellStyle name="Heading(4)" xfId="201"/>
    <cellStyle name="Hyperlink 2" xfId="202"/>
    <cellStyle name="Hyperlink Arrow" xfId="203"/>
    <cellStyle name="Hyperlink Text" xfId="204"/>
    <cellStyle name="import_ICRC Electricity model 1-1  (1 Feb 2003) " xfId="205"/>
    <cellStyle name="Input" xfId="13" builtinId="20" customBuiltin="1"/>
    <cellStyle name="Input 2" xfId="206"/>
    <cellStyle name="Input1" xfId="65"/>
    <cellStyle name="Input1 2" xfId="207"/>
    <cellStyle name="Input1_ICRC Electricity model 1-1  (1 Feb 2003) " xfId="208"/>
    <cellStyle name="Input2" xfId="209"/>
    <cellStyle name="Input2 2" xfId="210"/>
    <cellStyle name="Input3" xfId="66"/>
    <cellStyle name="Input3 2" xfId="211"/>
    <cellStyle name="Lines" xfId="212"/>
    <cellStyle name="Linked Cell" xfId="44" builtinId="24" hidden="1"/>
    <cellStyle name="Linked Cell 2" xfId="213"/>
    <cellStyle name="Mine" xfId="214"/>
    <cellStyle name="Model Name" xfId="215"/>
    <cellStyle name="Neutral" xfId="12" builtinId="28" hidden="1"/>
    <cellStyle name="Neutral 2" xfId="216"/>
    <cellStyle name="Normal" xfId="0" builtinId="0" customBuiltin="1"/>
    <cellStyle name="Normal - Style1" xfId="217"/>
    <cellStyle name="Normal 10" xfId="53"/>
    <cellStyle name="Normal 114" xfId="68"/>
    <cellStyle name="Normal 13" xfId="218"/>
    <cellStyle name="Normal 13 2" xfId="219"/>
    <cellStyle name="Normal 13_29(d) - Gas extensions -tariffs" xfId="220"/>
    <cellStyle name="Normal 15" xfId="221"/>
    <cellStyle name="Normal 16" xfId="222"/>
    <cellStyle name="Normal 2" xfId="57"/>
    <cellStyle name="Normal 2 2" xfId="64"/>
    <cellStyle name="Normal 2 2 2" xfId="223"/>
    <cellStyle name="Normal 2 3" xfId="224"/>
    <cellStyle name="Normal 2 3 2" xfId="225"/>
    <cellStyle name="Normal 2 3_29(d) - Gas extensions -tariffs" xfId="226"/>
    <cellStyle name="Normal 2 4" xfId="227"/>
    <cellStyle name="Normal 2 5" xfId="228"/>
    <cellStyle name="Normal 2_29(d) - Gas extensions -tariffs" xfId="229"/>
    <cellStyle name="Normal 3" xfId="60"/>
    <cellStyle name="Normal 3 2" xfId="230"/>
    <cellStyle name="Normal 3_29(d) - Gas extensions -tariffs" xfId="231"/>
    <cellStyle name="Normal 38" xfId="232"/>
    <cellStyle name="Normal 38 2" xfId="233"/>
    <cellStyle name="Normal 38_29(d) - Gas extensions -tariffs" xfId="234"/>
    <cellStyle name="Normal 4" xfId="62"/>
    <cellStyle name="Normal 4 2" xfId="67"/>
    <cellStyle name="Normal 4 3" xfId="235"/>
    <cellStyle name="Normal 4_29(d) - Gas extensions -tariffs" xfId="236"/>
    <cellStyle name="Normal 40" xfId="237"/>
    <cellStyle name="Normal 40 2" xfId="238"/>
    <cellStyle name="Normal 40_29(d) - Gas extensions -tariffs" xfId="239"/>
    <cellStyle name="Normal 5" xfId="240"/>
    <cellStyle name="Normal 6 2" xfId="241"/>
    <cellStyle name="Normal 7" xfId="242"/>
    <cellStyle name="Normal 7 2" xfId="243"/>
    <cellStyle name="Normal 8" xfId="244"/>
    <cellStyle name="Normal 9" xfId="245"/>
    <cellStyle name="Note" xfId="4" builtinId="10" customBuiltin="1"/>
    <cellStyle name="Note 2" xfId="246"/>
    <cellStyle name="Output" xfId="14" builtinId="21" hidden="1" customBuiltin="1"/>
    <cellStyle name="Output" xfId="50"/>
    <cellStyle name="Output 2" xfId="247"/>
    <cellStyle name="Percent" xfId="3" builtinId="5" hidden="1"/>
    <cellStyle name="Percent" xfId="48"/>
    <cellStyle name="Percent [2]" xfId="248"/>
    <cellStyle name="Percent [2] 2" xfId="249"/>
    <cellStyle name="Percent [2]_29(d) - Gas extensions -tariffs" xfId="250"/>
    <cellStyle name="Percent 2" xfId="61"/>
    <cellStyle name="Percent 2 2" xfId="251"/>
    <cellStyle name="Percent 3" xfId="252"/>
    <cellStyle name="Percent 3 2" xfId="253"/>
    <cellStyle name="Percent 4" xfId="254"/>
    <cellStyle name="Percent 5" xfId="58"/>
    <cellStyle name="Percent 7" xfId="255"/>
    <cellStyle name="Percentage" xfId="256"/>
    <cellStyle name="Period Title" xfId="257"/>
    <cellStyle name="PSChar" xfId="258"/>
    <cellStyle name="PSDate" xfId="259"/>
    <cellStyle name="PSDec" xfId="260"/>
    <cellStyle name="PSDetail" xfId="261"/>
    <cellStyle name="PSHeading" xfId="262"/>
    <cellStyle name="PSInt" xfId="263"/>
    <cellStyle name="PSSpacer" xfId="264"/>
    <cellStyle name="Ratio" xfId="265"/>
    <cellStyle name="Ratio 2" xfId="266"/>
    <cellStyle name="Ratio_29(d) - Gas extensions -tariffs" xfId="267"/>
    <cellStyle name="Right Date" xfId="268"/>
    <cellStyle name="Right Number" xfId="269"/>
    <cellStyle name="Right Year" xfId="270"/>
    <cellStyle name="SAPError" xfId="271"/>
    <cellStyle name="SAPError 2" xfId="272"/>
    <cellStyle name="SAPKey" xfId="273"/>
    <cellStyle name="SAPKey 2" xfId="274"/>
    <cellStyle name="SAPLocked" xfId="275"/>
    <cellStyle name="SAPLocked 2" xfId="276"/>
    <cellStyle name="SAPOutput" xfId="277"/>
    <cellStyle name="SAPOutput 2" xfId="278"/>
    <cellStyle name="SAPSpace" xfId="279"/>
    <cellStyle name="SAPSpace 2" xfId="280"/>
    <cellStyle name="SAPText" xfId="281"/>
    <cellStyle name="SAPText 2" xfId="282"/>
    <cellStyle name="SAPUnLocked" xfId="283"/>
    <cellStyle name="SAPUnLocked 2" xfId="284"/>
    <cellStyle name="Sheet Title" xfId="285"/>
    <cellStyle name="SheetHeader1" xfId="59"/>
    <cellStyle name="Style 1" xfId="286"/>
    <cellStyle name="Style 1 2" xfId="287"/>
    <cellStyle name="Style 1_29(d) - Gas extensions -tariffs" xfId="288"/>
    <cellStyle name="Style2" xfId="289"/>
    <cellStyle name="Style3" xfId="290"/>
    <cellStyle name="Style4" xfId="291"/>
    <cellStyle name="Style4 2" xfId="292"/>
    <cellStyle name="Style4_29(d) - Gas extensions -tariffs" xfId="293"/>
    <cellStyle name="Style5" xfId="294"/>
    <cellStyle name="Style5 2" xfId="295"/>
    <cellStyle name="Style5_29(d) - Gas extensions -tariffs" xfId="296"/>
    <cellStyle name="Table body number" xfId="47"/>
    <cellStyle name="Table body Text" xfId="46"/>
    <cellStyle name="Table Head Green" xfId="297"/>
    <cellStyle name="Table Head_pldt" xfId="298"/>
    <cellStyle name="Table Heading 1" xfId="45"/>
    <cellStyle name="Table Source" xfId="299"/>
    <cellStyle name="Table Units" xfId="300"/>
    <cellStyle name="TableLvl2" xfId="69"/>
    <cellStyle name="TableLvl3" xfId="70"/>
    <cellStyle name="Text" xfId="301"/>
    <cellStyle name="Text 2" xfId="302"/>
    <cellStyle name="Text 3" xfId="303"/>
    <cellStyle name="Text Head 1" xfId="304"/>
    <cellStyle name="Text Head 2" xfId="305"/>
    <cellStyle name="Text Indent 2" xfId="306"/>
    <cellStyle name="Theirs" xfId="307"/>
    <cellStyle name="Title" xfId="7" builtinId="15" customBuiltin="1"/>
    <cellStyle name="Title 2" xfId="308"/>
    <cellStyle name="TOC 1" xfId="309"/>
    <cellStyle name="TOC 2" xfId="310"/>
    <cellStyle name="TOC 3" xfId="311"/>
    <cellStyle name="Total" xfId="43" builtinId="25" hidden="1"/>
    <cellStyle name="Warning Text" xfId="42" builtinId="11" hidden="1"/>
    <cellStyle name="Warning Text 2" xfId="312"/>
    <cellStyle name="year" xfId="313"/>
    <cellStyle name="year 2" xfId="314"/>
  </cellStyles>
  <dxfs count="0"/>
  <tableStyles count="0" defaultTableStyle="TableStyleMedium2" defaultPivotStyle="PivotStyleLight16"/>
  <colors>
    <mruColors>
      <color rgb="FFC8102E"/>
      <color rgb="FF92C82A"/>
      <color rgb="FF25282A"/>
      <color rgb="FFFFD100"/>
      <color rgb="FFABB1B5"/>
      <color rgb="FFD3F1E2"/>
      <color rgb="FFF9B5C0"/>
      <color rgb="FFBEAFA8"/>
      <color rgb="FF5FC8D7"/>
      <color rgb="FF00A67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Outputs│Tables!$E$12</c:f>
              <c:strCache>
                <c:ptCount val="1"/>
                <c:pt idx="0">
                  <c:v>Historic Operating Expenditure less debt raising costs ($m Real 2017)</c:v>
                </c:pt>
              </c:strCache>
            </c:strRef>
          </c:tx>
          <c:spPr>
            <a:ln w="38100">
              <a:solidFill>
                <a:srgbClr val="25282A"/>
              </a:solidFill>
            </a:ln>
          </c:spPr>
          <c:marker>
            <c:symbol val="none"/>
          </c:marker>
          <c:cat>
            <c:strRef>
              <c:f>Outputs│Tables!$H$14:$K$14</c:f>
              <c:strCache>
                <c:ptCount val="4"/>
                <c:pt idx="0">
                  <c:v>2013</c:v>
                </c:pt>
                <c:pt idx="1">
                  <c:v>2014</c:v>
                </c:pt>
                <c:pt idx="2">
                  <c:v>2015</c:v>
                </c:pt>
                <c:pt idx="3">
                  <c:v>2016(e)</c:v>
                </c:pt>
              </c:strCache>
            </c:strRef>
          </c:cat>
          <c:val>
            <c:numRef>
              <c:f>Outputs│Tables!$H$20:$K$20</c:f>
              <c:numCache>
                <c:formatCode>_-* #,##0.0_-;\-* #,##0.0_-;_-* "-"??_-;_-@_-</c:formatCode>
                <c:ptCount val="4"/>
                <c:pt idx="0">
                  <c:v>27.772334679810882</c:v>
                </c:pt>
                <c:pt idx="1">
                  <c:v>28.107098400072108</c:v>
                </c:pt>
                <c:pt idx="2">
                  <c:v>27.908851426761125</c:v>
                </c:pt>
                <c:pt idx="3">
                  <c:v>27.072085078589932</c:v>
                </c:pt>
              </c:numCache>
            </c:numRef>
          </c:val>
          <c:smooth val="0"/>
        </c:ser>
        <c:dLbls>
          <c:showLegendKey val="0"/>
          <c:showVal val="0"/>
          <c:showCatName val="0"/>
          <c:showSerName val="0"/>
          <c:showPercent val="0"/>
          <c:showBubbleSize val="0"/>
        </c:dLbls>
        <c:marker val="1"/>
        <c:smooth val="0"/>
        <c:axId val="148714624"/>
        <c:axId val="148716160"/>
      </c:lineChart>
      <c:catAx>
        <c:axId val="148714624"/>
        <c:scaling>
          <c:orientation val="minMax"/>
        </c:scaling>
        <c:delete val="0"/>
        <c:axPos val="b"/>
        <c:numFmt formatCode="General" sourceLinked="1"/>
        <c:majorTickMark val="out"/>
        <c:minorTickMark val="none"/>
        <c:tickLblPos val="low"/>
        <c:crossAx val="148716160"/>
        <c:crosses val="autoZero"/>
        <c:auto val="1"/>
        <c:lblAlgn val="ctr"/>
        <c:lblOffset val="100"/>
        <c:noMultiLvlLbl val="0"/>
      </c:catAx>
      <c:valAx>
        <c:axId val="148716160"/>
        <c:scaling>
          <c:orientation val="minMax"/>
          <c:max val="40"/>
          <c:min val="0"/>
        </c:scaling>
        <c:delete val="0"/>
        <c:axPos val="l"/>
        <c:majorGridlines/>
        <c:title>
          <c:tx>
            <c:rich>
              <a:bodyPr rot="-5400000" vert="horz"/>
              <a:lstStyle/>
              <a:p>
                <a:pPr>
                  <a:defRPr/>
                </a:pPr>
                <a:r>
                  <a:rPr lang="en-AU" sz="800" b="1" i="0" baseline="0">
                    <a:effectLst/>
                  </a:rPr>
                  <a:t>real 2017 $ million</a:t>
                </a:r>
                <a:endParaRPr lang="en-AU" sz="800">
                  <a:effectLst/>
                </a:endParaRPr>
              </a:p>
            </c:rich>
          </c:tx>
          <c:layout>
            <c:manualLayout>
              <c:xMode val="edge"/>
              <c:yMode val="edge"/>
              <c:x val="1.2164750957854405E-2"/>
              <c:y val="0.31713261207488808"/>
            </c:manualLayout>
          </c:layout>
          <c:overlay val="0"/>
        </c:title>
        <c:numFmt formatCode="General" sourceLinked="0"/>
        <c:majorTickMark val="out"/>
        <c:minorTickMark val="none"/>
        <c:tickLblPos val="nextTo"/>
        <c:crossAx val="148714624"/>
        <c:crosses val="autoZero"/>
        <c:crossBetween val="midCat"/>
        <c:majorUnit val="5"/>
        <c:minorUnit val="1"/>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Outputs│Graphs!$I$15</c:f>
              <c:strCache>
                <c:ptCount val="1"/>
                <c:pt idx="0">
                  <c:v>Operating Expenditure (actual)</c:v>
                </c:pt>
              </c:strCache>
            </c:strRef>
          </c:tx>
          <c:spPr>
            <a:solidFill>
              <a:srgbClr val="25282A"/>
            </a:solidFill>
            <a:ln>
              <a:solidFill>
                <a:srgbClr val="ABB1B5"/>
              </a:solidFill>
            </a:ln>
          </c:spPr>
          <c:invertIfNegative val="0"/>
          <c:dPt>
            <c:idx val="5"/>
            <c:invertIfNegative val="0"/>
            <c:bubble3D val="0"/>
            <c:spPr>
              <a:solidFill>
                <a:srgbClr val="C8102E"/>
              </a:solidFill>
              <a:ln>
                <a:solidFill>
                  <a:srgbClr val="ABB1B5"/>
                </a:solidFill>
              </a:ln>
            </c:spPr>
          </c:dPt>
          <c:dPt>
            <c:idx val="6"/>
            <c:invertIfNegative val="0"/>
            <c:bubble3D val="0"/>
            <c:spPr>
              <a:solidFill>
                <a:srgbClr val="C8102E"/>
              </a:solidFill>
              <a:ln>
                <a:solidFill>
                  <a:srgbClr val="ABB1B5"/>
                </a:solidFill>
              </a:ln>
            </c:spPr>
          </c:dPt>
          <c:dPt>
            <c:idx val="7"/>
            <c:invertIfNegative val="0"/>
            <c:bubble3D val="0"/>
            <c:spPr>
              <a:solidFill>
                <a:srgbClr val="C8102E"/>
              </a:solidFill>
              <a:ln>
                <a:solidFill>
                  <a:srgbClr val="ABB1B5"/>
                </a:solidFill>
              </a:ln>
            </c:spPr>
          </c:dPt>
          <c:dPt>
            <c:idx val="8"/>
            <c:invertIfNegative val="0"/>
            <c:bubble3D val="0"/>
            <c:spPr>
              <a:solidFill>
                <a:srgbClr val="C8102E"/>
              </a:solidFill>
              <a:ln>
                <a:solidFill>
                  <a:srgbClr val="ABB1B5"/>
                </a:solidFill>
              </a:ln>
            </c:spPr>
          </c:dPt>
          <c:dPt>
            <c:idx val="9"/>
            <c:invertIfNegative val="0"/>
            <c:bubble3D val="0"/>
            <c:spPr>
              <a:solidFill>
                <a:srgbClr val="C8102E"/>
              </a:solidFill>
              <a:ln>
                <a:solidFill>
                  <a:srgbClr val="ABB1B5"/>
                </a:solidFill>
              </a:ln>
            </c:spPr>
          </c:dPt>
          <c:cat>
            <c:strRef>
              <c:f>Outputs│Graphs!$J$14:$S$14</c:f>
              <c:strCache>
                <c:ptCount val="10"/>
                <c:pt idx="0">
                  <c:v>2013</c:v>
                </c:pt>
                <c:pt idx="1">
                  <c:v>2014</c:v>
                </c:pt>
                <c:pt idx="2">
                  <c:v>2015</c:v>
                </c:pt>
                <c:pt idx="3">
                  <c:v>2016(e)</c:v>
                </c:pt>
                <c:pt idx="4">
                  <c:v>2017(f)</c:v>
                </c:pt>
                <c:pt idx="5">
                  <c:v>2018(f)</c:v>
                </c:pt>
                <c:pt idx="6">
                  <c:v>2019(f)</c:v>
                </c:pt>
                <c:pt idx="7">
                  <c:v>2020(f)</c:v>
                </c:pt>
                <c:pt idx="8">
                  <c:v>2021(f)</c:v>
                </c:pt>
                <c:pt idx="9">
                  <c:v>2022(f)</c:v>
                </c:pt>
              </c:strCache>
            </c:strRef>
          </c:cat>
          <c:val>
            <c:numRef>
              <c:f>Outputs│Graphs!$J$15:$S$15</c:f>
              <c:numCache>
                <c:formatCode>_-* #,##0.0_-;\-* #,##0.0_-;_-* "-"??_-;_-@_-</c:formatCode>
                <c:ptCount val="10"/>
                <c:pt idx="0">
                  <c:v>27.772334679810882</c:v>
                </c:pt>
                <c:pt idx="1">
                  <c:v>28.107098400072108</c:v>
                </c:pt>
                <c:pt idx="2">
                  <c:v>27.908851426761125</c:v>
                </c:pt>
                <c:pt idx="3">
                  <c:v>27.072085078589932</c:v>
                </c:pt>
                <c:pt idx="4">
                  <c:v>28.408362700916307</c:v>
                </c:pt>
                <c:pt idx="5">
                  <c:v>27.856544642148265</c:v>
                </c:pt>
                <c:pt idx="6">
                  <c:v>28.190053958520426</c:v>
                </c:pt>
                <c:pt idx="7">
                  <c:v>28.344206434857739</c:v>
                </c:pt>
                <c:pt idx="8">
                  <c:v>29.284668925952712</c:v>
                </c:pt>
                <c:pt idx="9">
                  <c:v>29.559246467332365</c:v>
                </c:pt>
              </c:numCache>
            </c:numRef>
          </c:val>
        </c:ser>
        <c:ser>
          <c:idx val="0"/>
          <c:order val="2"/>
          <c:tx>
            <c:strRef>
              <c:f>Outputs│Graphs!$I$17</c:f>
              <c:strCache>
                <c:ptCount val="1"/>
                <c:pt idx="0">
                  <c:v>Operating Expenditure (forecast)</c:v>
                </c:pt>
              </c:strCache>
            </c:strRef>
          </c:tx>
          <c:spPr>
            <a:solidFill>
              <a:srgbClr val="C8102E"/>
            </a:solidFill>
            <a:ln>
              <a:solidFill>
                <a:srgbClr val="C8102E"/>
              </a:solidFill>
            </a:ln>
          </c:spPr>
          <c:invertIfNegative val="0"/>
          <c:cat>
            <c:strRef>
              <c:f>Outputs│Graphs!$J$14:$S$14</c:f>
              <c:strCache>
                <c:ptCount val="10"/>
                <c:pt idx="0">
                  <c:v>2013</c:v>
                </c:pt>
                <c:pt idx="1">
                  <c:v>2014</c:v>
                </c:pt>
                <c:pt idx="2">
                  <c:v>2015</c:v>
                </c:pt>
                <c:pt idx="3">
                  <c:v>2016(e)</c:v>
                </c:pt>
                <c:pt idx="4">
                  <c:v>2017(f)</c:v>
                </c:pt>
                <c:pt idx="5">
                  <c:v>2018(f)</c:v>
                </c:pt>
                <c:pt idx="6">
                  <c:v>2019(f)</c:v>
                </c:pt>
                <c:pt idx="7">
                  <c:v>2020(f)</c:v>
                </c:pt>
                <c:pt idx="8">
                  <c:v>2021(f)</c:v>
                </c:pt>
                <c:pt idx="9">
                  <c:v>2022(f)</c:v>
                </c:pt>
              </c:strCache>
            </c:strRef>
          </c:cat>
          <c:val>
            <c:numRef>
              <c:f>Outputs│Graphs!$T$17</c:f>
              <c:numCache>
                <c:formatCode>General</c:formatCode>
                <c:ptCount val="1"/>
              </c:numCache>
            </c:numRef>
          </c:val>
        </c:ser>
        <c:dLbls>
          <c:showLegendKey val="0"/>
          <c:showVal val="0"/>
          <c:showCatName val="0"/>
          <c:showSerName val="0"/>
          <c:showPercent val="0"/>
          <c:showBubbleSize val="0"/>
        </c:dLbls>
        <c:gapWidth val="20"/>
        <c:overlap val="75"/>
        <c:axId val="149001344"/>
        <c:axId val="149002880"/>
      </c:barChart>
      <c:lineChart>
        <c:grouping val="standard"/>
        <c:varyColors val="0"/>
        <c:ser>
          <c:idx val="2"/>
          <c:order val="1"/>
          <c:tx>
            <c:strRef>
              <c:f>Outputs│Graphs!$I$16</c:f>
              <c:strCache>
                <c:ptCount val="1"/>
                <c:pt idx="0">
                  <c:v>AER Forecast</c:v>
                </c:pt>
              </c:strCache>
            </c:strRef>
          </c:tx>
          <c:spPr>
            <a:ln>
              <a:solidFill>
                <a:srgbClr val="92C82A"/>
              </a:solidFill>
            </a:ln>
          </c:spPr>
          <c:marker>
            <c:symbol val="none"/>
          </c:marker>
          <c:cat>
            <c:strRef>
              <c:f>Outputs│Graphs!$J$14:$S$14</c:f>
              <c:strCache>
                <c:ptCount val="10"/>
                <c:pt idx="0">
                  <c:v>2013</c:v>
                </c:pt>
                <c:pt idx="1">
                  <c:v>2014</c:v>
                </c:pt>
                <c:pt idx="2">
                  <c:v>2015</c:v>
                </c:pt>
                <c:pt idx="3">
                  <c:v>2016(e)</c:v>
                </c:pt>
                <c:pt idx="4">
                  <c:v>2017(f)</c:v>
                </c:pt>
                <c:pt idx="5">
                  <c:v>2018(f)</c:v>
                </c:pt>
                <c:pt idx="6">
                  <c:v>2019(f)</c:v>
                </c:pt>
                <c:pt idx="7">
                  <c:v>2020(f)</c:v>
                </c:pt>
                <c:pt idx="8">
                  <c:v>2021(f)</c:v>
                </c:pt>
                <c:pt idx="9">
                  <c:v>2022(f)</c:v>
                </c:pt>
              </c:strCache>
            </c:strRef>
          </c:cat>
          <c:val>
            <c:numRef>
              <c:f>Outputs│Graphs!$J$16:$S$16</c:f>
              <c:numCache>
                <c:formatCode>_-* #,##0.0_-;\-* #,##0.0_-;_-* "-"??_-;_-@_-</c:formatCode>
                <c:ptCount val="10"/>
                <c:pt idx="0">
                  <c:v>32.666504948661078</c:v>
                </c:pt>
                <c:pt idx="1">
                  <c:v>31.973910471031243</c:v>
                </c:pt>
                <c:pt idx="2">
                  <c:v>32.921417311874542</c:v>
                </c:pt>
                <c:pt idx="3">
                  <c:v>34.001945612685851</c:v>
                </c:pt>
                <c:pt idx="4">
                  <c:v>33.946335518887111</c:v>
                </c:pt>
              </c:numCache>
            </c:numRef>
          </c:val>
          <c:smooth val="0"/>
        </c:ser>
        <c:dLbls>
          <c:showLegendKey val="0"/>
          <c:showVal val="0"/>
          <c:showCatName val="0"/>
          <c:showSerName val="0"/>
          <c:showPercent val="0"/>
          <c:showBubbleSize val="0"/>
        </c:dLbls>
        <c:marker val="1"/>
        <c:smooth val="0"/>
        <c:axId val="149001344"/>
        <c:axId val="149002880"/>
      </c:lineChart>
      <c:catAx>
        <c:axId val="149001344"/>
        <c:scaling>
          <c:orientation val="minMax"/>
        </c:scaling>
        <c:delete val="0"/>
        <c:axPos val="b"/>
        <c:numFmt formatCode="General" sourceLinked="1"/>
        <c:majorTickMark val="out"/>
        <c:minorTickMark val="none"/>
        <c:tickLblPos val="nextTo"/>
        <c:crossAx val="149002880"/>
        <c:crosses val="autoZero"/>
        <c:auto val="1"/>
        <c:lblAlgn val="ctr"/>
        <c:lblOffset val="100"/>
        <c:noMultiLvlLbl val="0"/>
      </c:catAx>
      <c:valAx>
        <c:axId val="149002880"/>
        <c:scaling>
          <c:orientation val="minMax"/>
          <c:max val="40"/>
          <c:min val="0"/>
        </c:scaling>
        <c:delete val="0"/>
        <c:axPos val="l"/>
        <c:majorGridlines/>
        <c:title>
          <c:tx>
            <c:rich>
              <a:bodyPr rot="0" vert="horz"/>
              <a:lstStyle/>
              <a:p>
                <a:pPr>
                  <a:defRPr/>
                </a:pPr>
                <a:r>
                  <a:rPr lang="en-US"/>
                  <a:t>M</a:t>
                </a:r>
              </a:p>
            </c:rich>
          </c:tx>
          <c:overlay val="0"/>
        </c:title>
        <c:numFmt formatCode="General" sourceLinked="0"/>
        <c:majorTickMark val="out"/>
        <c:minorTickMark val="none"/>
        <c:tickLblPos val="nextTo"/>
        <c:crossAx val="14900134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33678160919541"/>
          <c:y val="2.6833336045449997E-2"/>
          <c:w val="0.79314865900383147"/>
          <c:h val="0.73513203218670808"/>
        </c:manualLayout>
      </c:layout>
      <c:barChart>
        <c:barDir val="col"/>
        <c:grouping val="clustered"/>
        <c:varyColors val="0"/>
        <c:ser>
          <c:idx val="1"/>
          <c:order val="0"/>
          <c:tx>
            <c:strRef>
              <c:f>Outputs│Tables!$E$40</c:f>
              <c:strCache>
                <c:ptCount val="1"/>
                <c:pt idx="0">
                  <c:v>APA VTS actual expenditure</c:v>
                </c:pt>
              </c:strCache>
            </c:strRef>
          </c:tx>
          <c:spPr>
            <a:solidFill>
              <a:srgbClr val="25282A"/>
            </a:solidFill>
            <a:ln w="38100">
              <a:noFill/>
            </a:ln>
          </c:spPr>
          <c:invertIfNegative val="0"/>
          <c:cat>
            <c:strRef>
              <c:f>Outputs│Tables!$G$31:$K$31</c:f>
              <c:strCache>
                <c:ptCount val="5"/>
                <c:pt idx="0">
                  <c:v>2013</c:v>
                </c:pt>
                <c:pt idx="1">
                  <c:v>2014</c:v>
                </c:pt>
                <c:pt idx="2">
                  <c:v>2015</c:v>
                </c:pt>
                <c:pt idx="3">
                  <c:v>2016(e)</c:v>
                </c:pt>
                <c:pt idx="4">
                  <c:v>2017(f)</c:v>
                </c:pt>
              </c:strCache>
            </c:strRef>
          </c:cat>
          <c:val>
            <c:numRef>
              <c:f>Outputs│Tables!$G$40:$K$40</c:f>
              <c:numCache>
                <c:formatCode>_(* #,##0.00_);_(* \(#,##0.00\);_(* "-"??_);_(@_)</c:formatCode>
                <c:ptCount val="5"/>
                <c:pt idx="0">
                  <c:v>25.685486315999995</c:v>
                </c:pt>
                <c:pt idx="1">
                  <c:v>26.618977757999996</c:v>
                </c:pt>
                <c:pt idx="2">
                  <c:v>27.224163709468009</c:v>
                </c:pt>
                <c:pt idx="3">
                  <c:v>26.80404463226726</c:v>
                </c:pt>
                <c:pt idx="4">
                  <c:v>28.408362700916307</c:v>
                </c:pt>
              </c:numCache>
            </c:numRef>
          </c:val>
        </c:ser>
        <c:dLbls>
          <c:showLegendKey val="0"/>
          <c:showVal val="0"/>
          <c:showCatName val="0"/>
          <c:showSerName val="0"/>
          <c:showPercent val="0"/>
          <c:showBubbleSize val="0"/>
        </c:dLbls>
        <c:gapWidth val="150"/>
        <c:axId val="154830720"/>
        <c:axId val="156332032"/>
      </c:barChart>
      <c:lineChart>
        <c:grouping val="standard"/>
        <c:varyColors val="0"/>
        <c:ser>
          <c:idx val="2"/>
          <c:order val="1"/>
          <c:tx>
            <c:strRef>
              <c:f>Outputs│Tables!$E$39</c:f>
              <c:strCache>
                <c:ptCount val="1"/>
                <c:pt idx="0">
                  <c:v>AER forecast</c:v>
                </c:pt>
              </c:strCache>
            </c:strRef>
          </c:tx>
          <c:spPr>
            <a:ln w="38100">
              <a:solidFill>
                <a:schemeClr val="accent2"/>
              </a:solidFill>
            </a:ln>
          </c:spPr>
          <c:marker>
            <c:symbol val="none"/>
          </c:marker>
          <c:cat>
            <c:strRef>
              <c:f>Outputs│Tables!$G$31:$K$31</c:f>
              <c:strCache>
                <c:ptCount val="5"/>
                <c:pt idx="0">
                  <c:v>2013</c:v>
                </c:pt>
                <c:pt idx="1">
                  <c:v>2014</c:v>
                </c:pt>
                <c:pt idx="2">
                  <c:v>2015</c:v>
                </c:pt>
                <c:pt idx="3">
                  <c:v>2016(e)</c:v>
                </c:pt>
                <c:pt idx="4">
                  <c:v>2017(f)</c:v>
                </c:pt>
              </c:strCache>
            </c:strRef>
          </c:cat>
          <c:val>
            <c:numRef>
              <c:f>Outputs│Tables!$G$39:$K$39</c:f>
              <c:numCache>
                <c:formatCode>_(* #,##0.00_);_(* \(#,##0.00\);_(* "-"??_);_(@_)</c:formatCode>
                <c:ptCount val="5"/>
                <c:pt idx="0">
                  <c:v>30.211902439024396</c:v>
                </c:pt>
                <c:pt idx="1">
                  <c:v>30.281062795954792</c:v>
                </c:pt>
                <c:pt idx="2">
                  <c:v>32.113756339925423</c:v>
                </c:pt>
                <c:pt idx="3">
                  <c:v>33.665292685827573</c:v>
                </c:pt>
                <c:pt idx="4">
                  <c:v>33.946335518887111</c:v>
                </c:pt>
              </c:numCache>
            </c:numRef>
          </c:val>
          <c:smooth val="0"/>
        </c:ser>
        <c:dLbls>
          <c:showLegendKey val="0"/>
          <c:showVal val="0"/>
          <c:showCatName val="0"/>
          <c:showSerName val="0"/>
          <c:showPercent val="0"/>
          <c:showBubbleSize val="0"/>
        </c:dLbls>
        <c:marker val="1"/>
        <c:smooth val="0"/>
        <c:axId val="154830720"/>
        <c:axId val="156332032"/>
      </c:lineChart>
      <c:catAx>
        <c:axId val="154830720"/>
        <c:scaling>
          <c:orientation val="minMax"/>
        </c:scaling>
        <c:delete val="0"/>
        <c:axPos val="b"/>
        <c:numFmt formatCode="General" sourceLinked="1"/>
        <c:majorTickMark val="out"/>
        <c:minorTickMark val="none"/>
        <c:tickLblPos val="low"/>
        <c:crossAx val="156332032"/>
        <c:crossesAt val="0"/>
        <c:auto val="1"/>
        <c:lblAlgn val="ctr"/>
        <c:lblOffset val="100"/>
        <c:noMultiLvlLbl val="0"/>
      </c:catAx>
      <c:valAx>
        <c:axId val="156332032"/>
        <c:scaling>
          <c:orientation val="minMax"/>
          <c:max val="40"/>
          <c:min val="0"/>
        </c:scaling>
        <c:delete val="0"/>
        <c:axPos val="l"/>
        <c:majorGridlines/>
        <c:title>
          <c:tx>
            <c:rich>
              <a:bodyPr rot="-5400000" vert="horz"/>
              <a:lstStyle/>
              <a:p>
                <a:pPr>
                  <a:defRPr/>
                </a:pPr>
                <a:r>
                  <a:rPr lang="en-AU" baseline="0"/>
                  <a:t>$ million</a:t>
                </a:r>
                <a:endParaRPr lang="en-AU"/>
              </a:p>
            </c:rich>
          </c:tx>
          <c:layout>
            <c:manualLayout>
              <c:xMode val="edge"/>
              <c:yMode val="edge"/>
              <c:x val="7.2988505747126438E-3"/>
              <c:y val="0.32341921972057347"/>
            </c:manualLayout>
          </c:layout>
          <c:overlay val="0"/>
        </c:title>
        <c:numFmt formatCode="General" sourceLinked="0"/>
        <c:majorTickMark val="out"/>
        <c:minorTickMark val="none"/>
        <c:tickLblPos val="nextTo"/>
        <c:crossAx val="154830720"/>
        <c:crosses val="autoZero"/>
        <c:crossBetween val="between"/>
        <c:majorUnit val="5"/>
        <c:minorUnit val="1"/>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'Input│ Historic Opex'!$A$155:$A$162</c:f>
              <c:strCache>
                <c:ptCount val="1"/>
                <c:pt idx="0">
                  <c:v>Networks Transmission Generation Allgas Wallumbilla Gas Pipelines Australian Gas Network Commercial Development Residual</c:v>
                </c:pt>
              </c:strCache>
            </c:strRef>
          </c:tx>
          <c:spPr>
            <a:ln>
              <a:noFill/>
            </a:ln>
          </c:spPr>
          <c:dPt>
            <c:idx val="0"/>
            <c:bubble3D val="0"/>
            <c:spPr>
              <a:solidFill>
                <a:srgbClr val="92C82A"/>
              </a:solidFill>
              <a:ln>
                <a:noFill/>
              </a:ln>
            </c:spPr>
          </c:dPt>
          <c:dPt>
            <c:idx val="1"/>
            <c:bubble3D val="0"/>
            <c:spPr>
              <a:solidFill>
                <a:schemeClr val="accent6">
                  <a:lumMod val="50000"/>
                </a:schemeClr>
              </a:solidFill>
              <a:ln>
                <a:noFill/>
              </a:ln>
            </c:spPr>
          </c:dPt>
          <c:dPt>
            <c:idx val="2"/>
            <c:bubble3D val="0"/>
            <c:spPr>
              <a:solidFill>
                <a:srgbClr val="FFD100"/>
              </a:solidFill>
              <a:ln>
                <a:noFill/>
              </a:ln>
            </c:spPr>
          </c:dPt>
          <c:dPt>
            <c:idx val="3"/>
            <c:bubble3D val="0"/>
            <c:spPr>
              <a:solidFill>
                <a:srgbClr val="5FC8D7"/>
              </a:solidFill>
              <a:ln>
                <a:noFill/>
              </a:ln>
            </c:spPr>
          </c:dPt>
          <c:dPt>
            <c:idx val="4"/>
            <c:bubble3D val="0"/>
            <c:spPr>
              <a:solidFill>
                <a:schemeClr val="accent4"/>
              </a:solidFill>
              <a:ln>
                <a:noFill/>
              </a:ln>
            </c:spPr>
          </c:dPt>
          <c:dPt>
            <c:idx val="5"/>
            <c:bubble3D val="0"/>
            <c:spPr>
              <a:solidFill>
                <a:srgbClr val="25282A"/>
              </a:solidFill>
              <a:ln>
                <a:noFill/>
              </a:ln>
            </c:spPr>
          </c:dPt>
          <c:dPt>
            <c:idx val="6"/>
            <c:bubble3D val="0"/>
            <c:spPr>
              <a:solidFill>
                <a:srgbClr val="ABB1B5"/>
              </a:solidFill>
              <a:ln>
                <a:noFill/>
              </a:ln>
            </c:spPr>
          </c:dPt>
          <c:dPt>
            <c:idx val="7"/>
            <c:bubble3D val="0"/>
            <c:spPr>
              <a:solidFill>
                <a:srgbClr val="C8102E"/>
              </a:solidFill>
              <a:ln>
                <a:noFill/>
              </a:ln>
            </c:spPr>
          </c:dPt>
          <c:dLbls>
            <c:dLbl>
              <c:idx val="0"/>
              <c:delete val="1"/>
            </c:dLbl>
            <c:dLbl>
              <c:idx val="1"/>
              <c:delete val="1"/>
            </c:dLbl>
            <c:dLbl>
              <c:idx val="2"/>
              <c:layout>
                <c:manualLayout>
                  <c:x val="0"/>
                  <c:y val="-1.0329130561023612E-2"/>
                </c:manualLayout>
              </c:layout>
              <c:dLblPos val="bestFit"/>
              <c:showLegendKey val="0"/>
              <c:showVal val="1"/>
              <c:showCatName val="0"/>
              <c:showSerName val="0"/>
              <c:showPercent val="0"/>
              <c:showBubbleSize val="0"/>
            </c:dLbl>
            <c:dLbl>
              <c:idx val="6"/>
              <c:spPr>
                <a:noFill/>
                <a:ln>
                  <a:noFill/>
                </a:ln>
                <a:effectLst/>
              </c:spPr>
              <c:txPr>
                <a:bodyPr/>
                <a:lstStyle/>
                <a:p>
                  <a:pPr>
                    <a:defRPr/>
                  </a:pPr>
                  <a:endParaRPr lang="en-US"/>
                </a:p>
              </c:txPr>
              <c:dLblPos val="outEnd"/>
              <c:showLegendKey val="0"/>
              <c:showVal val="1"/>
              <c:showCatName val="0"/>
              <c:showSerName val="0"/>
              <c:showPercent val="0"/>
              <c:showBubbleSize val="0"/>
            </c:dLbl>
            <c:spPr>
              <a:ln>
                <a:noFill/>
              </a:ln>
              <a:effectLst/>
            </c:spPr>
            <c:dLblPos val="outEnd"/>
            <c:showLegendKey val="0"/>
            <c:showVal val="1"/>
            <c:showCatName val="0"/>
            <c:showSerName val="0"/>
            <c:showPercent val="0"/>
            <c:showBubbleSize val="0"/>
            <c:showLeaderLines val="0"/>
          </c:dLbls>
          <c:cat>
            <c:strRef>
              <c:f>'Input│ Historic Opex'!$A$155:$A$162</c:f>
              <c:strCache>
                <c:ptCount val="8"/>
                <c:pt idx="0">
                  <c:v>Networks</c:v>
                </c:pt>
                <c:pt idx="1">
                  <c:v>Transmission</c:v>
                </c:pt>
                <c:pt idx="2">
                  <c:v>Generation</c:v>
                </c:pt>
                <c:pt idx="3">
                  <c:v>Allgas</c:v>
                </c:pt>
                <c:pt idx="4">
                  <c:v>Wallumbilla Gas Pipelines</c:v>
                </c:pt>
                <c:pt idx="5">
                  <c:v>Australian Gas Network</c:v>
                </c:pt>
                <c:pt idx="6">
                  <c:v>Commercial Development</c:v>
                </c:pt>
                <c:pt idx="7">
                  <c:v>Residual</c:v>
                </c:pt>
              </c:strCache>
            </c:strRef>
          </c:cat>
          <c:val>
            <c:numRef>
              <c:f>'Input│ Historic Opex'!$H$155:$H$162</c:f>
              <c:numCache>
                <c:formatCode>_(* #,##0_);_(* \(#,##0\);_(* "-"_);_(@_)</c:formatCode>
                <c:ptCount val="8"/>
                <c:pt idx="0" formatCode="_-* #,##0.0_-;\-* #,##0.0_-;_-* &quot;-&quot;_-;_-@_-">
                  <c:v>0</c:v>
                </c:pt>
                <c:pt idx="1">
                  <c:v>0</c:v>
                </c:pt>
                <c:pt idx="2" formatCode="_-* #,##0.0_-;\-* #,##0.0_-;_-* &quot;-&quot;_-;_-@_-">
                  <c:v>0.82481599999999999</c:v>
                </c:pt>
                <c:pt idx="3" formatCode="_-* #,##0.0_-;\-* #,##0.0_-;_-* &quot;-&quot;_-;_-@_-">
                  <c:v>7.1044538800000003</c:v>
                </c:pt>
                <c:pt idx="4" formatCode="_-* #,##0.0_-;\-* #,##0.0_-;_-* &quot;-&quot;_-;_-@_-">
                  <c:v>1</c:v>
                </c:pt>
                <c:pt idx="5" formatCode="_-* #,##0.0_-;\-* #,##0.0_-;_-* &quot;-&quot;_-;_-@_-">
                  <c:v>14.616011</c:v>
                </c:pt>
                <c:pt idx="6" formatCode="_-* #,##0.0_-;\-* #,##0.0_-;_-* &quot;-&quot;_-;_-@_-">
                  <c:v>7.1571899999999999</c:v>
                </c:pt>
                <c:pt idx="7" formatCode="_-* #,##0.0_-;\-* #,##0.0_-;_-* &quot;-&quot;_-;_-@_-">
                  <c:v>58.875068120000002</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64191666666666669"/>
          <c:y val="0.15491214639836687"/>
          <c:w val="0.34141666666666665"/>
          <c:h val="0.7040642315543890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Outputs│Tables!$E$52</c:f>
              <c:strCache>
                <c:ptCount val="1"/>
                <c:pt idx="0">
                  <c:v>Corporate overheads</c:v>
                </c:pt>
              </c:strCache>
            </c:strRef>
          </c:tx>
          <c:spPr>
            <a:solidFill>
              <a:srgbClr val="25282A"/>
            </a:solidFill>
            <a:ln>
              <a:noFill/>
            </a:ln>
          </c:spPr>
          <c:invertIfNegative val="0"/>
          <c:cat>
            <c:strRef>
              <c:f>Outputs│Tables!$F$51:$J$51</c:f>
              <c:strCache>
                <c:ptCount val="5"/>
                <c:pt idx="0">
                  <c:v>2012</c:v>
                </c:pt>
                <c:pt idx="1">
                  <c:v>2013</c:v>
                </c:pt>
                <c:pt idx="2">
                  <c:v>2014</c:v>
                </c:pt>
                <c:pt idx="3">
                  <c:v>2015</c:v>
                </c:pt>
                <c:pt idx="4">
                  <c:v>2016(e)</c:v>
                </c:pt>
              </c:strCache>
            </c:strRef>
          </c:cat>
          <c:val>
            <c:numRef>
              <c:f>Outputs│Tables!$F$52:$J$52</c:f>
              <c:numCache>
                <c:formatCode>_-* #,##0.0_-;\-* #,##0.0_-;_-* "-"??_-;_-@_-</c:formatCode>
                <c:ptCount val="5"/>
                <c:pt idx="0">
                  <c:v>12.111128000000001</c:v>
                </c:pt>
                <c:pt idx="1">
                  <c:v>8.0634879999999995</c:v>
                </c:pt>
                <c:pt idx="2">
                  <c:v>8.9208572499999992</c:v>
                </c:pt>
                <c:pt idx="3">
                  <c:v>7.5282640184680085</c:v>
                </c:pt>
                <c:pt idx="4">
                  <c:v>6.3723294382672684</c:v>
                </c:pt>
              </c:numCache>
            </c:numRef>
          </c:val>
        </c:ser>
        <c:dLbls>
          <c:showLegendKey val="0"/>
          <c:showVal val="0"/>
          <c:showCatName val="0"/>
          <c:showSerName val="0"/>
          <c:showPercent val="0"/>
          <c:showBubbleSize val="0"/>
        </c:dLbls>
        <c:gapWidth val="150"/>
        <c:axId val="159421184"/>
        <c:axId val="159435008"/>
      </c:barChart>
      <c:catAx>
        <c:axId val="159421184"/>
        <c:scaling>
          <c:orientation val="minMax"/>
        </c:scaling>
        <c:delete val="0"/>
        <c:axPos val="b"/>
        <c:numFmt formatCode="General" sourceLinked="1"/>
        <c:majorTickMark val="out"/>
        <c:minorTickMark val="none"/>
        <c:tickLblPos val="low"/>
        <c:crossAx val="159435008"/>
        <c:crosses val="autoZero"/>
        <c:auto val="1"/>
        <c:lblAlgn val="ctr"/>
        <c:lblOffset val="100"/>
        <c:noMultiLvlLbl val="0"/>
      </c:catAx>
      <c:valAx>
        <c:axId val="159435008"/>
        <c:scaling>
          <c:orientation val="minMax"/>
        </c:scaling>
        <c:delete val="0"/>
        <c:axPos val="l"/>
        <c:majorGridlines/>
        <c:title>
          <c:tx>
            <c:rich>
              <a:bodyPr rot="-5400000" vert="horz"/>
              <a:lstStyle/>
              <a:p>
                <a:pPr>
                  <a:defRPr/>
                </a:pPr>
                <a:r>
                  <a:rPr lang="en-AU"/>
                  <a:t>$ million</a:t>
                </a:r>
              </a:p>
            </c:rich>
          </c:tx>
          <c:overlay val="0"/>
        </c:title>
        <c:numFmt formatCode="General" sourceLinked="0"/>
        <c:majorTickMark val="out"/>
        <c:minorTickMark val="none"/>
        <c:tickLblPos val="nextTo"/>
        <c:crossAx val="15942118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7547892720306"/>
          <c:y val="4.8818792406396486E-2"/>
          <c:w val="0.79314865900383147"/>
          <c:h val="0.73513203218670808"/>
        </c:manualLayout>
      </c:layout>
      <c:barChart>
        <c:barDir val="col"/>
        <c:grouping val="clustered"/>
        <c:varyColors val="0"/>
        <c:ser>
          <c:idx val="1"/>
          <c:order val="0"/>
          <c:tx>
            <c:strRef>
              <c:f>Outputs│Tables!$E$33</c:f>
              <c:strCache>
                <c:ptCount val="1"/>
                <c:pt idx="0">
                  <c:v>APA VTS actual expenditure</c:v>
                </c:pt>
              </c:strCache>
            </c:strRef>
          </c:tx>
          <c:spPr>
            <a:solidFill>
              <a:schemeClr val="accent3"/>
            </a:solidFill>
            <a:ln w="38100">
              <a:noFill/>
            </a:ln>
          </c:spPr>
          <c:invertIfNegative val="0"/>
          <c:cat>
            <c:strRef>
              <c:f>Outputs│Tables!$G$31:$K$31</c:f>
              <c:strCache>
                <c:ptCount val="5"/>
                <c:pt idx="0">
                  <c:v>2013</c:v>
                </c:pt>
                <c:pt idx="1">
                  <c:v>2014</c:v>
                </c:pt>
                <c:pt idx="2">
                  <c:v>2015</c:v>
                </c:pt>
                <c:pt idx="3">
                  <c:v>2016(e)</c:v>
                </c:pt>
                <c:pt idx="4">
                  <c:v>2017(f)</c:v>
                </c:pt>
              </c:strCache>
            </c:strRef>
          </c:cat>
          <c:val>
            <c:numRef>
              <c:f>Outputs│Tables!$G$33:$K$33</c:f>
              <c:numCache>
                <c:formatCode>_-* #,##0.0_-;\-* #,##0.0_-;_-* "-"??_-;_-@_-</c:formatCode>
                <c:ptCount val="5"/>
                <c:pt idx="0">
                  <c:v>12.842743157999998</c:v>
                </c:pt>
                <c:pt idx="1">
                  <c:v>26.618977757999996</c:v>
                </c:pt>
                <c:pt idx="2">
                  <c:v>27.224163709468009</c:v>
                </c:pt>
                <c:pt idx="3">
                  <c:v>26.80404463226726</c:v>
                </c:pt>
                <c:pt idx="4">
                  <c:v>28.408362700916307</c:v>
                </c:pt>
              </c:numCache>
            </c:numRef>
          </c:val>
        </c:ser>
        <c:dLbls>
          <c:showLegendKey val="0"/>
          <c:showVal val="0"/>
          <c:showCatName val="0"/>
          <c:showSerName val="0"/>
          <c:showPercent val="0"/>
          <c:showBubbleSize val="0"/>
        </c:dLbls>
        <c:gapWidth val="70"/>
        <c:axId val="163332096"/>
        <c:axId val="163337728"/>
      </c:barChart>
      <c:lineChart>
        <c:grouping val="standard"/>
        <c:varyColors val="0"/>
        <c:ser>
          <c:idx val="2"/>
          <c:order val="1"/>
          <c:tx>
            <c:strRef>
              <c:f>Outputs│Tables!$E$32</c:f>
              <c:strCache>
                <c:ptCount val="1"/>
                <c:pt idx="0">
                  <c:v>AER forecast</c:v>
                </c:pt>
              </c:strCache>
            </c:strRef>
          </c:tx>
          <c:spPr>
            <a:ln w="38100">
              <a:solidFill>
                <a:schemeClr val="accent2"/>
              </a:solidFill>
            </a:ln>
          </c:spPr>
          <c:marker>
            <c:symbol val="none"/>
          </c:marker>
          <c:cat>
            <c:strRef>
              <c:f>Outputs│Tables!$G$31:$K$31</c:f>
              <c:strCache>
                <c:ptCount val="5"/>
                <c:pt idx="0">
                  <c:v>2013</c:v>
                </c:pt>
                <c:pt idx="1">
                  <c:v>2014</c:v>
                </c:pt>
                <c:pt idx="2">
                  <c:v>2015</c:v>
                </c:pt>
                <c:pt idx="3">
                  <c:v>2016(e)</c:v>
                </c:pt>
                <c:pt idx="4">
                  <c:v>2017(f)</c:v>
                </c:pt>
              </c:strCache>
            </c:strRef>
          </c:cat>
          <c:val>
            <c:numRef>
              <c:f>Outputs│Tables!$G$32:$K$32</c:f>
              <c:numCache>
                <c:formatCode>_-* #,##0.0_-;\-* #,##0.0_-;_-* "-"??_-;_-@_-</c:formatCode>
                <c:ptCount val="5"/>
                <c:pt idx="0">
                  <c:v>15.105951219512198</c:v>
                </c:pt>
                <c:pt idx="1">
                  <c:v>30.281062795954792</c:v>
                </c:pt>
                <c:pt idx="2">
                  <c:v>32.113756339925423</c:v>
                </c:pt>
                <c:pt idx="3">
                  <c:v>33.665292685827573</c:v>
                </c:pt>
                <c:pt idx="4">
                  <c:v>33.946335518887111</c:v>
                </c:pt>
              </c:numCache>
            </c:numRef>
          </c:val>
          <c:smooth val="0"/>
        </c:ser>
        <c:dLbls>
          <c:showLegendKey val="0"/>
          <c:showVal val="0"/>
          <c:showCatName val="0"/>
          <c:showSerName val="0"/>
          <c:showPercent val="0"/>
          <c:showBubbleSize val="0"/>
        </c:dLbls>
        <c:marker val="1"/>
        <c:smooth val="0"/>
        <c:axId val="163332096"/>
        <c:axId val="163337728"/>
      </c:lineChart>
      <c:catAx>
        <c:axId val="163332096"/>
        <c:scaling>
          <c:orientation val="minMax"/>
        </c:scaling>
        <c:delete val="0"/>
        <c:axPos val="b"/>
        <c:numFmt formatCode="General" sourceLinked="1"/>
        <c:majorTickMark val="out"/>
        <c:minorTickMark val="none"/>
        <c:tickLblPos val="low"/>
        <c:crossAx val="163337728"/>
        <c:crossesAt val="0"/>
        <c:auto val="1"/>
        <c:lblAlgn val="ctr"/>
        <c:lblOffset val="100"/>
        <c:noMultiLvlLbl val="0"/>
      </c:catAx>
      <c:valAx>
        <c:axId val="163337728"/>
        <c:scaling>
          <c:orientation val="minMax"/>
          <c:max val="40"/>
          <c:min val="0"/>
        </c:scaling>
        <c:delete val="0"/>
        <c:axPos val="l"/>
        <c:majorGridlines>
          <c:spPr>
            <a:ln>
              <a:noFill/>
            </a:ln>
          </c:spPr>
        </c:majorGridlines>
        <c:title>
          <c:tx>
            <c:rich>
              <a:bodyPr rot="-5400000" vert="horz"/>
              <a:lstStyle/>
              <a:p>
                <a:pPr>
                  <a:defRPr/>
                </a:pPr>
                <a:r>
                  <a:rPr lang="en-AU" baseline="0"/>
                  <a:t> $ million</a:t>
                </a:r>
                <a:endParaRPr lang="en-AU"/>
              </a:p>
            </c:rich>
          </c:tx>
          <c:layout>
            <c:manualLayout>
              <c:xMode val="edge"/>
              <c:yMode val="edge"/>
              <c:x val="7.2988505747126438E-3"/>
              <c:y val="0.32341921972057347"/>
            </c:manualLayout>
          </c:layout>
          <c:overlay val="0"/>
        </c:title>
        <c:numFmt formatCode="General" sourceLinked="0"/>
        <c:majorTickMark val="out"/>
        <c:minorTickMark val="none"/>
        <c:tickLblPos val="nextTo"/>
        <c:crossAx val="163332096"/>
        <c:crosses val="autoZero"/>
        <c:crossBetween val="between"/>
        <c:majorUnit val="5"/>
        <c:minorUnit val="1"/>
      </c:valAx>
      <c:spPr>
        <a:noFill/>
      </c:spPr>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0</xdr:col>
      <xdr:colOff>2407306</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23877" y="400054"/>
          <a:ext cx="1883429" cy="749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0</xdr:col>
      <xdr:colOff>2407306</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23877" y="400054"/>
          <a:ext cx="1883429" cy="749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0</xdr:col>
      <xdr:colOff>2407306</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23877" y="400054"/>
          <a:ext cx="1883429" cy="749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5</xdr:col>
      <xdr:colOff>578506</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23877" y="400054"/>
          <a:ext cx="1883429" cy="749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4</xdr:col>
      <xdr:colOff>1521481</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2402" y="400054"/>
          <a:ext cx="1883429" cy="7497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4</xdr:col>
      <xdr:colOff>1521481</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2402" y="400054"/>
          <a:ext cx="1883429" cy="749714"/>
        </a:xfrm>
        <a:prstGeom prst="rect">
          <a:avLst/>
        </a:prstGeom>
      </xdr:spPr>
    </xdr:pic>
    <xdr:clientData/>
  </xdr:twoCellAnchor>
  <xdr:twoCellAnchor>
    <xdr:from>
      <xdr:col>4</xdr:col>
      <xdr:colOff>0</xdr:colOff>
      <xdr:row>33</xdr:row>
      <xdr:rowOff>47625</xdr:rowOff>
    </xdr:from>
    <xdr:to>
      <xdr:col>4</xdr:col>
      <xdr:colOff>5220000</xdr:colOff>
      <xdr:row>50</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400049</xdr:colOff>
      <xdr:row>97</xdr:row>
      <xdr:rowOff>155330</xdr:rowOff>
    </xdr:from>
    <xdr:to>
      <xdr:col>5</xdr:col>
      <xdr:colOff>375439</xdr:colOff>
      <xdr:row>121</xdr:row>
      <xdr:rowOff>126755</xdr:rowOff>
    </xdr:to>
    <xdr:graphicFrame macro="">
      <xdr:nvGraphicFramePr>
        <xdr:cNvPr id="7" name="Historic and Forecast Ope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13</xdr:row>
      <xdr:rowOff>0</xdr:rowOff>
    </xdr:from>
    <xdr:to>
      <xdr:col>4</xdr:col>
      <xdr:colOff>5220000</xdr:colOff>
      <xdr:row>29</xdr:row>
      <xdr:rowOff>133350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53</xdr:row>
      <xdr:rowOff>0</xdr:rowOff>
    </xdr:from>
    <xdr:to>
      <xdr:col>4</xdr:col>
      <xdr:colOff>5220000</xdr:colOff>
      <xdr:row>74</xdr:row>
      <xdr:rowOff>88147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77</xdr:row>
      <xdr:rowOff>0</xdr:rowOff>
    </xdr:from>
    <xdr:to>
      <xdr:col>4</xdr:col>
      <xdr:colOff>5220000</xdr:colOff>
      <xdr:row>95</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1340826</xdr:colOff>
      <xdr:row>20</xdr:row>
      <xdr:rowOff>36634</xdr:rowOff>
    </xdr:from>
    <xdr:to>
      <xdr:col>11</xdr:col>
      <xdr:colOff>923192</xdr:colOff>
      <xdr:row>35</xdr:row>
      <xdr:rowOff>117231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523877</xdr:colOff>
      <xdr:row>2</xdr:row>
      <xdr:rowOff>57154</xdr:rowOff>
    </xdr:from>
    <xdr:to>
      <xdr:col>1</xdr:col>
      <xdr:colOff>1299476</xdr:colOff>
      <xdr:row>6</xdr:row>
      <xdr:rowOff>121068</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2402" y="400054"/>
          <a:ext cx="1883429" cy="749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BEAFA8"/>
  </sheetPr>
  <dimension ref="A1:I219"/>
  <sheetViews>
    <sheetView zoomScale="55" zoomScaleNormal="55" workbookViewId="0">
      <pane xSplit="2" ySplit="10" topLeftCell="C11" activePane="bottomRight" state="frozen"/>
      <selection pane="topRight" activeCell="C1" sqref="C1"/>
      <selection pane="bottomLeft" activeCell="A11" sqref="A11"/>
      <selection pane="bottomRight" activeCell="L69" sqref="L69"/>
    </sheetView>
  </sheetViews>
  <sheetFormatPr defaultColWidth="9" defaultRowHeight="13.5"/>
  <cols>
    <col min="1" max="1" width="46.7265625" style="2" customWidth="1"/>
    <col min="2" max="2" width="11.36328125" style="2" customWidth="1"/>
    <col min="3" max="3" width="11.81640625" style="2" bestFit="1" customWidth="1"/>
    <col min="4" max="4" width="14.36328125" style="2" bestFit="1" customWidth="1"/>
    <col min="5" max="7" width="13.36328125" style="2" bestFit="1" customWidth="1"/>
    <col min="8" max="8" width="14.36328125" style="2" bestFit="1" customWidth="1"/>
    <col min="9" max="9" width="10.36328125" style="2" bestFit="1" customWidth="1"/>
    <col min="10" max="10" width="9" style="2"/>
    <col min="11" max="11" width="10.54296875" style="2" customWidth="1"/>
    <col min="12" max="13" width="9" style="2"/>
    <col min="14" max="14" width="9.90625" style="2" customWidth="1"/>
    <col min="15" max="16384" width="9" style="2"/>
  </cols>
  <sheetData>
    <row r="1" spans="1:9" s="3" customFormat="1"/>
    <row r="2" spans="1:9" s="3" customFormat="1"/>
    <row r="3" spans="1:9" s="3" customFormat="1"/>
    <row r="4" spans="1:9" s="3" customFormat="1"/>
    <row r="5" spans="1:9" s="3" customFormat="1"/>
    <row r="6" spans="1:9" s="3" customFormat="1"/>
    <row r="7" spans="1:9" s="3" customFormat="1"/>
    <row r="8" spans="1:9" s="3" customFormat="1"/>
    <row r="9" spans="1:9" s="3" customFormat="1"/>
    <row r="10" spans="1:9" s="4" customFormat="1" ht="22.5">
      <c r="A10" s="5" t="str">
        <f ca="1">RIGHT(CELL("filename",A1),LEN(CELL("filename",A1))-FIND("]",CELL("filename",A1)))</f>
        <v>Input│ Historic Opex</v>
      </c>
      <c r="B10" s="9" t="s">
        <v>0</v>
      </c>
      <c r="C10" s="9">
        <v>2011</v>
      </c>
      <c r="D10" s="9">
        <v>2012</v>
      </c>
      <c r="E10" s="9">
        <v>2013</v>
      </c>
      <c r="F10" s="9">
        <v>2014</v>
      </c>
      <c r="G10" s="9">
        <v>2015</v>
      </c>
      <c r="H10" s="9">
        <v>2016</v>
      </c>
      <c r="I10" s="9">
        <v>2017</v>
      </c>
    </row>
    <row r="12" spans="1:9" ht="18">
      <c r="A12" s="9" t="s">
        <v>98</v>
      </c>
    </row>
    <row r="13" spans="1:9" ht="18">
      <c r="A13" s="7" t="s">
        <v>223</v>
      </c>
      <c r="B13" s="7" t="s">
        <v>1</v>
      </c>
      <c r="C13" s="6"/>
      <c r="D13" s="10">
        <v>13213054.074000001</v>
      </c>
      <c r="E13" s="10">
        <v>14095423.273999996</v>
      </c>
      <c r="F13" s="10">
        <v>14250207.996999998</v>
      </c>
      <c r="G13" s="10">
        <v>16404595.215999998</v>
      </c>
      <c r="H13" s="10">
        <v>17402816.396999992</v>
      </c>
    </row>
    <row r="14" spans="1:9" ht="18">
      <c r="A14" s="7" t="s">
        <v>224</v>
      </c>
      <c r="B14" s="7" t="s">
        <v>1</v>
      </c>
      <c r="C14" s="6"/>
      <c r="D14" s="10">
        <v>392747</v>
      </c>
      <c r="E14" s="10">
        <v>330916</v>
      </c>
      <c r="F14" s="10">
        <v>444045.5</v>
      </c>
      <c r="G14" s="10">
        <v>307652</v>
      </c>
      <c r="H14" s="10">
        <v>296993</v>
      </c>
    </row>
    <row r="15" spans="1:9" ht="18">
      <c r="A15" s="7" t="s">
        <v>225</v>
      </c>
      <c r="B15" s="7" t="s">
        <v>1</v>
      </c>
      <c r="C15" s="6"/>
      <c r="D15" s="10">
        <v>991169.07799999998</v>
      </c>
      <c r="E15" s="10">
        <v>1213642.0419999999</v>
      </c>
      <c r="F15" s="10">
        <v>846264.01100000006</v>
      </c>
      <c r="G15" s="10">
        <v>854859.47499999998</v>
      </c>
      <c r="H15" s="10">
        <v>648379.79700000002</v>
      </c>
    </row>
    <row r="16" spans="1:9" ht="18">
      <c r="A16" s="7" t="s">
        <v>226</v>
      </c>
      <c r="B16" s="7" t="s">
        <v>1</v>
      </c>
      <c r="C16" s="6"/>
      <c r="D16" s="10">
        <v>12111128</v>
      </c>
      <c r="E16" s="10">
        <v>8063488</v>
      </c>
      <c r="F16" s="10">
        <v>8920857.25</v>
      </c>
      <c r="G16" s="10">
        <v>7528264.0184680084</v>
      </c>
      <c r="H16" s="11">
        <f>H119</f>
        <v>6372329.4382672682</v>
      </c>
    </row>
    <row r="17" spans="1:9" ht="18">
      <c r="A17" s="6" t="s">
        <v>2</v>
      </c>
      <c r="B17" s="6" t="s">
        <v>1</v>
      </c>
      <c r="C17" s="6"/>
      <c r="D17" s="11">
        <f>SUM(D13:D16)</f>
        <v>26708098.152000003</v>
      </c>
      <c r="E17" s="11">
        <f>SUM(E13:E16)</f>
        <v>23703469.315999996</v>
      </c>
      <c r="F17" s="11">
        <f t="shared" ref="F17:H17" si="0">SUM(F13:F16)</f>
        <v>24461374.757999998</v>
      </c>
      <c r="G17" s="11">
        <f t="shared" si="0"/>
        <v>25095370.709468007</v>
      </c>
      <c r="H17" s="11">
        <f t="shared" si="0"/>
        <v>24720518.632267259</v>
      </c>
    </row>
    <row r="18" spans="1:9" ht="14.25">
      <c r="A18" s="1" t="s">
        <v>6</v>
      </c>
    </row>
    <row r="19" spans="1:9" ht="18">
      <c r="A19" s="9" t="s">
        <v>3</v>
      </c>
      <c r="C19" s="12">
        <v>40330</v>
      </c>
      <c r="D19" s="12">
        <v>40695</v>
      </c>
      <c r="E19" s="12">
        <v>41061</v>
      </c>
      <c r="F19" s="12">
        <v>41426</v>
      </c>
      <c r="G19" s="12">
        <v>41791</v>
      </c>
      <c r="H19" s="12">
        <v>42156</v>
      </c>
      <c r="I19" s="12">
        <v>42522</v>
      </c>
    </row>
    <row r="20" spans="1:9" ht="18">
      <c r="A20" s="7" t="s">
        <v>5</v>
      </c>
      <c r="B20" s="7" t="s">
        <v>4</v>
      </c>
      <c r="C20" s="16">
        <v>3.1E-2</v>
      </c>
      <c r="D20" s="16">
        <v>3.5000000000000003E-2</v>
      </c>
      <c r="E20" s="16">
        <v>1.2E-2</v>
      </c>
      <c r="F20" s="16">
        <v>2.4E-2</v>
      </c>
      <c r="G20" s="16">
        <v>0.03</v>
      </c>
      <c r="H20" s="16">
        <v>1.4999999999999999E-2</v>
      </c>
      <c r="I20" s="16">
        <v>0.01</v>
      </c>
    </row>
    <row r="21" spans="1:9" ht="14.25">
      <c r="A21" s="1" t="s">
        <v>7</v>
      </c>
    </row>
    <row r="22" spans="1:9" ht="18">
      <c r="A22" s="6" t="s">
        <v>26</v>
      </c>
      <c r="B22" s="6" t="s">
        <v>4</v>
      </c>
      <c r="C22" s="25">
        <f t="shared" ref="C22:G22" si="1">D22/(1+D20)</f>
        <v>0.88298746907370218</v>
      </c>
      <c r="D22" s="25">
        <f t="shared" si="1"/>
        <v>0.91389203049128165</v>
      </c>
      <c r="E22" s="25">
        <f t="shared" si="1"/>
        <v>0.92485873485717707</v>
      </c>
      <c r="F22" s="25">
        <f t="shared" si="1"/>
        <v>0.94705534449374928</v>
      </c>
      <c r="G22" s="25">
        <f t="shared" si="1"/>
        <v>0.97546700482856175</v>
      </c>
      <c r="H22" s="25">
        <f>I22/(1+I20)</f>
        <v>0.99009900990099009</v>
      </c>
      <c r="I22" s="7">
        <v>1</v>
      </c>
    </row>
    <row r="23" spans="1:9" ht="18">
      <c r="A23" s="6" t="s">
        <v>127</v>
      </c>
      <c r="B23" s="6"/>
      <c r="C23" s="6">
        <f>D23*(1+D20)</f>
        <v>1.0349999999999999</v>
      </c>
      <c r="D23" s="91">
        <v>1</v>
      </c>
      <c r="E23" s="25">
        <f>D23/(1+E20)</f>
        <v>0.98814229249011853</v>
      </c>
      <c r="F23" s="25">
        <f t="shared" ref="F23:I23" si="2">E23/(1+F20)</f>
        <v>0.96498270750988135</v>
      </c>
      <c r="G23" s="25">
        <f t="shared" si="2"/>
        <v>0.93687641505813724</v>
      </c>
      <c r="H23" s="25">
        <f t="shared" si="2"/>
        <v>0.92303095079619446</v>
      </c>
      <c r="I23" s="25">
        <f t="shared" si="2"/>
        <v>0.91389203049128165</v>
      </c>
    </row>
    <row r="24" spans="1:9" ht="18">
      <c r="A24" s="6" t="s">
        <v>169</v>
      </c>
      <c r="B24" s="6"/>
      <c r="C24" s="6"/>
      <c r="D24" s="25"/>
      <c r="E24" s="85">
        <v>2.5000000000000001E-2</v>
      </c>
      <c r="F24" s="85">
        <v>2.5000000000000001E-2</v>
      </c>
      <c r="G24" s="85">
        <v>2.5000000000000001E-2</v>
      </c>
      <c r="H24" s="85">
        <v>2.5000000000000001E-2</v>
      </c>
      <c r="I24" s="85">
        <v>2.5000000000000001E-2</v>
      </c>
    </row>
    <row r="25" spans="1:9" ht="18">
      <c r="A25" s="6" t="s">
        <v>170</v>
      </c>
      <c r="B25" s="6"/>
      <c r="C25" s="6"/>
      <c r="D25" s="91">
        <v>1</v>
      </c>
      <c r="E25" s="25">
        <f>D25*(1+E24)</f>
        <v>1.0249999999999999</v>
      </c>
      <c r="F25" s="25">
        <f t="shared" ref="F25:I25" si="3">E25*(1+F24)</f>
        <v>1.0506249999999999</v>
      </c>
      <c r="G25" s="25">
        <f t="shared" si="3"/>
        <v>1.0768906249999999</v>
      </c>
      <c r="H25" s="25">
        <f t="shared" si="3"/>
        <v>1.1038128906249998</v>
      </c>
      <c r="I25" s="25">
        <f t="shared" si="3"/>
        <v>1.1314082128906247</v>
      </c>
    </row>
    <row r="28" spans="1:9" ht="18">
      <c r="A28" s="9" t="s">
        <v>8</v>
      </c>
    </row>
    <row r="29" spans="1:9" ht="18">
      <c r="A29" s="6" t="str">
        <f>A13</f>
        <v xml:space="preserve">Asset operations and management </v>
      </c>
      <c r="B29" s="13" t="s">
        <v>11</v>
      </c>
      <c r="C29" s="14"/>
      <c r="D29" s="26">
        <f>D13/D$22</f>
        <v>14458003.38897479</v>
      </c>
      <c r="E29" s="26">
        <f>E13/E$22</f>
        <v>15240622.965167439</v>
      </c>
      <c r="F29" s="26">
        <f>F13/F$22</f>
        <v>15046858.749968283</v>
      </c>
      <c r="G29" s="26">
        <f>G13/G$22</f>
        <v>16817170.785682395</v>
      </c>
      <c r="H29" s="26">
        <f>H13/H$22</f>
        <v>17576844.560969993</v>
      </c>
    </row>
    <row r="30" spans="1:9" ht="18">
      <c r="A30" s="6" t="str">
        <f>A14</f>
        <v>Regulatory (Asset Licences)</v>
      </c>
      <c r="B30" s="13" t="s">
        <v>11</v>
      </c>
      <c r="C30" s="14"/>
      <c r="D30" s="26">
        <f>D14/D$22</f>
        <v>429752.07890681649</v>
      </c>
      <c r="E30" s="26">
        <f t="shared" ref="E30:G30" si="4">E14/E$22</f>
        <v>357801.67016652797</v>
      </c>
      <c r="F30" s="26">
        <f t="shared" si="4"/>
        <v>468869.64165474998</v>
      </c>
      <c r="G30" s="26">
        <f t="shared" si="4"/>
        <v>315389.44779999997</v>
      </c>
      <c r="H30" s="26">
        <f t="shared" ref="H30" si="5">H14/H$22</f>
        <v>299962.93</v>
      </c>
    </row>
    <row r="31" spans="1:9" ht="18">
      <c r="A31" s="6" t="str">
        <f>A15</f>
        <v xml:space="preserve">Insurance </v>
      </c>
      <c r="B31" s="13" t="s">
        <v>11</v>
      </c>
      <c r="C31" s="14"/>
      <c r="D31" s="26">
        <f t="shared" ref="D31:G31" si="6">D15/D$22</f>
        <v>1084558.1807592483</v>
      </c>
      <c r="E31" s="26">
        <f t="shared" si="6"/>
        <v>1312245.8557818765</v>
      </c>
      <c r="F31" s="26">
        <f t="shared" si="6"/>
        <v>893573.97740294947</v>
      </c>
      <c r="G31" s="26">
        <f t="shared" si="6"/>
        <v>876359.1907962499</v>
      </c>
      <c r="H31" s="26">
        <f t="shared" ref="H31" si="7">H15/H$22</f>
        <v>654863.59496999998</v>
      </c>
    </row>
    <row r="32" spans="1:9" ht="18">
      <c r="A32" s="6" t="str">
        <f>A16</f>
        <v xml:space="preserve">Corporate overheads costs </v>
      </c>
      <c r="B32" s="13" t="s">
        <v>11</v>
      </c>
      <c r="C32" s="14"/>
      <c r="D32" s="26">
        <f t="shared" ref="D32:G32" si="8">D16/D$22</f>
        <v>13252252.559297854</v>
      </c>
      <c r="E32" s="26">
        <f t="shared" si="8"/>
        <v>8718615.8232535031</v>
      </c>
      <c r="F32" s="26">
        <f t="shared" si="8"/>
        <v>9419573.3141326234</v>
      </c>
      <c r="G32" s="26">
        <f t="shared" si="8"/>
        <v>7717599.8585324781</v>
      </c>
      <c r="H32" s="26">
        <f t="shared" ref="H32" si="9">H16/H$22</f>
        <v>6436052.732649941</v>
      </c>
    </row>
    <row r="33" spans="1:9" ht="18">
      <c r="A33" s="6" t="str">
        <f>A17</f>
        <v>Total</v>
      </c>
      <c r="B33" s="13" t="s">
        <v>11</v>
      </c>
      <c r="C33" s="14"/>
      <c r="D33" s="26">
        <f>SUM(D29:D32)</f>
        <v>29224566.207938708</v>
      </c>
      <c r="E33" s="26">
        <f t="shared" ref="E33:G33" si="10">SUM(E29:E32)</f>
        <v>25629286.314369343</v>
      </c>
      <c r="F33" s="26">
        <f t="shared" si="10"/>
        <v>25828875.683158606</v>
      </c>
      <c r="G33" s="26">
        <f t="shared" si="10"/>
        <v>25726519.28281112</v>
      </c>
      <c r="H33" s="11">
        <f>SUM(H29:H32)</f>
        <v>24967723.818589933</v>
      </c>
    </row>
    <row r="35" spans="1:9" ht="18">
      <c r="A35" s="9" t="s">
        <v>70</v>
      </c>
    </row>
    <row r="36" spans="1:9" ht="18">
      <c r="A36" s="7" t="s">
        <v>71</v>
      </c>
      <c r="B36" s="7" t="s">
        <v>1</v>
      </c>
      <c r="C36" s="7"/>
      <c r="D36" s="7"/>
      <c r="E36" s="10">
        <v>1063696</v>
      </c>
      <c r="F36" s="10">
        <v>1078495</v>
      </c>
      <c r="G36" s="10">
        <v>1154627</v>
      </c>
      <c r="H36" s="10">
        <v>1205401</v>
      </c>
      <c r="I36" s="10">
        <v>1241765</v>
      </c>
    </row>
    <row r="37" spans="1:9" ht="18">
      <c r="A37" s="7" t="s">
        <v>72</v>
      </c>
      <c r="B37" s="7" t="s">
        <v>1</v>
      </c>
      <c r="C37" s="7"/>
      <c r="D37" s="7"/>
      <c r="E37" s="10">
        <v>918321</v>
      </c>
      <c r="F37" s="10">
        <v>1079108</v>
      </c>
      <c r="G37" s="10">
        <v>974166</v>
      </c>
      <c r="H37" s="10">
        <v>878125</v>
      </c>
      <c r="I37" s="10">
        <v>962430</v>
      </c>
    </row>
    <row r="38" spans="1:9" ht="18">
      <c r="A38" s="6" t="s">
        <v>117</v>
      </c>
      <c r="B38" s="6" t="str">
        <f>B37</f>
        <v>$ nominal</v>
      </c>
      <c r="C38" s="6"/>
      <c r="D38" s="6"/>
      <c r="E38" s="11">
        <f>SUM(E36:E37)</f>
        <v>1982017</v>
      </c>
      <c r="F38" s="11">
        <f>SUM(F36:F37)</f>
        <v>2157603</v>
      </c>
      <c r="G38" s="11">
        <f>SUM(G36:G37)</f>
        <v>2128793</v>
      </c>
      <c r="H38" s="11">
        <f>SUM(H36:H37)</f>
        <v>2083526</v>
      </c>
      <c r="I38" s="11">
        <f>SUM(I36:I37)</f>
        <v>2204195</v>
      </c>
    </row>
    <row r="39" spans="1:9" ht="18">
      <c r="A39" s="6" t="s">
        <v>117</v>
      </c>
      <c r="B39" s="6" t="s">
        <v>11</v>
      </c>
      <c r="C39" s="6"/>
      <c r="D39" s="6"/>
      <c r="E39" s="11">
        <f>E38/E22</f>
        <v>2143048.3654415356</v>
      </c>
      <c r="F39" s="11">
        <f t="shared" ref="F39:I39" si="11">F38/F22</f>
        <v>2278222.7169134999</v>
      </c>
      <c r="G39" s="11">
        <f t="shared" si="11"/>
        <v>2182332.1439499999</v>
      </c>
      <c r="H39" s="11">
        <f t="shared" si="11"/>
        <v>2104361.2600000002</v>
      </c>
      <c r="I39" s="11">
        <f t="shared" si="11"/>
        <v>2204195</v>
      </c>
    </row>
    <row r="40" spans="1:9" ht="14.25">
      <c r="A40" s="78" t="s">
        <v>6</v>
      </c>
    </row>
    <row r="42" spans="1:9" ht="22.5">
      <c r="A42" s="20" t="s">
        <v>27</v>
      </c>
      <c r="C42" s="9">
        <v>2017</v>
      </c>
      <c r="D42" s="9">
        <v>2018</v>
      </c>
      <c r="E42" s="9">
        <v>2019</v>
      </c>
      <c r="F42" s="9">
        <v>2020</v>
      </c>
      <c r="G42" s="9">
        <v>2021</v>
      </c>
      <c r="H42" s="9">
        <v>2022</v>
      </c>
    </row>
    <row r="43" spans="1:9" ht="18">
      <c r="A43" s="9" t="s">
        <v>87</v>
      </c>
    </row>
    <row r="44" spans="1:9" ht="18">
      <c r="A44" s="9"/>
    </row>
    <row r="45" spans="1:9" ht="18">
      <c r="A45" s="48" t="s">
        <v>91</v>
      </c>
    </row>
    <row r="46" spans="1:9" ht="18">
      <c r="A46" s="7" t="s">
        <v>88</v>
      </c>
      <c r="B46" s="13" t="s">
        <v>94</v>
      </c>
      <c r="C46" s="10">
        <v>1500000</v>
      </c>
      <c r="D46" s="10">
        <v>1500000</v>
      </c>
      <c r="E46" s="10">
        <v>1500000</v>
      </c>
      <c r="F46" s="10">
        <v>1500000</v>
      </c>
      <c r="G46" s="10">
        <v>1500000</v>
      </c>
      <c r="H46" s="10">
        <v>1500000</v>
      </c>
    </row>
    <row r="47" spans="1:9" ht="18">
      <c r="A47" s="48" t="s">
        <v>92</v>
      </c>
    </row>
    <row r="48" spans="1:9" ht="18">
      <c r="A48" s="6" t="s">
        <v>93</v>
      </c>
      <c r="B48" s="6" t="s">
        <v>82</v>
      </c>
      <c r="C48" s="44">
        <v>0.10448889478216249</v>
      </c>
      <c r="D48" s="44">
        <v>0.10448889478216249</v>
      </c>
      <c r="E48" s="44">
        <v>0.10448889478216249</v>
      </c>
      <c r="F48" s="44">
        <v>0.10448889478216249</v>
      </c>
      <c r="G48" s="44">
        <v>0.10448889478216249</v>
      </c>
      <c r="H48" s="44">
        <v>0.10448889478216249</v>
      </c>
    </row>
    <row r="50" spans="1:8" ht="18">
      <c r="A50" s="7" t="s">
        <v>88</v>
      </c>
      <c r="B50" s="51" t="str">
        <f>B46</f>
        <v xml:space="preserve"> $ 2016</v>
      </c>
      <c r="C50" s="27">
        <f t="shared" ref="C50:H50" si="12">C46*C48</f>
        <v>156733.34217324373</v>
      </c>
      <c r="D50" s="27">
        <f t="shared" si="12"/>
        <v>156733.34217324373</v>
      </c>
      <c r="E50" s="27">
        <f t="shared" si="12"/>
        <v>156733.34217324373</v>
      </c>
      <c r="F50" s="27">
        <f t="shared" si="12"/>
        <v>156733.34217324373</v>
      </c>
      <c r="G50" s="27">
        <f t="shared" si="12"/>
        <v>156733.34217324373</v>
      </c>
      <c r="H50" s="27">
        <f t="shared" si="12"/>
        <v>156733.34217324373</v>
      </c>
    </row>
    <row r="51" spans="1:8" ht="18">
      <c r="A51" s="6" t="str">
        <f>A50</f>
        <v>Docklands Rental</v>
      </c>
      <c r="B51" s="18" t="str">
        <f>B39</f>
        <v>real $2017</v>
      </c>
      <c r="C51" s="11">
        <f>C50/$H$22</f>
        <v>158300.67559497617</v>
      </c>
      <c r="D51" s="11">
        <f t="shared" ref="D51:H51" si="13">D50/$H$22</f>
        <v>158300.67559497617</v>
      </c>
      <c r="E51" s="11">
        <f t="shared" si="13"/>
        <v>158300.67559497617</v>
      </c>
      <c r="F51" s="11">
        <f t="shared" si="13"/>
        <v>158300.67559497617</v>
      </c>
      <c r="G51" s="11">
        <f t="shared" si="13"/>
        <v>158300.67559497617</v>
      </c>
      <c r="H51" s="11">
        <f t="shared" si="13"/>
        <v>158300.67559497617</v>
      </c>
    </row>
    <row r="53" spans="1:8" ht="18">
      <c r="A53" s="48" t="s">
        <v>95</v>
      </c>
      <c r="C53" s="64">
        <f t="shared" ref="C53:H53" si="14">C42</f>
        <v>2017</v>
      </c>
      <c r="D53" s="64">
        <f t="shared" si="14"/>
        <v>2018</v>
      </c>
      <c r="E53" s="64">
        <f t="shared" si="14"/>
        <v>2019</v>
      </c>
      <c r="F53" s="64">
        <f t="shared" si="14"/>
        <v>2020</v>
      </c>
      <c r="G53" s="64">
        <f t="shared" si="14"/>
        <v>2021</v>
      </c>
      <c r="H53" s="64">
        <f t="shared" si="14"/>
        <v>2022</v>
      </c>
    </row>
    <row r="54" spans="1:8" ht="18">
      <c r="A54" s="7" t="s">
        <v>212</v>
      </c>
      <c r="B54" s="51" t="str">
        <f>B46</f>
        <v xml:space="preserve"> $ 2016</v>
      </c>
      <c r="C54" s="27">
        <v>0</v>
      </c>
      <c r="D54" s="27">
        <v>0</v>
      </c>
      <c r="E54" s="27">
        <v>0</v>
      </c>
      <c r="F54" s="27">
        <v>0</v>
      </c>
      <c r="G54" s="27">
        <v>20420</v>
      </c>
      <c r="H54" s="27">
        <v>20420</v>
      </c>
    </row>
    <row r="55" spans="1:8" ht="18">
      <c r="A55" s="7" t="s">
        <v>213</v>
      </c>
      <c r="B55" s="51" t="str">
        <f>B54</f>
        <v xml:space="preserve"> $ 2016</v>
      </c>
      <c r="C55" s="27">
        <v>0</v>
      </c>
      <c r="D55" s="27">
        <v>0</v>
      </c>
      <c r="E55" s="27">
        <v>88713.57142857142</v>
      </c>
      <c r="F55" s="27">
        <v>88713.57142857142</v>
      </c>
      <c r="G55" s="27">
        <v>88713.57142857142</v>
      </c>
      <c r="H55" s="27">
        <v>88713.57142857142</v>
      </c>
    </row>
    <row r="56" spans="1:8" ht="18">
      <c r="A56" s="7" t="s">
        <v>214</v>
      </c>
      <c r="B56" s="51" t="str">
        <f t="shared" ref="B56:B57" si="15">B55</f>
        <v xml:space="preserve"> $ 2016</v>
      </c>
      <c r="C56" s="27">
        <v>0</v>
      </c>
      <c r="D56" s="27">
        <v>273367.5</v>
      </c>
      <c r="E56" s="27">
        <v>273367.5</v>
      </c>
      <c r="F56" s="27">
        <v>273367.5</v>
      </c>
      <c r="G56" s="27">
        <v>273367.5</v>
      </c>
      <c r="H56" s="27">
        <v>273367.5</v>
      </c>
    </row>
    <row r="57" spans="1:8" ht="18">
      <c r="A57" s="7" t="s">
        <v>215</v>
      </c>
      <c r="B57" s="51" t="str">
        <f t="shared" si="15"/>
        <v xml:space="preserve"> $ 2016</v>
      </c>
      <c r="C57" s="27">
        <v>0</v>
      </c>
      <c r="D57" s="27">
        <v>0</v>
      </c>
      <c r="E57" s="27">
        <v>0</v>
      </c>
      <c r="F57" s="27">
        <v>0</v>
      </c>
      <c r="G57" s="27">
        <v>25000</v>
      </c>
      <c r="H57" s="27">
        <v>25000</v>
      </c>
    </row>
    <row r="58" spans="1:8" ht="18">
      <c r="A58" s="6" t="s">
        <v>2</v>
      </c>
      <c r="B58" s="6" t="s">
        <v>69</v>
      </c>
      <c r="C58" s="11">
        <f>SUM(C54:C57)</f>
        <v>0</v>
      </c>
      <c r="D58" s="11">
        <f t="shared" ref="D58:H58" si="16">SUM(D54:D57)</f>
        <v>273367.5</v>
      </c>
      <c r="E58" s="11">
        <f t="shared" si="16"/>
        <v>362081.07142857142</v>
      </c>
      <c r="F58" s="11">
        <f t="shared" si="16"/>
        <v>362081.07142857142</v>
      </c>
      <c r="G58" s="11">
        <f t="shared" si="16"/>
        <v>407501.07142857142</v>
      </c>
      <c r="H58" s="11">
        <f t="shared" si="16"/>
        <v>407501.07142857142</v>
      </c>
    </row>
    <row r="59" spans="1:8" ht="18">
      <c r="A59" s="6" t="str">
        <f>A54</f>
        <v>Warragul</v>
      </c>
      <c r="B59" s="6"/>
      <c r="C59" s="11"/>
      <c r="D59" s="11">
        <f t="shared" ref="D59:H62" si="17">D54/$H$22</f>
        <v>0</v>
      </c>
      <c r="E59" s="11">
        <f t="shared" si="17"/>
        <v>0</v>
      </c>
      <c r="F59" s="11">
        <f t="shared" si="17"/>
        <v>0</v>
      </c>
      <c r="G59" s="11">
        <f t="shared" si="17"/>
        <v>20624.2</v>
      </c>
      <c r="H59" s="11">
        <f t="shared" si="17"/>
        <v>20624.2</v>
      </c>
    </row>
    <row r="60" spans="1:8" ht="18">
      <c r="A60" s="6" t="str">
        <f t="shared" ref="A60:A62" si="18">A55</f>
        <v>Anglesea</v>
      </c>
      <c r="B60" s="6"/>
      <c r="C60" s="11"/>
      <c r="D60" s="11">
        <f t="shared" si="17"/>
        <v>0</v>
      </c>
      <c r="E60" s="11">
        <f t="shared" si="17"/>
        <v>89600.707142857136</v>
      </c>
      <c r="F60" s="11">
        <f t="shared" si="17"/>
        <v>89600.707142857136</v>
      </c>
      <c r="G60" s="11">
        <f t="shared" si="17"/>
        <v>89600.707142857136</v>
      </c>
      <c r="H60" s="11">
        <f t="shared" si="17"/>
        <v>89600.707142857136</v>
      </c>
    </row>
    <row r="61" spans="1:8" ht="18">
      <c r="A61" s="6" t="str">
        <f t="shared" si="18"/>
        <v>VNIE</v>
      </c>
      <c r="B61" s="6"/>
      <c r="C61" s="11"/>
      <c r="D61" s="11">
        <f t="shared" si="17"/>
        <v>276101.17499999999</v>
      </c>
      <c r="E61" s="11">
        <f t="shared" si="17"/>
        <v>276101.17499999999</v>
      </c>
      <c r="F61" s="11">
        <f t="shared" si="17"/>
        <v>276101.17499999999</v>
      </c>
      <c r="G61" s="11">
        <f t="shared" si="17"/>
        <v>276101.17499999999</v>
      </c>
      <c r="H61" s="11">
        <f t="shared" si="17"/>
        <v>276101.17499999999</v>
      </c>
    </row>
    <row r="62" spans="1:8" ht="18">
      <c r="A62" s="6" t="str">
        <f t="shared" si="18"/>
        <v>WORM Easement</v>
      </c>
      <c r="B62" s="6"/>
      <c r="C62" s="11"/>
      <c r="D62" s="11">
        <f t="shared" si="17"/>
        <v>0</v>
      </c>
      <c r="E62" s="11">
        <f t="shared" si="17"/>
        <v>0</v>
      </c>
      <c r="F62" s="11">
        <f t="shared" si="17"/>
        <v>0</v>
      </c>
      <c r="G62" s="11">
        <f t="shared" si="17"/>
        <v>25250</v>
      </c>
      <c r="H62" s="11">
        <f t="shared" si="17"/>
        <v>25250</v>
      </c>
    </row>
    <row r="63" spans="1:8" ht="18">
      <c r="A63" s="6" t="s">
        <v>2</v>
      </c>
      <c r="B63" s="6" t="s">
        <v>11</v>
      </c>
      <c r="C63" s="11">
        <f>C58/$H$22</f>
        <v>0</v>
      </c>
      <c r="D63" s="11">
        <f>SUM(D59:D62)</f>
        <v>276101.17499999999</v>
      </c>
      <c r="E63" s="11">
        <f t="shared" ref="E63:H63" si="19">SUM(E59:E62)</f>
        <v>365701.88214285712</v>
      </c>
      <c r="F63" s="11">
        <f t="shared" si="19"/>
        <v>365701.88214285712</v>
      </c>
      <c r="G63" s="11">
        <f t="shared" si="19"/>
        <v>411576.08214285714</v>
      </c>
      <c r="H63" s="11">
        <f t="shared" si="19"/>
        <v>411576.08214285714</v>
      </c>
    </row>
    <row r="65" spans="1:9" ht="18">
      <c r="A65" s="52" t="s">
        <v>33</v>
      </c>
      <c r="C65" s="52">
        <f t="shared" ref="C65:H65" si="20">C42</f>
        <v>2017</v>
      </c>
      <c r="D65" s="52">
        <f t="shared" si="20"/>
        <v>2018</v>
      </c>
      <c r="E65" s="52">
        <f t="shared" si="20"/>
        <v>2019</v>
      </c>
      <c r="F65" s="52">
        <f t="shared" si="20"/>
        <v>2020</v>
      </c>
      <c r="G65" s="52">
        <f t="shared" si="20"/>
        <v>2021</v>
      </c>
      <c r="H65" s="52">
        <f t="shared" si="20"/>
        <v>2022</v>
      </c>
    </row>
    <row r="66" spans="1:9" ht="18">
      <c r="A66" s="7" t="s">
        <v>211</v>
      </c>
      <c r="B66" s="7" t="str">
        <f>B63</f>
        <v>real $2017</v>
      </c>
      <c r="C66" s="47">
        <v>988092648.5739733</v>
      </c>
      <c r="D66" s="26">
        <f>C66</f>
        <v>988092648.5739733</v>
      </c>
      <c r="E66" s="26">
        <f t="shared" ref="E66:H66" si="21">D66</f>
        <v>988092648.5739733</v>
      </c>
      <c r="F66" s="26">
        <f t="shared" si="21"/>
        <v>988092648.5739733</v>
      </c>
      <c r="G66" s="26">
        <f t="shared" si="21"/>
        <v>988092648.5739733</v>
      </c>
      <c r="H66" s="26">
        <f t="shared" si="21"/>
        <v>988092648.5739733</v>
      </c>
    </row>
    <row r="67" spans="1:9" ht="18">
      <c r="A67" s="7" t="s">
        <v>120</v>
      </c>
      <c r="B67" s="7" t="str">
        <f>B66</f>
        <v>real $2017</v>
      </c>
      <c r="C67" s="7"/>
      <c r="D67" s="47">
        <v>67416668.492768511</v>
      </c>
      <c r="E67" s="47">
        <v>109338921.33108939</v>
      </c>
      <c r="F67" s="47">
        <v>136519868.81232813</v>
      </c>
      <c r="G67" s="47">
        <v>157410591.33304945</v>
      </c>
      <c r="H67" s="47">
        <v>174004953.96335095</v>
      </c>
    </row>
    <row r="68" spans="1:9" ht="18">
      <c r="A68" s="6" t="s">
        <v>121</v>
      </c>
      <c r="B68" s="6"/>
      <c r="C68" s="11">
        <f>SUM(C66:C67)</f>
        <v>988092648.5739733</v>
      </c>
      <c r="D68" s="11">
        <f t="shared" ref="D68:H68" si="22">SUM(D66:D67)</f>
        <v>1055509317.0667418</v>
      </c>
      <c r="E68" s="11">
        <f t="shared" si="22"/>
        <v>1097431569.9050627</v>
      </c>
      <c r="F68" s="11">
        <f t="shared" si="22"/>
        <v>1124612517.3863015</v>
      </c>
      <c r="G68" s="11">
        <f t="shared" si="22"/>
        <v>1145503239.9070227</v>
      </c>
      <c r="H68" s="11">
        <f t="shared" si="22"/>
        <v>1162097602.5373242</v>
      </c>
    </row>
    <row r="69" spans="1:9" ht="18">
      <c r="A69" s="7" t="s">
        <v>119</v>
      </c>
      <c r="B69" s="7" t="s">
        <v>4</v>
      </c>
      <c r="C69" s="63">
        <f>C70/C68</f>
        <v>2.2307574124563316E-3</v>
      </c>
      <c r="D69" s="62">
        <f>C69</f>
        <v>2.2307574124563316E-3</v>
      </c>
      <c r="E69" s="62">
        <f>D69</f>
        <v>2.2307574124563316E-3</v>
      </c>
      <c r="F69" s="62">
        <f t="shared" ref="F69:H69" si="23">E69</f>
        <v>2.2307574124563316E-3</v>
      </c>
      <c r="G69" s="62">
        <f t="shared" si="23"/>
        <v>2.2307574124563316E-3</v>
      </c>
      <c r="H69" s="62">
        <f t="shared" si="23"/>
        <v>2.2307574124563316E-3</v>
      </c>
    </row>
    <row r="70" spans="1:9" ht="18">
      <c r="A70" s="7" t="s">
        <v>33</v>
      </c>
      <c r="B70" s="7" t="str">
        <f>B67</f>
        <v>real $2017</v>
      </c>
      <c r="C70" s="11">
        <f>I39</f>
        <v>2204195</v>
      </c>
      <c r="D70" s="58">
        <f>D68*D69</f>
        <v>2354585.2329633548</v>
      </c>
      <c r="E70" s="58">
        <f t="shared" ref="E70:H70" si="24">E68*E69</f>
        <v>2448103.6092293072</v>
      </c>
      <c r="F70" s="58">
        <f t="shared" si="24"/>
        <v>2508737.709300667</v>
      </c>
      <c r="G70" s="58">
        <f t="shared" si="24"/>
        <v>2555339.8434153344</v>
      </c>
      <c r="H70" s="58">
        <f t="shared" si="24"/>
        <v>2592357.8408578676</v>
      </c>
    </row>
    <row r="72" spans="1:9" ht="18">
      <c r="A72" s="7" t="s">
        <v>190</v>
      </c>
      <c r="B72" s="7" t="s">
        <v>200</v>
      </c>
      <c r="C72" s="47">
        <v>695222</v>
      </c>
      <c r="D72" s="47">
        <v>863835</v>
      </c>
      <c r="E72" s="47">
        <v>0</v>
      </c>
      <c r="F72" s="47">
        <v>0</v>
      </c>
      <c r="G72" s="47">
        <v>0</v>
      </c>
      <c r="H72" s="47">
        <v>0</v>
      </c>
      <c r="I72" s="47">
        <f>D72</f>
        <v>863835</v>
      </c>
    </row>
    <row r="73" spans="1:9" ht="18">
      <c r="A73" s="6" t="str">
        <f>A72</f>
        <v>Access Arrangement Costs</v>
      </c>
      <c r="B73" s="6" t="s">
        <v>11</v>
      </c>
      <c r="C73" s="11">
        <f>C72/$C$22</f>
        <v>787352.05690894171</v>
      </c>
      <c r="D73" s="11">
        <f t="shared" ref="D73:I73" si="25">D72/$C$22</f>
        <v>978309.46673139755</v>
      </c>
      <c r="E73" s="11">
        <f t="shared" si="25"/>
        <v>0</v>
      </c>
      <c r="F73" s="11">
        <f t="shared" si="25"/>
        <v>0</v>
      </c>
      <c r="G73" s="11">
        <f t="shared" si="25"/>
        <v>0</v>
      </c>
      <c r="H73" s="11">
        <f t="shared" si="25"/>
        <v>0</v>
      </c>
      <c r="I73" s="11">
        <f t="shared" si="25"/>
        <v>978309.46673139755</v>
      </c>
    </row>
    <row r="74" spans="1:9" ht="18">
      <c r="A74"/>
      <c r="B74"/>
      <c r="C74"/>
      <c r="D74"/>
      <c r="E74"/>
      <c r="F74"/>
      <c r="G74"/>
      <c r="H74"/>
      <c r="I74"/>
    </row>
    <row r="75" spans="1:9" ht="18">
      <c r="A75" s="9" t="s">
        <v>31</v>
      </c>
      <c r="B75"/>
      <c r="C75"/>
      <c r="D75"/>
      <c r="E75"/>
      <c r="F75"/>
      <c r="G75"/>
      <c r="H75"/>
      <c r="I75"/>
    </row>
    <row r="76" spans="1:9" ht="18">
      <c r="A76" s="92" t="s">
        <v>210</v>
      </c>
      <c r="B76" s="92"/>
      <c r="C76" s="92"/>
      <c r="D76" s="92">
        <f>D65</f>
        <v>2018</v>
      </c>
      <c r="E76" s="92">
        <f t="shared" ref="E76:H76" si="26">E65</f>
        <v>2019</v>
      </c>
      <c r="F76" s="92">
        <f t="shared" si="26"/>
        <v>2020</v>
      </c>
      <c r="G76" s="92">
        <f t="shared" si="26"/>
        <v>2021</v>
      </c>
      <c r="H76" s="92">
        <f t="shared" si="26"/>
        <v>2022</v>
      </c>
    </row>
    <row r="77" spans="1:9" ht="18">
      <c r="A77" s="7" t="s">
        <v>193</v>
      </c>
      <c r="B77" s="7" t="s">
        <v>11</v>
      </c>
      <c r="C77" s="7"/>
      <c r="D77" s="56">
        <v>60438.651248016635</v>
      </c>
      <c r="E77" s="56">
        <v>62301.803549242599</v>
      </c>
      <c r="F77" s="56">
        <v>62431.633806532795</v>
      </c>
      <c r="G77" s="56">
        <v>61523.399882897334</v>
      </c>
      <c r="H77" s="56">
        <v>60163.41431802493</v>
      </c>
    </row>
    <row r="79" spans="1:9" ht="18">
      <c r="A79" s="9" t="s">
        <v>96</v>
      </c>
      <c r="E79" s="9">
        <f>E10</f>
        <v>2013</v>
      </c>
      <c r="F79" s="9">
        <f>F10</f>
        <v>2014</v>
      </c>
      <c r="G79" s="9">
        <f>G10</f>
        <v>2015</v>
      </c>
      <c r="H79" s="9">
        <f>H10</f>
        <v>2016</v>
      </c>
      <c r="I79" s="9">
        <f>I10</f>
        <v>2017</v>
      </c>
    </row>
    <row r="80" spans="1:9" ht="18">
      <c r="A80" s="56" t="s">
        <v>165</v>
      </c>
      <c r="B80" s="57" t="s">
        <v>100</v>
      </c>
      <c r="E80" s="56">
        <v>28.189977282137562</v>
      </c>
      <c r="F80" s="56">
        <v>28.683893522134614</v>
      </c>
      <c r="G80" s="56">
        <v>29.533568950804479</v>
      </c>
      <c r="H80" s="56">
        <v>30.48877450154615</v>
      </c>
      <c r="I80" s="56">
        <v>30.460313470201807</v>
      </c>
    </row>
    <row r="81" spans="1:9" ht="18">
      <c r="A81" s="56" t="s">
        <v>221</v>
      </c>
      <c r="B81" s="57" t="s">
        <v>100</v>
      </c>
      <c r="E81" s="56">
        <v>0</v>
      </c>
      <c r="F81" s="56">
        <v>0</v>
      </c>
      <c r="G81" s="56">
        <v>0</v>
      </c>
      <c r="H81" s="56">
        <v>0</v>
      </c>
      <c r="I81" s="56">
        <v>0</v>
      </c>
    </row>
    <row r="82" spans="1:9" ht="18">
      <c r="A82" s="56" t="s">
        <v>166</v>
      </c>
      <c r="B82" s="57" t="s">
        <v>100</v>
      </c>
      <c r="E82" s="56">
        <v>1.1000000000000001</v>
      </c>
      <c r="F82" s="56">
        <v>0</v>
      </c>
      <c r="G82" s="56">
        <v>0</v>
      </c>
      <c r="H82" s="56">
        <v>0</v>
      </c>
      <c r="I82" s="56">
        <v>0</v>
      </c>
    </row>
    <row r="83" spans="1:9" ht="18">
      <c r="A83" s="56" t="s">
        <v>167</v>
      </c>
      <c r="B83" s="57" t="s">
        <v>100</v>
      </c>
      <c r="E83" s="56">
        <v>0.180585</v>
      </c>
      <c r="F83" s="56">
        <v>0.180585</v>
      </c>
      <c r="G83" s="56">
        <v>0.18199000000000001</v>
      </c>
      <c r="H83" s="56">
        <v>0.182362</v>
      </c>
      <c r="I83" s="56">
        <v>0.182362</v>
      </c>
    </row>
    <row r="84" spans="1:9" ht="18">
      <c r="A84" s="56" t="s">
        <v>222</v>
      </c>
      <c r="B84" s="57" t="s">
        <v>100</v>
      </c>
      <c r="E84" s="56">
        <v>0</v>
      </c>
      <c r="F84" s="56">
        <v>0</v>
      </c>
      <c r="G84" s="56">
        <v>0</v>
      </c>
      <c r="H84" s="56">
        <v>0</v>
      </c>
      <c r="I84" s="56">
        <v>0</v>
      </c>
    </row>
    <row r="85" spans="1:9" ht="18">
      <c r="A85" s="56" t="s">
        <v>25</v>
      </c>
      <c r="B85" s="57" t="s">
        <v>100</v>
      </c>
      <c r="E85" s="56">
        <v>0.35064996719308417</v>
      </c>
      <c r="F85" s="56">
        <v>0.35468486226850932</v>
      </c>
      <c r="G85" s="56">
        <v>0.39617893019380412</v>
      </c>
      <c r="H85" s="56">
        <v>0.39395329051854</v>
      </c>
      <c r="I85" s="56">
        <v>0.38512714291400052</v>
      </c>
    </row>
    <row r="86" spans="1:9" ht="18">
      <c r="A86" s="58" t="s">
        <v>2</v>
      </c>
      <c r="B86" s="6"/>
      <c r="C86" s="6"/>
      <c r="D86" s="6"/>
      <c r="E86" s="58">
        <f>SUM(E80:E85)</f>
        <v>29.82121224933065</v>
      </c>
      <c r="F86" s="58">
        <f t="shared" ref="F86:I86" si="27">SUM(F80:F85)</f>
        <v>29.219163384403124</v>
      </c>
      <c r="G86" s="58">
        <f t="shared" si="27"/>
        <v>30.111737880998284</v>
      </c>
      <c r="H86" s="58">
        <f t="shared" si="27"/>
        <v>31.06508979206469</v>
      </c>
      <c r="I86" s="58">
        <f t="shared" si="27"/>
        <v>31.02780261311581</v>
      </c>
    </row>
    <row r="88" spans="1:9" ht="18">
      <c r="A88" s="6" t="s">
        <v>101</v>
      </c>
      <c r="B88" s="6"/>
      <c r="C88" s="6"/>
      <c r="D88" s="6"/>
      <c r="E88" s="58">
        <f>SUM(E80:E83)/E$23</f>
        <v>29.824209029523217</v>
      </c>
      <c r="F88" s="58">
        <f t="shared" ref="F88:I88" si="28">SUM(F80:F83)/F$23</f>
        <v>29.911912718745839</v>
      </c>
      <c r="G88" s="58">
        <f t="shared" si="28"/>
        <v>31.717693468631612</v>
      </c>
      <c r="H88" s="58">
        <f t="shared" si="28"/>
        <v>33.228719443361712</v>
      </c>
      <c r="I88" s="58">
        <f t="shared" si="28"/>
        <v>33.529863974991883</v>
      </c>
    </row>
    <row r="90" spans="1:9" ht="18">
      <c r="A90" s="52" t="s">
        <v>125</v>
      </c>
      <c r="E90" s="49"/>
    </row>
    <row r="91" spans="1:9" ht="18">
      <c r="A91" s="7" t="s">
        <v>28</v>
      </c>
    </row>
    <row r="92" spans="1:9" ht="18">
      <c r="A92" s="7" t="s">
        <v>126</v>
      </c>
    </row>
    <row r="94" spans="1:9" ht="18">
      <c r="A94" s="9" t="s">
        <v>162</v>
      </c>
    </row>
    <row r="96" spans="1:9" ht="18">
      <c r="A96" s="79" t="s">
        <v>163</v>
      </c>
      <c r="B96" s="75"/>
      <c r="C96" s="75"/>
      <c r="D96" s="75"/>
      <c r="E96" s="80" t="s">
        <v>164</v>
      </c>
      <c r="F96" s="80">
        <v>2014</v>
      </c>
      <c r="G96" s="80">
        <v>2015</v>
      </c>
      <c r="H96" s="80">
        <v>2016</v>
      </c>
      <c r="I96" s="80">
        <v>2017</v>
      </c>
    </row>
    <row r="97" spans="1:9" ht="18">
      <c r="A97" s="81" t="s">
        <v>165</v>
      </c>
      <c r="B97" s="7" t="s">
        <v>150</v>
      </c>
      <c r="C97" s="7"/>
      <c r="D97" s="7"/>
      <c r="E97" s="82">
        <v>14.5</v>
      </c>
      <c r="F97" s="82">
        <v>30.1</v>
      </c>
      <c r="G97" s="82">
        <v>31.8</v>
      </c>
      <c r="H97" s="82">
        <v>33.700000000000003</v>
      </c>
      <c r="I97" s="82">
        <v>34.5</v>
      </c>
    </row>
    <row r="98" spans="1:9" ht="18">
      <c r="A98" s="81" t="s">
        <v>166</v>
      </c>
      <c r="B98" s="7" t="s">
        <v>150</v>
      </c>
      <c r="C98" s="7"/>
      <c r="D98" s="7"/>
      <c r="E98" s="82">
        <v>0.6</v>
      </c>
      <c r="F98" s="82">
        <v>0</v>
      </c>
      <c r="G98" s="82">
        <v>0</v>
      </c>
      <c r="H98" s="82">
        <v>0</v>
      </c>
      <c r="I98" s="82">
        <v>0</v>
      </c>
    </row>
    <row r="99" spans="1:9" ht="18">
      <c r="A99" s="81" t="s">
        <v>167</v>
      </c>
      <c r="B99" s="7" t="s">
        <v>150</v>
      </c>
      <c r="C99" s="7"/>
      <c r="D99" s="7"/>
      <c r="E99" s="82">
        <v>0.1</v>
      </c>
      <c r="F99" s="82">
        <v>0.2</v>
      </c>
      <c r="G99" s="82">
        <v>0.2</v>
      </c>
      <c r="H99" s="82">
        <v>0.2</v>
      </c>
      <c r="I99" s="82">
        <v>0.2</v>
      </c>
    </row>
    <row r="100" spans="1:9" ht="18">
      <c r="A100" s="81" t="s">
        <v>25</v>
      </c>
      <c r="B100" s="7" t="s">
        <v>150</v>
      </c>
      <c r="C100" s="7"/>
      <c r="D100" s="7"/>
      <c r="E100" s="82">
        <v>0.2</v>
      </c>
      <c r="F100" s="82">
        <v>0.4</v>
      </c>
      <c r="G100" s="82">
        <v>0.4</v>
      </c>
      <c r="H100" s="82">
        <v>0.4</v>
      </c>
      <c r="I100" s="82">
        <v>0.4</v>
      </c>
    </row>
    <row r="101" spans="1:9" ht="18">
      <c r="A101" s="83" t="s">
        <v>10</v>
      </c>
      <c r="B101" s="6" t="s">
        <v>150</v>
      </c>
      <c r="C101" s="6"/>
      <c r="D101" s="6"/>
      <c r="E101" s="84">
        <v>15.3</v>
      </c>
      <c r="F101" s="84">
        <v>30.7</v>
      </c>
      <c r="G101" s="84">
        <v>32.4</v>
      </c>
      <c r="H101" s="84">
        <v>34.299999999999997</v>
      </c>
      <c r="I101" s="84">
        <v>35.1</v>
      </c>
    </row>
    <row r="103" spans="1:9" ht="18">
      <c r="A103" s="6" t="s">
        <v>203</v>
      </c>
      <c r="B103" s="6" t="s">
        <v>150</v>
      </c>
      <c r="C103" s="6"/>
      <c r="D103" s="6"/>
      <c r="E103" s="6">
        <f>E101</f>
        <v>15.3</v>
      </c>
      <c r="F103" s="6">
        <f t="shared" ref="F103:I103" si="29">F101</f>
        <v>30.7</v>
      </c>
      <c r="G103" s="6">
        <f t="shared" si="29"/>
        <v>32.4</v>
      </c>
      <c r="H103" s="6">
        <f t="shared" si="29"/>
        <v>34.299999999999997</v>
      </c>
      <c r="I103" s="6">
        <f t="shared" si="29"/>
        <v>35.1</v>
      </c>
    </row>
    <row r="104" spans="1:9" ht="18">
      <c r="A104" s="6" t="str">
        <f>A103</f>
        <v>AER Total Operating Expenditure</v>
      </c>
      <c r="B104" s="18" t="s">
        <v>168</v>
      </c>
      <c r="C104" s="6"/>
      <c r="D104" s="6"/>
      <c r="E104" s="76">
        <f>E103/E25</f>
        <v>14.926829268292686</v>
      </c>
      <c r="F104" s="76">
        <f>F103/F25</f>
        <v>29.220701963117193</v>
      </c>
      <c r="G104" s="76">
        <f>G103/G25</f>
        <v>30.086620913799859</v>
      </c>
      <c r="H104" s="76">
        <f>H103/H25</f>
        <v>31.074107116631595</v>
      </c>
      <c r="I104" s="76">
        <f>I103/I25</f>
        <v>31.023285495094054</v>
      </c>
    </row>
    <row r="105" spans="1:9" ht="18">
      <c r="A105" s="6" t="str">
        <f>A104</f>
        <v>AER Total Operating Expenditure</v>
      </c>
      <c r="B105" s="6" t="s">
        <v>130</v>
      </c>
      <c r="C105" s="6"/>
      <c r="D105" s="6"/>
      <c r="E105" s="76">
        <f>E104/E23</f>
        <v>15.105951219512198</v>
      </c>
      <c r="F105" s="76">
        <f>F104/F23</f>
        <v>30.281062795954792</v>
      </c>
      <c r="G105" s="76">
        <f>G104/G23</f>
        <v>32.113756339925423</v>
      </c>
      <c r="H105" s="76">
        <f>H104/H23</f>
        <v>33.665292685827573</v>
      </c>
      <c r="I105" s="76">
        <f>I104/I23</f>
        <v>33.946335518887111</v>
      </c>
    </row>
    <row r="106" spans="1:9" ht="18">
      <c r="A106" s="6" t="str">
        <f>A105</f>
        <v>AER Total Operating Expenditure</v>
      </c>
      <c r="B106" s="6" t="s">
        <v>204</v>
      </c>
      <c r="C106" s="6"/>
      <c r="D106" s="6"/>
      <c r="E106" s="90">
        <f>E105/E22</f>
        <v>16.333252474330539</v>
      </c>
      <c r="F106" s="90">
        <f t="shared" ref="F106:I106" si="30">F105/F22</f>
        <v>31.973910471031243</v>
      </c>
      <c r="G106" s="90">
        <f t="shared" si="30"/>
        <v>32.921417311874542</v>
      </c>
      <c r="H106" s="90">
        <f t="shared" si="30"/>
        <v>34.001945612685851</v>
      </c>
      <c r="I106" s="90">
        <f t="shared" si="30"/>
        <v>33.946335518887111</v>
      </c>
    </row>
    <row r="108" spans="1:9" ht="22.5">
      <c r="A108" s="53" t="s">
        <v>76</v>
      </c>
    </row>
    <row r="109" spans="1:9" ht="18">
      <c r="A109" s="9" t="s">
        <v>79</v>
      </c>
      <c r="G109" s="9" t="s">
        <v>173</v>
      </c>
      <c r="H109" s="9" t="s">
        <v>172</v>
      </c>
    </row>
    <row r="110" spans="1:9" ht="18">
      <c r="A110" s="7" t="s">
        <v>80</v>
      </c>
      <c r="B110" s="7" t="s">
        <v>1</v>
      </c>
      <c r="G110" s="7"/>
      <c r="H110" s="10">
        <v>2879030.4426871873</v>
      </c>
    </row>
    <row r="111" spans="1:9" ht="18">
      <c r="A111" s="9" t="s">
        <v>86</v>
      </c>
    </row>
    <row r="112" spans="1:9" ht="18">
      <c r="A112" s="7" t="s">
        <v>84</v>
      </c>
      <c r="B112" s="7" t="s">
        <v>1</v>
      </c>
      <c r="G112" s="7"/>
      <c r="H112" s="10">
        <v>8904552.4441312719</v>
      </c>
    </row>
    <row r="113" spans="1:8" ht="18">
      <c r="A113" s="7" t="s">
        <v>85</v>
      </c>
      <c r="B113" s="7" t="s">
        <v>1</v>
      </c>
      <c r="G113" s="7"/>
      <c r="H113" s="10">
        <v>4904537.2420835644</v>
      </c>
    </row>
    <row r="114" spans="1:8" ht="18">
      <c r="A114" s="7" t="s">
        <v>81</v>
      </c>
      <c r="B114" s="7" t="s">
        <v>82</v>
      </c>
      <c r="G114" s="7"/>
      <c r="H114" s="46">
        <v>0.92633917077502481</v>
      </c>
    </row>
    <row r="115" spans="1:8" ht="18">
      <c r="A115"/>
    </row>
    <row r="116" spans="1:8" ht="18">
      <c r="A116"/>
    </row>
    <row r="117" spans="1:8" ht="18">
      <c r="A117" s="7" t="s">
        <v>77</v>
      </c>
      <c r="B117" s="7" t="s">
        <v>1</v>
      </c>
      <c r="G117" s="7"/>
      <c r="H117" s="10">
        <f>(H112-H113)*H114</f>
        <v>3705370.7653523665</v>
      </c>
    </row>
    <row r="118" spans="1:8" ht="18">
      <c r="A118" s="7" t="s">
        <v>78</v>
      </c>
      <c r="B118" s="7" t="s">
        <v>1</v>
      </c>
      <c r="G118" s="7"/>
      <c r="H118" s="47">
        <f>H110*H114</f>
        <v>2666958.6729149017</v>
      </c>
    </row>
    <row r="119" spans="1:8" ht="18">
      <c r="A119" s="6" t="s">
        <v>83</v>
      </c>
      <c r="B119" s="6" t="str">
        <f>B118</f>
        <v>$ nominal</v>
      </c>
      <c r="G119" s="6"/>
      <c r="H119" s="11">
        <f>SUM(H117:H118)</f>
        <v>6372329.4382672682</v>
      </c>
    </row>
    <row r="122" spans="1:8" ht="18">
      <c r="A122" s="9" t="s">
        <v>104</v>
      </c>
    </row>
    <row r="123" spans="1:8" ht="18">
      <c r="A123" s="75" t="s">
        <v>113</v>
      </c>
      <c r="B123" s="50"/>
      <c r="G123" s="50"/>
      <c r="H123" s="50"/>
    </row>
    <row r="124" spans="1:8" ht="18">
      <c r="A124" s="7" t="s">
        <v>105</v>
      </c>
      <c r="B124" s="7"/>
      <c r="G124" s="7"/>
      <c r="H124" s="27">
        <v>0</v>
      </c>
    </row>
    <row r="125" spans="1:8" ht="18">
      <c r="A125" s="7" t="s">
        <v>106</v>
      </c>
      <c r="B125" s="7"/>
      <c r="G125" s="7"/>
      <c r="H125" s="27">
        <v>1502686</v>
      </c>
    </row>
    <row r="126" spans="1:8" ht="18">
      <c r="A126" s="7" t="s">
        <v>107</v>
      </c>
      <c r="B126" s="7"/>
      <c r="G126" s="7"/>
      <c r="H126" s="27">
        <v>999264</v>
      </c>
    </row>
    <row r="127" spans="1:8" ht="18">
      <c r="A127" s="7" t="s">
        <v>108</v>
      </c>
      <c r="B127" s="7"/>
      <c r="G127" s="7"/>
      <c r="H127" s="27">
        <v>3506764.12</v>
      </c>
    </row>
    <row r="128" spans="1:8" ht="18">
      <c r="A128" s="7" t="s">
        <v>109</v>
      </c>
      <c r="B128" s="7"/>
      <c r="G128" s="7"/>
      <c r="H128" s="27">
        <v>500000</v>
      </c>
    </row>
    <row r="129" spans="1:8" ht="18">
      <c r="A129" s="7" t="s">
        <v>110</v>
      </c>
      <c r="B129" s="7"/>
      <c r="G129" s="7"/>
      <c r="H129" s="27">
        <v>5301779</v>
      </c>
    </row>
    <row r="130" spans="1:8" ht="18">
      <c r="A130" s="7" t="s">
        <v>111</v>
      </c>
      <c r="B130" s="7"/>
      <c r="G130" s="7"/>
      <c r="H130" s="27">
        <v>7780159</v>
      </c>
    </row>
    <row r="131" spans="1:8" ht="18">
      <c r="A131" s="7" t="s">
        <v>112</v>
      </c>
      <c r="B131" s="7"/>
      <c r="G131" s="7"/>
      <c r="H131" s="27">
        <v>30577371.879999999</v>
      </c>
    </row>
    <row r="132" spans="1:8" ht="18">
      <c r="A132" s="6"/>
      <c r="B132" s="6"/>
      <c r="G132" s="6"/>
      <c r="H132" s="6"/>
    </row>
    <row r="134" spans="1:8" ht="18">
      <c r="A134" s="75" t="s">
        <v>114</v>
      </c>
      <c r="B134" s="50"/>
      <c r="G134" s="50"/>
      <c r="H134" s="50"/>
    </row>
    <row r="135" spans="1:8" ht="18">
      <c r="A135" s="7" t="str">
        <f>A124</f>
        <v>Networks</v>
      </c>
      <c r="H135" s="27">
        <v>0</v>
      </c>
    </row>
    <row r="136" spans="1:8" ht="18">
      <c r="A136" s="7" t="str">
        <f t="shared" ref="A136:A142" si="31">A125</f>
        <v>Transmission</v>
      </c>
      <c r="H136" s="27">
        <v>1475779</v>
      </c>
    </row>
    <row r="137" spans="1:8" ht="18">
      <c r="A137" s="7" t="str">
        <f t="shared" si="31"/>
        <v>Generation</v>
      </c>
      <c r="H137" s="27">
        <v>1804001</v>
      </c>
    </row>
    <row r="138" spans="1:8" ht="18">
      <c r="A138" s="7" t="str">
        <f t="shared" si="31"/>
        <v>Allgas</v>
      </c>
      <c r="H138" s="27">
        <v>7036870</v>
      </c>
    </row>
    <row r="139" spans="1:8" ht="18">
      <c r="A139" s="7" t="str">
        <f t="shared" si="31"/>
        <v>Wallumbilla Gas Pipelines</v>
      </c>
      <c r="H139" s="27">
        <v>1000000</v>
      </c>
    </row>
    <row r="140" spans="1:8" ht="18">
      <c r="A140" s="7" t="str">
        <f t="shared" si="31"/>
        <v>Australian Gas Network</v>
      </c>
      <c r="H140" s="27">
        <v>13599654</v>
      </c>
    </row>
    <row r="141" spans="1:8" ht="18">
      <c r="A141" s="7" t="str">
        <f t="shared" si="31"/>
        <v>Commercial Development</v>
      </c>
      <c r="H141" s="27">
        <v>11790127</v>
      </c>
    </row>
    <row r="142" spans="1:8" ht="18">
      <c r="A142" s="7" t="str">
        <f t="shared" si="31"/>
        <v>Residual</v>
      </c>
      <c r="H142" s="27">
        <v>63405545</v>
      </c>
    </row>
    <row r="144" spans="1:8" ht="18">
      <c r="A144" s="75" t="s">
        <v>115</v>
      </c>
      <c r="B144" s="50"/>
      <c r="G144" s="50"/>
      <c r="H144" s="50"/>
    </row>
    <row r="145" spans="1:8" ht="18">
      <c r="A145" s="7" t="str">
        <f>A135</f>
        <v>Networks</v>
      </c>
      <c r="H145" s="27">
        <v>0</v>
      </c>
    </row>
    <row r="146" spans="1:8" ht="18">
      <c r="A146" s="7" t="str">
        <f t="shared" ref="A146:A152" si="32">A136</f>
        <v>Transmission</v>
      </c>
      <c r="H146" s="27">
        <v>0</v>
      </c>
    </row>
    <row r="147" spans="1:8" ht="18">
      <c r="A147" s="7" t="str">
        <f t="shared" si="32"/>
        <v>Generation</v>
      </c>
      <c r="H147" s="27">
        <v>20079</v>
      </c>
    </row>
    <row r="148" spans="1:8" ht="18">
      <c r="A148" s="7" t="str">
        <f t="shared" si="32"/>
        <v>Allgas</v>
      </c>
      <c r="H148" s="27">
        <v>3574348</v>
      </c>
    </row>
    <row r="149" spans="1:8" ht="18">
      <c r="A149" s="7" t="str">
        <f t="shared" si="32"/>
        <v>Wallumbilla Gas Pipelines</v>
      </c>
      <c r="H149" s="27">
        <v>500000</v>
      </c>
    </row>
    <row r="150" spans="1:8" ht="18">
      <c r="A150" s="7" t="str">
        <f t="shared" si="32"/>
        <v>Australian Gas Network</v>
      </c>
      <c r="H150" s="27">
        <v>6318136</v>
      </c>
    </row>
    <row r="151" spans="1:8" ht="18">
      <c r="A151" s="7" t="str">
        <f t="shared" si="32"/>
        <v>Commercial Development</v>
      </c>
      <c r="H151" s="27">
        <v>3147222</v>
      </c>
    </row>
    <row r="152" spans="1:8" ht="18">
      <c r="A152" s="7" t="str">
        <f t="shared" si="32"/>
        <v>Residual</v>
      </c>
      <c r="H152" s="27">
        <v>26046895</v>
      </c>
    </row>
    <row r="154" spans="1:8" ht="18">
      <c r="A154" s="75" t="s">
        <v>116</v>
      </c>
    </row>
    <row r="155" spans="1:8" ht="18">
      <c r="A155" s="6" t="str">
        <f>A145</f>
        <v>Networks</v>
      </c>
      <c r="H155" s="59">
        <f>(H135-H124+H145)/1000000</f>
        <v>0</v>
      </c>
    </row>
    <row r="156" spans="1:8" ht="18">
      <c r="A156" s="6" t="str">
        <f t="shared" ref="A156:A162" si="33">A146</f>
        <v>Transmission</v>
      </c>
      <c r="H156" s="27">
        <v>0</v>
      </c>
    </row>
    <row r="157" spans="1:8" ht="18">
      <c r="A157" s="6" t="str">
        <f t="shared" si="33"/>
        <v>Generation</v>
      </c>
      <c r="H157" s="59">
        <f t="shared" ref="H157:H162" si="34">(H137-H126+H147)/1000000</f>
        <v>0.82481599999999999</v>
      </c>
    </row>
    <row r="158" spans="1:8" ht="18">
      <c r="A158" s="6" t="str">
        <f t="shared" si="33"/>
        <v>Allgas</v>
      </c>
      <c r="H158" s="59">
        <f t="shared" si="34"/>
        <v>7.1044538800000003</v>
      </c>
    </row>
    <row r="159" spans="1:8" ht="18">
      <c r="A159" s="6" t="str">
        <f t="shared" si="33"/>
        <v>Wallumbilla Gas Pipelines</v>
      </c>
      <c r="H159" s="59">
        <f t="shared" si="34"/>
        <v>1</v>
      </c>
    </row>
    <row r="160" spans="1:8" ht="18">
      <c r="A160" s="6" t="str">
        <f t="shared" si="33"/>
        <v>Australian Gas Network</v>
      </c>
      <c r="H160" s="59">
        <f t="shared" si="34"/>
        <v>14.616011</v>
      </c>
    </row>
    <row r="161" spans="1:8" ht="18">
      <c r="A161" s="6" t="str">
        <f t="shared" si="33"/>
        <v>Commercial Development</v>
      </c>
      <c r="H161" s="59">
        <f t="shared" si="34"/>
        <v>7.1571899999999999</v>
      </c>
    </row>
    <row r="162" spans="1:8" ht="18">
      <c r="A162" s="6" t="str">
        <f t="shared" si="33"/>
        <v>Residual</v>
      </c>
      <c r="H162" s="59">
        <f t="shared" si="34"/>
        <v>58.875068120000002</v>
      </c>
    </row>
    <row r="165" spans="1:8" ht="18">
      <c r="A165" s="9" t="s">
        <v>173</v>
      </c>
    </row>
    <row r="166" spans="1:8" ht="18">
      <c r="A166" s="75" t="s">
        <v>174</v>
      </c>
    </row>
    <row r="167" spans="1:8" ht="18">
      <c r="A167" s="7" t="str">
        <f>A110</f>
        <v>Budgeted Corporate overheads Victoria (1 Jul - 31 Dec)</v>
      </c>
      <c r="B167" s="7" t="s">
        <v>118</v>
      </c>
      <c r="C167" s="7"/>
      <c r="D167" s="7"/>
      <c r="E167" s="7"/>
      <c r="F167" s="7"/>
      <c r="G167" s="7"/>
      <c r="H167" s="27">
        <v>80471164</v>
      </c>
    </row>
    <row r="168" spans="1:8" ht="18">
      <c r="A168" s="7" t="str">
        <f>A112</f>
        <v>Actuals FY16</v>
      </c>
      <c r="B168" s="7" t="s">
        <v>118</v>
      </c>
      <c r="C168" s="7"/>
      <c r="D168" s="7"/>
      <c r="E168" s="7"/>
      <c r="F168" s="7"/>
      <c r="G168" s="7"/>
      <c r="H168" s="86">
        <v>152991320</v>
      </c>
    </row>
    <row r="169" spans="1:8" ht="18">
      <c r="A169" s="7" t="str">
        <f t="shared" ref="A169" si="35">A113</f>
        <v>Actual (1 Jan to 30 June)</v>
      </c>
      <c r="B169" s="7" t="s">
        <v>118</v>
      </c>
      <c r="C169" s="7"/>
      <c r="D169" s="7"/>
      <c r="E169" s="7"/>
      <c r="F169" s="7"/>
      <c r="G169" s="7"/>
      <c r="H169" s="27">
        <v>83389562</v>
      </c>
    </row>
    <row r="170" spans="1:8" ht="18">
      <c r="A170" s="6" t="str">
        <f>A114</f>
        <v>Opex allocator to VTS</v>
      </c>
      <c r="B170" s="6" t="s">
        <v>82</v>
      </c>
      <c r="C170" s="6"/>
      <c r="D170" s="6"/>
      <c r="E170" s="6"/>
      <c r="F170" s="6"/>
      <c r="G170" s="6"/>
      <c r="H170" s="44">
        <f>H114</f>
        <v>0.92633917077502481</v>
      </c>
    </row>
    <row r="172" spans="1:8" ht="18">
      <c r="A172" s="75" t="s">
        <v>175</v>
      </c>
    </row>
    <row r="173" spans="1:8" ht="18">
      <c r="A173" s="7" t="str">
        <f>A167</f>
        <v>Budgeted Corporate overheads Victoria (1 Jul - 31 Dec)</v>
      </c>
      <c r="B173" s="7" t="s">
        <v>118</v>
      </c>
      <c r="C173" s="7"/>
      <c r="D173" s="7"/>
      <c r="E173" s="7"/>
      <c r="F173" s="7"/>
      <c r="G173" s="7"/>
      <c r="H173" s="27">
        <v>728031190</v>
      </c>
    </row>
    <row r="174" spans="1:8" ht="18">
      <c r="A174" s="7" t="str">
        <f t="shared" ref="A174:A175" si="36">A168</f>
        <v>Actuals FY16</v>
      </c>
      <c r="B174" s="7" t="s">
        <v>118</v>
      </c>
      <c r="C174" s="7"/>
      <c r="D174" s="7"/>
      <c r="E174" s="7"/>
      <c r="F174" s="7"/>
      <c r="G174" s="7"/>
      <c r="H174" s="86">
        <v>1116127453</v>
      </c>
    </row>
    <row r="175" spans="1:8" ht="18">
      <c r="A175" s="7" t="str">
        <f t="shared" si="36"/>
        <v>Actual (1 Jan to 30 June)</v>
      </c>
      <c r="B175" s="7" t="s">
        <v>118</v>
      </c>
      <c r="C175" s="7"/>
      <c r="D175" s="7"/>
      <c r="E175" s="7"/>
      <c r="F175" s="7"/>
      <c r="G175" s="7"/>
      <c r="H175" s="86">
        <v>545624972</v>
      </c>
    </row>
    <row r="177" spans="1:8" ht="18">
      <c r="A177" s="75" t="s">
        <v>176</v>
      </c>
    </row>
    <row r="178" spans="1:8" ht="18">
      <c r="A178" s="7" t="str">
        <f>A173</f>
        <v>Budgeted Corporate overheads Victoria (1 Jul - 31 Dec)</v>
      </c>
      <c r="B178" s="7" t="s">
        <v>118</v>
      </c>
      <c r="C178" s="7"/>
      <c r="D178" s="7"/>
      <c r="E178" s="7"/>
      <c r="F178" s="7"/>
      <c r="G178" s="7"/>
      <c r="H178" s="27">
        <v>589372548</v>
      </c>
    </row>
    <row r="179" spans="1:8" ht="18">
      <c r="A179" s="7" t="str">
        <f t="shared" ref="A179:A180" si="37">A174</f>
        <v>Actuals FY16</v>
      </c>
      <c r="B179" s="7" t="s">
        <v>118</v>
      </c>
      <c r="C179" s="7"/>
      <c r="D179" s="7"/>
      <c r="E179" s="7"/>
      <c r="F179" s="7"/>
      <c r="G179" s="7"/>
      <c r="H179" s="86">
        <v>1008402265</v>
      </c>
    </row>
    <row r="180" spans="1:8" ht="18">
      <c r="A180" s="7" t="str">
        <f t="shared" si="37"/>
        <v>Actual (1 Jan to 30 June)</v>
      </c>
      <c r="B180" s="7" t="s">
        <v>118</v>
      </c>
      <c r="C180" s="7"/>
      <c r="D180" s="7"/>
      <c r="E180" s="7"/>
      <c r="F180" s="7"/>
      <c r="G180" s="7"/>
      <c r="H180" s="86">
        <v>519766292</v>
      </c>
    </row>
    <row r="182" spans="1:8" ht="18">
      <c r="A182" s="75" t="s">
        <v>174</v>
      </c>
    </row>
    <row r="183" spans="1:8" ht="18">
      <c r="A183" s="6" t="s">
        <v>177</v>
      </c>
      <c r="B183" s="6" t="str">
        <f>B180</f>
        <v>nominal $</v>
      </c>
      <c r="C183" s="6"/>
      <c r="D183" s="6"/>
      <c r="E183" s="6"/>
      <c r="F183" s="6"/>
      <c r="G183" s="6"/>
      <c r="H183" s="11">
        <f>H167+H168-H169</f>
        <v>150072922</v>
      </c>
    </row>
    <row r="184" spans="1:8" ht="18">
      <c r="A184" s="6" t="s">
        <v>181</v>
      </c>
      <c r="B184" s="6" t="str">
        <f>B183</f>
        <v>nominal $</v>
      </c>
      <c r="C184" s="6"/>
      <c r="D184" s="6"/>
      <c r="E184" s="6"/>
      <c r="F184" s="6"/>
      <c r="G184" s="6"/>
      <c r="H184" s="11">
        <f>H183*H170</f>
        <v>139018426.12126496</v>
      </c>
    </row>
    <row r="186" spans="1:8" ht="18">
      <c r="A186" s="75" t="s">
        <v>179</v>
      </c>
    </row>
    <row r="187" spans="1:8" ht="18">
      <c r="A187" s="6" t="s">
        <v>180</v>
      </c>
      <c r="B187" s="6" t="str">
        <f>B184</f>
        <v>nominal $</v>
      </c>
      <c r="C187" s="6"/>
      <c r="D187" s="6"/>
      <c r="E187" s="6"/>
      <c r="F187" s="6"/>
      <c r="G187" s="6"/>
      <c r="H187" s="11">
        <f>H173+H174-H175</f>
        <v>1298533671</v>
      </c>
    </row>
    <row r="189" spans="1:8" ht="18">
      <c r="A189" s="75" t="s">
        <v>178</v>
      </c>
    </row>
    <row r="190" spans="1:8" ht="18">
      <c r="A190" s="6" t="s">
        <v>180</v>
      </c>
      <c r="B190" s="6" t="str">
        <f>B187</f>
        <v>nominal $</v>
      </c>
      <c r="C190" s="6"/>
      <c r="D190" s="6"/>
      <c r="E190" s="6"/>
      <c r="F190" s="6"/>
      <c r="G190" s="6"/>
      <c r="H190" s="11">
        <f>H178+H179-H180</f>
        <v>1078008521</v>
      </c>
    </row>
    <row r="192" spans="1:8" ht="18">
      <c r="A192" s="75" t="s">
        <v>182</v>
      </c>
    </row>
    <row r="193" spans="1:8" ht="18">
      <c r="A193" s="8" t="s">
        <v>112</v>
      </c>
      <c r="B193" s="8" t="s">
        <v>4</v>
      </c>
      <c r="C193" s="8"/>
      <c r="D193" s="8"/>
      <c r="E193" s="8"/>
      <c r="F193" s="8"/>
      <c r="G193" s="8"/>
      <c r="H193" s="87">
        <f>H184/H187</f>
        <v>0.10705800644676927</v>
      </c>
    </row>
    <row r="194" spans="1:8" ht="18">
      <c r="A194" s="8" t="s">
        <v>106</v>
      </c>
      <c r="B194" s="8" t="str">
        <f>B193</f>
        <v>Percent</v>
      </c>
      <c r="C194" s="8"/>
      <c r="D194" s="8"/>
      <c r="E194" s="8"/>
      <c r="F194" s="8"/>
      <c r="G194" s="8"/>
      <c r="H194" s="87">
        <f>H184/H190</f>
        <v>0.12895855961537891</v>
      </c>
    </row>
    <row r="196" spans="1:8" ht="18">
      <c r="A196" s="9" t="s">
        <v>186</v>
      </c>
    </row>
    <row r="197" spans="1:8" ht="18">
      <c r="A197" s="75" t="s">
        <v>187</v>
      </c>
    </row>
    <row r="198" spans="1:8" ht="18">
      <c r="A198" s="7" t="s">
        <v>139</v>
      </c>
      <c r="H198" s="86">
        <v>11051500.27</v>
      </c>
    </row>
    <row r="199" spans="1:8" ht="18">
      <c r="A199" s="7" t="s">
        <v>140</v>
      </c>
      <c r="H199" s="86">
        <v>1191316.6310000001</v>
      </c>
    </row>
    <row r="200" spans="1:8" ht="18">
      <c r="A200" s="7" t="s">
        <v>141</v>
      </c>
      <c r="H200" s="86">
        <v>1912332.6690000002</v>
      </c>
    </row>
    <row r="201" spans="1:8" ht="18">
      <c r="A201" s="7" t="s">
        <v>142</v>
      </c>
      <c r="H201" s="86">
        <v>3247666.827</v>
      </c>
    </row>
    <row r="202" spans="1:8" ht="18">
      <c r="A202" s="7" t="s">
        <v>143</v>
      </c>
      <c r="H202" s="86">
        <f>H16</f>
        <v>6372329.4382672682</v>
      </c>
    </row>
    <row r="203" spans="1:8" ht="18">
      <c r="A203" s="7" t="s">
        <v>144</v>
      </c>
      <c r="H203" s="86">
        <v>0</v>
      </c>
    </row>
    <row r="204" spans="1:8" ht="18">
      <c r="A204" s="7" t="s">
        <v>25</v>
      </c>
      <c r="H204" s="86">
        <v>0</v>
      </c>
    </row>
    <row r="205" spans="1:8" ht="18">
      <c r="A205" s="7" t="s">
        <v>145</v>
      </c>
      <c r="H205" s="86">
        <f>H15</f>
        <v>648379.79700000002</v>
      </c>
    </row>
    <row r="206" spans="1:8" ht="18">
      <c r="A206" s="7" t="s">
        <v>146</v>
      </c>
      <c r="H206" s="86">
        <f>H14</f>
        <v>296993</v>
      </c>
    </row>
    <row r="207" spans="1:8" ht="18">
      <c r="A207" s="6" t="s">
        <v>2</v>
      </c>
      <c r="B207" s="6"/>
      <c r="C207" s="6"/>
      <c r="D207" s="6"/>
      <c r="E207" s="6"/>
      <c r="F207" s="6"/>
      <c r="G207" s="6"/>
      <c r="H207" s="88">
        <f>SUM(H198:H206)</f>
        <v>24720518.632267267</v>
      </c>
    </row>
    <row r="209" spans="1:8" ht="18">
      <c r="A209" s="75" t="s">
        <v>188</v>
      </c>
    </row>
    <row r="210" spans="1:8" ht="18">
      <c r="A210" s="6" t="str">
        <f>A198</f>
        <v>Labour</v>
      </c>
      <c r="H210" s="85">
        <f>H198/$H$207</f>
        <v>0.44705778363301274</v>
      </c>
    </row>
    <row r="211" spans="1:8" ht="18">
      <c r="A211" s="6" t="str">
        <f t="shared" ref="A211:A219" si="38">A199</f>
        <v>Materials</v>
      </c>
      <c r="H211" s="85">
        <f t="shared" ref="H211:H218" si="39">H199/$H$207</f>
        <v>4.8191409279131993E-2</v>
      </c>
    </row>
    <row r="212" spans="1:8" ht="18">
      <c r="A212" s="6" t="str">
        <f t="shared" si="38"/>
        <v>Outside services</v>
      </c>
      <c r="H212" s="85">
        <f t="shared" si="39"/>
        <v>7.7358112806899831E-2</v>
      </c>
    </row>
    <row r="213" spans="1:8" ht="18">
      <c r="A213" s="6" t="str">
        <f t="shared" si="38"/>
        <v>Other operating costs</v>
      </c>
      <c r="H213" s="85">
        <f t="shared" si="39"/>
        <v>0.13137535159803956</v>
      </c>
    </row>
    <row r="214" spans="1:8" ht="18">
      <c r="A214" s="6" t="str">
        <f t="shared" si="38"/>
        <v>Overheads/corporate costs</v>
      </c>
      <c r="H214" s="85">
        <f t="shared" si="39"/>
        <v>0.25777490889489579</v>
      </c>
    </row>
    <row r="215" spans="1:8" ht="18">
      <c r="A215" s="6" t="str">
        <f t="shared" si="38"/>
        <v>Equity raising costs</v>
      </c>
      <c r="H215" s="85">
        <f t="shared" si="39"/>
        <v>0</v>
      </c>
    </row>
    <row r="216" spans="1:8" ht="18">
      <c r="A216" s="6" t="str">
        <f t="shared" si="38"/>
        <v>Debt raising costs</v>
      </c>
      <c r="H216" s="85">
        <f t="shared" si="39"/>
        <v>0</v>
      </c>
    </row>
    <row r="217" spans="1:8" ht="18">
      <c r="A217" s="6" t="str">
        <f t="shared" si="38"/>
        <v>Insurance costs</v>
      </c>
      <c r="H217" s="85">
        <f t="shared" si="39"/>
        <v>2.6228405910290291E-2</v>
      </c>
    </row>
    <row r="218" spans="1:8" ht="18">
      <c r="A218" s="6" t="str">
        <f t="shared" si="38"/>
        <v>Other overheads</v>
      </c>
      <c r="H218" s="85">
        <f t="shared" si="39"/>
        <v>1.2014027877729885E-2</v>
      </c>
    </row>
    <row r="219" spans="1:8" ht="18">
      <c r="A219" s="6" t="str">
        <f t="shared" si="38"/>
        <v>Total</v>
      </c>
      <c r="H219" s="85">
        <f>SUM(H210:H218)</f>
        <v>1.0000000000000002</v>
      </c>
    </row>
  </sheetData>
  <pageMargins left="0.70866141732283472" right="0.70866141732283472" top="0.74803149606299213" bottom="0.74803149606299213" header="0.31496062992125984" footer="0.31496062992125984"/>
  <pageSetup paperSize="9" scale="55"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BEAFA8"/>
  </sheetPr>
  <dimension ref="A1:I60"/>
  <sheetViews>
    <sheetView topLeftCell="A19" zoomScale="70" zoomScaleNormal="70" workbookViewId="0">
      <selection activeCell="N35" sqref="N35"/>
    </sheetView>
  </sheetViews>
  <sheetFormatPr defaultColWidth="9" defaultRowHeight="13.5"/>
  <cols>
    <col min="1" max="1" width="38.6328125" style="2" customWidth="1"/>
    <col min="2" max="2" width="11.36328125" style="2" customWidth="1"/>
    <col min="3" max="9" width="10.81640625" style="2" bestFit="1" customWidth="1"/>
    <col min="10" max="10" width="10.54296875" style="2" customWidth="1"/>
    <col min="11" max="12" width="9" style="2"/>
    <col min="13" max="13" width="9.90625" style="2" customWidth="1"/>
    <col min="14" max="16384" width="9" style="2"/>
  </cols>
  <sheetData>
    <row r="1" spans="1:9" s="3" customFormat="1"/>
    <row r="2" spans="1:9" s="3" customFormat="1"/>
    <row r="3" spans="1:9" s="3" customFormat="1"/>
    <row r="4" spans="1:9" s="3" customFormat="1"/>
    <row r="5" spans="1:9" s="3" customFormat="1"/>
    <row r="6" spans="1:9" s="3" customFormat="1"/>
    <row r="7" spans="1:9" s="3" customFormat="1"/>
    <row r="8" spans="1:9" s="3" customFormat="1"/>
    <row r="9" spans="1:9" s="3" customFormat="1"/>
    <row r="10" spans="1:9" s="4" customFormat="1" ht="22.5">
      <c r="A10" s="5" t="str">
        <f ca="1">RIGHT(CELL("filename",A1),LEN(CELL("filename",A1))-FIND("]",CELL("filename",A1)))</f>
        <v>Calc│Forecast</v>
      </c>
      <c r="B10" s="9" t="s">
        <v>0</v>
      </c>
      <c r="C10" s="9">
        <v>2016</v>
      </c>
      <c r="D10" s="9">
        <v>2017</v>
      </c>
      <c r="E10" s="9">
        <v>2018</v>
      </c>
      <c r="F10" s="9">
        <v>2019</v>
      </c>
      <c r="G10" s="9">
        <v>2020</v>
      </c>
      <c r="H10" s="9">
        <v>2021</v>
      </c>
      <c r="I10" s="9">
        <v>2022</v>
      </c>
    </row>
    <row r="12" spans="1:9" ht="18">
      <c r="A12" s="15" t="s">
        <v>9</v>
      </c>
    </row>
    <row r="13" spans="1:9" ht="18">
      <c r="A13" s="6" t="s">
        <v>10</v>
      </c>
      <c r="B13" s="14" t="s">
        <v>11</v>
      </c>
      <c r="C13" s="11">
        <f>'Input│ Historic Opex'!H33</f>
        <v>24967723.818589933</v>
      </c>
    </row>
    <row r="15" spans="1:9" ht="18">
      <c r="A15" s="17" t="s">
        <v>12</v>
      </c>
    </row>
    <row r="16" spans="1:9" ht="18">
      <c r="A16" s="6" t="s">
        <v>14</v>
      </c>
      <c r="B16" s="18" t="str">
        <f>B13</f>
        <v>real $2017</v>
      </c>
      <c r="C16" s="11"/>
    </row>
    <row r="18" spans="1:9" ht="18">
      <c r="A18" s="15" t="s">
        <v>13</v>
      </c>
    </row>
    <row r="19" spans="1:9" ht="18">
      <c r="A19" s="6" t="s">
        <v>10</v>
      </c>
      <c r="B19" s="18" t="str">
        <f>B16</f>
        <v>real $2017</v>
      </c>
      <c r="C19" s="11">
        <f>C13-C16</f>
        <v>24967723.818589933</v>
      </c>
    </row>
    <row r="21" spans="1:9" ht="18">
      <c r="A21" s="15" t="s">
        <v>191</v>
      </c>
    </row>
    <row r="22" spans="1:9" ht="18">
      <c r="A22" s="61" t="s">
        <v>33</v>
      </c>
      <c r="B22" s="18" t="str">
        <f>B13</f>
        <v>real $2017</v>
      </c>
      <c r="C22" s="11">
        <f>'Input│ Historic Opex'!H39</f>
        <v>2104361.2600000002</v>
      </c>
    </row>
    <row r="23" spans="1:9" ht="18">
      <c r="A23" s="6" t="s">
        <v>15</v>
      </c>
      <c r="B23" s="18" t="str">
        <f>B19</f>
        <v>real $2017</v>
      </c>
      <c r="C23" s="11">
        <f>C22</f>
        <v>2104361.2600000002</v>
      </c>
    </row>
    <row r="25" spans="1:9" ht="18">
      <c r="A25" s="15" t="s">
        <v>16</v>
      </c>
    </row>
    <row r="26" spans="1:9" ht="18">
      <c r="A26" s="6" t="s">
        <v>10</v>
      </c>
      <c r="B26" s="18" t="str">
        <f>B23</f>
        <v>real $2017</v>
      </c>
      <c r="C26" s="11">
        <f>C19-C23</f>
        <v>22863362.558589932</v>
      </c>
      <c r="D26" s="11">
        <f>C26</f>
        <v>22863362.558589932</v>
      </c>
      <c r="E26" s="11">
        <f t="shared" ref="E26:I26" si="0">D26</f>
        <v>22863362.558589932</v>
      </c>
      <c r="F26" s="11">
        <f t="shared" si="0"/>
        <v>22863362.558589932</v>
      </c>
      <c r="G26" s="11">
        <f t="shared" si="0"/>
        <v>22863362.558589932</v>
      </c>
      <c r="H26" s="11">
        <f t="shared" si="0"/>
        <v>22863362.558589932</v>
      </c>
      <c r="I26" s="11">
        <f t="shared" si="0"/>
        <v>22863362.558589932</v>
      </c>
    </row>
    <row r="29" spans="1:9" ht="18">
      <c r="A29" s="15" t="s">
        <v>17</v>
      </c>
    </row>
    <row r="30" spans="1:9" ht="18">
      <c r="A30" s="6" t="s">
        <v>189</v>
      </c>
      <c r="B30" s="18" t="str">
        <f>B26</f>
        <v>real $2017</v>
      </c>
      <c r="C30" s="6"/>
      <c r="D30" s="11">
        <f>'Input│ Historic Opex'!C63</f>
        <v>0</v>
      </c>
      <c r="E30" s="11">
        <f>'Input│ Historic Opex'!D63</f>
        <v>276101.17499999999</v>
      </c>
      <c r="F30" s="11">
        <f>'Input│ Historic Opex'!E63</f>
        <v>365701.88214285712</v>
      </c>
      <c r="G30" s="11">
        <f>'Input│ Historic Opex'!F63</f>
        <v>365701.88214285712</v>
      </c>
      <c r="H30" s="11">
        <f>'Input│ Historic Opex'!G63</f>
        <v>411576.08214285714</v>
      </c>
      <c r="I30" s="11">
        <f>'Input│ Historic Opex'!H63</f>
        <v>411576.08214285714</v>
      </c>
    </row>
    <row r="31" spans="1:9" ht="18">
      <c r="A31" s="6" t="s">
        <v>33</v>
      </c>
      <c r="B31" s="18" t="str">
        <f>B30</f>
        <v>real $2017</v>
      </c>
      <c r="C31" s="11"/>
      <c r="D31" s="11">
        <f>'Input│ Historic Opex'!C70</f>
        <v>2204195</v>
      </c>
      <c r="E31" s="11">
        <f>'Input│ Historic Opex'!D70</f>
        <v>2354585.2329633548</v>
      </c>
      <c r="F31" s="11">
        <f>'Input│ Historic Opex'!E70</f>
        <v>2448103.6092293072</v>
      </c>
      <c r="G31" s="11">
        <f>'Input│ Historic Opex'!F70</f>
        <v>2508737.709300667</v>
      </c>
      <c r="H31" s="11">
        <f>'Input│ Historic Opex'!G70</f>
        <v>2555339.8434153344</v>
      </c>
      <c r="I31" s="11">
        <f>'Input│ Historic Opex'!H70</f>
        <v>2592357.8408578676</v>
      </c>
    </row>
    <row r="32" spans="1:9" ht="18">
      <c r="A32" s="6" t="s">
        <v>192</v>
      </c>
      <c r="B32" s="18" t="str">
        <f>B31</f>
        <v>real $2017</v>
      </c>
      <c r="C32" s="11"/>
      <c r="D32" s="11">
        <f>'Input│ Historic Opex'!I73</f>
        <v>978309.46673139755</v>
      </c>
      <c r="E32" s="11"/>
      <c r="F32" s="11">
        <f>'Input│ Historic Opex'!E72</f>
        <v>0</v>
      </c>
      <c r="G32" s="11">
        <f>'Input│ Historic Opex'!F72</f>
        <v>0</v>
      </c>
      <c r="H32" s="11">
        <f>'Input│ Historic Opex'!C73</f>
        <v>787352.05690894171</v>
      </c>
      <c r="I32" s="11">
        <f>'Input│ Historic Opex'!D73</f>
        <v>978309.46673139755</v>
      </c>
    </row>
    <row r="33" spans="1:9" ht="18">
      <c r="A33" s="6" t="s">
        <v>18</v>
      </c>
      <c r="B33" s="18" t="str">
        <f t="shared" ref="B33" si="1">B31</f>
        <v>real $2017</v>
      </c>
      <c r="C33" s="11">
        <f>SUM(C30:C32)</f>
        <v>0</v>
      </c>
      <c r="D33" s="11">
        <f>SUM(D30:D32)</f>
        <v>3182504.4667313974</v>
      </c>
      <c r="E33" s="11">
        <f t="shared" ref="E33:I33" si="2">SUM(E30:E32)</f>
        <v>2630686.4079633546</v>
      </c>
      <c r="F33" s="11">
        <f t="shared" si="2"/>
        <v>2813805.4913721643</v>
      </c>
      <c r="G33" s="11">
        <f t="shared" si="2"/>
        <v>2874439.5914435242</v>
      </c>
      <c r="H33" s="11">
        <f t="shared" si="2"/>
        <v>3754267.9824671336</v>
      </c>
      <c r="I33" s="11">
        <f t="shared" si="2"/>
        <v>3982243.3897321224</v>
      </c>
    </row>
    <row r="35" spans="1:9" ht="18">
      <c r="A35" s="15" t="s">
        <v>19</v>
      </c>
    </row>
    <row r="36" spans="1:9" ht="18">
      <c r="A36" s="6" t="s">
        <v>10</v>
      </c>
      <c r="B36" s="18" t="str">
        <f>B33</f>
        <v>real $2017</v>
      </c>
      <c r="C36" s="11">
        <f t="shared" ref="C36:I36" si="3">C26+C33</f>
        <v>22863362.558589932</v>
      </c>
      <c r="D36" s="11">
        <f t="shared" si="3"/>
        <v>26045867.025321327</v>
      </c>
      <c r="E36" s="11">
        <f t="shared" si="3"/>
        <v>25494048.966553286</v>
      </c>
      <c r="F36" s="11">
        <f t="shared" si="3"/>
        <v>25677168.049962096</v>
      </c>
      <c r="G36" s="11">
        <f t="shared" si="3"/>
        <v>25737802.150033455</v>
      </c>
      <c r="H36" s="11">
        <f t="shared" si="3"/>
        <v>26617630.541057065</v>
      </c>
      <c r="I36" s="11">
        <f t="shared" si="3"/>
        <v>26845605.948322054</v>
      </c>
    </row>
    <row r="38" spans="1:9" ht="18">
      <c r="A38" s="15" t="s">
        <v>20</v>
      </c>
    </row>
    <row r="39" spans="1:9" ht="18">
      <c r="A39" s="6" t="s">
        <v>89</v>
      </c>
      <c r="B39" s="18" t="str">
        <f>B36</f>
        <v>real $2017</v>
      </c>
      <c r="C39" s="11"/>
      <c r="D39" s="11">
        <f>'Input│ Historic Opex'!C51</f>
        <v>158300.67559497617</v>
      </c>
      <c r="E39" s="11">
        <f>'Input│ Historic Opex'!D51</f>
        <v>158300.67559497617</v>
      </c>
      <c r="F39" s="11">
        <f>'Input│ Historic Opex'!E51</f>
        <v>158300.67559497617</v>
      </c>
      <c r="G39" s="11">
        <f>'Input│ Historic Opex'!F51</f>
        <v>158300.67559497617</v>
      </c>
      <c r="H39" s="11">
        <f>'Input│ Historic Opex'!G51</f>
        <v>158300.67559497617</v>
      </c>
      <c r="I39" s="11">
        <f>'Input│ Historic Opex'!H51</f>
        <v>158300.67559497617</v>
      </c>
    </row>
    <row r="40" spans="1:9" ht="18">
      <c r="A40" s="6" t="s">
        <v>21</v>
      </c>
      <c r="B40" s="18" t="str">
        <f>B36</f>
        <v>real $2017</v>
      </c>
      <c r="C40" s="11">
        <f>SUM(C39:C39)</f>
        <v>0</v>
      </c>
      <c r="D40" s="11">
        <f t="shared" ref="D40:I40" si="4">SUM(D39:D39)</f>
        <v>158300.67559497617</v>
      </c>
      <c r="E40" s="11">
        <f t="shared" si="4"/>
        <v>158300.67559497617</v>
      </c>
      <c r="F40" s="11">
        <f t="shared" si="4"/>
        <v>158300.67559497617</v>
      </c>
      <c r="G40" s="11">
        <f t="shared" si="4"/>
        <v>158300.67559497617</v>
      </c>
      <c r="H40" s="11">
        <f t="shared" si="4"/>
        <v>158300.67559497617</v>
      </c>
      <c r="I40" s="11">
        <f t="shared" si="4"/>
        <v>158300.67559497617</v>
      </c>
    </row>
    <row r="42" spans="1:9" ht="18">
      <c r="A42" s="8" t="s">
        <v>22</v>
      </c>
      <c r="B42" s="8" t="str">
        <f>B40</f>
        <v>real $2017</v>
      </c>
      <c r="C42" s="19">
        <f>C36+C40</f>
        <v>22863362.558589932</v>
      </c>
      <c r="D42" s="19">
        <f t="shared" ref="D42:I42" si="5">D36+D40</f>
        <v>26204167.700916305</v>
      </c>
      <c r="E42" s="19">
        <f t="shared" si="5"/>
        <v>25652349.642148264</v>
      </c>
      <c r="F42" s="19">
        <f t="shared" si="5"/>
        <v>25835468.725557074</v>
      </c>
      <c r="G42" s="19">
        <f t="shared" si="5"/>
        <v>25896102.82562843</v>
      </c>
      <c r="H42" s="19">
        <f t="shared" si="5"/>
        <v>26775931.216652043</v>
      </c>
      <c r="I42" s="19">
        <f t="shared" si="5"/>
        <v>27003906.623917028</v>
      </c>
    </row>
    <row r="44" spans="1:9" ht="18">
      <c r="A44" s="15" t="s">
        <v>67</v>
      </c>
    </row>
    <row r="45" spans="1:9" ht="18">
      <c r="A45" s="6" t="str">
        <f>'Input│ Historic Opex'!A13</f>
        <v xml:space="preserve">Asset operations and management </v>
      </c>
      <c r="B45" s="6" t="s">
        <v>4</v>
      </c>
      <c r="C45" s="44">
        <f>'Input│ Historic Opex'!H13/'Input│ Historic Opex'!$H$17</f>
        <v>0.70398265731708398</v>
      </c>
      <c r="D45" s="44">
        <f>C45</f>
        <v>0.70398265731708398</v>
      </c>
      <c r="E45" s="44">
        <f t="shared" ref="E45:I45" si="6">D45</f>
        <v>0.70398265731708398</v>
      </c>
      <c r="F45" s="44">
        <f t="shared" si="6"/>
        <v>0.70398265731708398</v>
      </c>
      <c r="G45" s="44">
        <f t="shared" si="6"/>
        <v>0.70398265731708398</v>
      </c>
      <c r="H45" s="44">
        <f t="shared" si="6"/>
        <v>0.70398265731708398</v>
      </c>
      <c r="I45" s="44">
        <f t="shared" si="6"/>
        <v>0.70398265731708398</v>
      </c>
    </row>
    <row r="46" spans="1:9" ht="18">
      <c r="A46" s="6" t="str">
        <f>'Input│ Historic Opex'!A14</f>
        <v>Regulatory (Asset Licences)</v>
      </c>
      <c r="B46" s="6" t="s">
        <v>4</v>
      </c>
      <c r="C46" s="44">
        <f>'Input│ Historic Opex'!H14/'Input│ Historic Opex'!$H$17</f>
        <v>1.2014027877729889E-2</v>
      </c>
      <c r="D46" s="44">
        <f t="shared" ref="D46:I49" si="7">C46</f>
        <v>1.2014027877729889E-2</v>
      </c>
      <c r="E46" s="44">
        <f t="shared" si="7"/>
        <v>1.2014027877729889E-2</v>
      </c>
      <c r="F46" s="44">
        <f t="shared" si="7"/>
        <v>1.2014027877729889E-2</v>
      </c>
      <c r="G46" s="44">
        <f t="shared" si="7"/>
        <v>1.2014027877729889E-2</v>
      </c>
      <c r="H46" s="44">
        <f t="shared" si="7"/>
        <v>1.2014027877729889E-2</v>
      </c>
      <c r="I46" s="44">
        <f t="shared" si="7"/>
        <v>1.2014027877729889E-2</v>
      </c>
    </row>
    <row r="47" spans="1:9" ht="18">
      <c r="A47" s="6" t="str">
        <f>'Input│ Historic Opex'!A15</f>
        <v xml:space="preserve">Insurance </v>
      </c>
      <c r="B47" s="6" t="s">
        <v>4</v>
      </c>
      <c r="C47" s="44">
        <f>'Input│ Historic Opex'!H15/'Input│ Historic Opex'!$H$17</f>
        <v>2.6228405910290298E-2</v>
      </c>
      <c r="D47" s="44">
        <f t="shared" si="7"/>
        <v>2.6228405910290298E-2</v>
      </c>
      <c r="E47" s="44">
        <f t="shared" si="7"/>
        <v>2.6228405910290298E-2</v>
      </c>
      <c r="F47" s="44">
        <f t="shared" si="7"/>
        <v>2.6228405910290298E-2</v>
      </c>
      <c r="G47" s="44">
        <f t="shared" si="7"/>
        <v>2.6228405910290298E-2</v>
      </c>
      <c r="H47" s="44">
        <f t="shared" si="7"/>
        <v>2.6228405910290298E-2</v>
      </c>
      <c r="I47" s="44">
        <f t="shared" si="7"/>
        <v>2.6228405910290298E-2</v>
      </c>
    </row>
    <row r="48" spans="1:9" ht="18">
      <c r="A48" s="6" t="str">
        <f>'Input│ Historic Opex'!A16</f>
        <v xml:space="preserve">Corporate overheads costs </v>
      </c>
      <c r="B48" s="6" t="s">
        <v>4</v>
      </c>
      <c r="C48" s="44">
        <f>'Input│ Historic Opex'!H16/'Input│ Historic Opex'!$H$17</f>
        <v>0.25777490889489585</v>
      </c>
      <c r="D48" s="44">
        <f t="shared" si="7"/>
        <v>0.25777490889489585</v>
      </c>
      <c r="E48" s="44">
        <f t="shared" si="7"/>
        <v>0.25777490889489585</v>
      </c>
      <c r="F48" s="44">
        <f t="shared" si="7"/>
        <v>0.25777490889489585</v>
      </c>
      <c r="G48" s="44">
        <f t="shared" si="7"/>
        <v>0.25777490889489585</v>
      </c>
      <c r="H48" s="44">
        <f t="shared" si="7"/>
        <v>0.25777490889489585</v>
      </c>
      <c r="I48" s="44">
        <f t="shared" si="7"/>
        <v>0.25777490889489585</v>
      </c>
    </row>
    <row r="49" spans="1:9" ht="18">
      <c r="A49" s="6" t="str">
        <f>'Input│ Historic Opex'!A17</f>
        <v>Total</v>
      </c>
      <c r="B49" s="6" t="s">
        <v>4</v>
      </c>
      <c r="C49" s="44">
        <f>SUM(C45:C48)</f>
        <v>1</v>
      </c>
      <c r="D49" s="44">
        <f t="shared" si="7"/>
        <v>1</v>
      </c>
      <c r="E49" s="44">
        <f t="shared" si="7"/>
        <v>1</v>
      </c>
      <c r="F49" s="44">
        <f t="shared" si="7"/>
        <v>1</v>
      </c>
      <c r="G49" s="44">
        <f t="shared" si="7"/>
        <v>1</v>
      </c>
      <c r="H49" s="44">
        <f t="shared" si="7"/>
        <v>1</v>
      </c>
      <c r="I49" s="44">
        <f t="shared" si="7"/>
        <v>1</v>
      </c>
    </row>
    <row r="51" spans="1:9" ht="18">
      <c r="A51" s="15" t="s">
        <v>68</v>
      </c>
    </row>
    <row r="52" spans="1:9" ht="18">
      <c r="A52" s="8" t="str">
        <f>A45</f>
        <v xml:space="preserve">Asset operations and management </v>
      </c>
      <c r="B52" s="8" t="s">
        <v>11</v>
      </c>
      <c r="C52" s="19">
        <f t="shared" ref="C52:I55" si="8">C45*C$42</f>
        <v>16095410.729200065</v>
      </c>
      <c r="D52" s="19">
        <f t="shared" si="8"/>
        <v>18447279.610873565</v>
      </c>
      <c r="E52" s="19">
        <f t="shared" si="8"/>
        <v>18058809.267506484</v>
      </c>
      <c r="F52" s="19">
        <f t="shared" si="8"/>
        <v>18187721.926450085</v>
      </c>
      <c r="G52" s="19">
        <f t="shared" si="8"/>
        <v>18230407.28134235</v>
      </c>
      <c r="H52" s="19">
        <f t="shared" si="8"/>
        <v>18849791.210038166</v>
      </c>
      <c r="I52" s="19">
        <f t="shared" si="8"/>
        <v>19010281.943047516</v>
      </c>
    </row>
    <row r="53" spans="1:9" ht="18">
      <c r="A53" s="8" t="str">
        <f>A46</f>
        <v>Regulatory (Asset Licences)</v>
      </c>
      <c r="B53" s="8" t="s">
        <v>11</v>
      </c>
      <c r="C53" s="19">
        <f t="shared" si="8"/>
        <v>274681.07515754522</v>
      </c>
      <c r="D53" s="19">
        <f t="shared" si="8"/>
        <v>314817.60127151763</v>
      </c>
      <c r="E53" s="19">
        <f t="shared" si="8"/>
        <v>308188.04373004357</v>
      </c>
      <c r="F53" s="19">
        <f t="shared" si="8"/>
        <v>310388.04150306137</v>
      </c>
      <c r="G53" s="19">
        <f t="shared" si="8"/>
        <v>311116.50127165968</v>
      </c>
      <c r="H53" s="19">
        <f t="shared" si="8"/>
        <v>321686.78408903565</v>
      </c>
      <c r="I53" s="19">
        <f t="shared" si="8"/>
        <v>324425.68698735395</v>
      </c>
    </row>
    <row r="54" spans="1:9" ht="18">
      <c r="A54" s="8" t="str">
        <f>A47</f>
        <v xml:space="preserve">Insurance </v>
      </c>
      <c r="B54" s="8" t="s">
        <v>11</v>
      </c>
      <c r="C54" s="19">
        <f t="shared" si="8"/>
        <v>599669.55366083002</v>
      </c>
      <c r="D54" s="19">
        <f t="shared" si="8"/>
        <v>687293.54700095137</v>
      </c>
      <c r="E54" s="19">
        <f t="shared" si="8"/>
        <v>672820.23896695476</v>
      </c>
      <c r="F54" s="19">
        <f t="shared" si="8"/>
        <v>677623.16061652126</v>
      </c>
      <c r="G54" s="19">
        <f t="shared" si="8"/>
        <v>679213.49640519801</v>
      </c>
      <c r="H54" s="19">
        <f t="shared" si="8"/>
        <v>702289.99257636291</v>
      </c>
      <c r="I54" s="19">
        <f t="shared" si="8"/>
        <v>708269.42409567267</v>
      </c>
    </row>
    <row r="55" spans="1:9" ht="18">
      <c r="A55" s="8" t="str">
        <f>A48</f>
        <v xml:space="preserve">Corporate overheads costs </v>
      </c>
      <c r="B55" s="8" t="s">
        <v>11</v>
      </c>
      <c r="C55" s="19">
        <f t="shared" si="8"/>
        <v>5893601.2005714923</v>
      </c>
      <c r="D55" s="19">
        <f t="shared" si="8"/>
        <v>6754776.9417702733</v>
      </c>
      <c r="E55" s="19">
        <f t="shared" si="8"/>
        <v>6612532.091944783</v>
      </c>
      <c r="F55" s="19">
        <f t="shared" si="8"/>
        <v>6659735.5969874058</v>
      </c>
      <c r="G55" s="19">
        <f t="shared" si="8"/>
        <v>6675365.5466092238</v>
      </c>
      <c r="H55" s="19">
        <f t="shared" si="8"/>
        <v>6902163.2299484778</v>
      </c>
      <c r="I55" s="19">
        <f t="shared" si="8"/>
        <v>6960929.5697864862</v>
      </c>
    </row>
    <row r="56" spans="1:9" ht="18">
      <c r="A56" s="8" t="str">
        <f>A49</f>
        <v>Total</v>
      </c>
      <c r="B56" s="8" t="s">
        <v>11</v>
      </c>
      <c r="C56" s="19">
        <f>SUM(C52:C55)</f>
        <v>22863362.558589932</v>
      </c>
      <c r="D56" s="19">
        <f t="shared" ref="D56:I56" si="9">SUM(D52:D55)</f>
        <v>26204167.700916309</v>
      </c>
      <c r="E56" s="19">
        <f t="shared" si="9"/>
        <v>25652349.642148264</v>
      </c>
      <c r="F56" s="19">
        <f t="shared" si="9"/>
        <v>25835468.725557074</v>
      </c>
      <c r="G56" s="19">
        <f t="shared" si="9"/>
        <v>25896102.825628433</v>
      </c>
      <c r="H56" s="19">
        <f t="shared" si="9"/>
        <v>26775931.216652043</v>
      </c>
      <c r="I56" s="19">
        <f t="shared" si="9"/>
        <v>27003906.623917028</v>
      </c>
    </row>
    <row r="59" spans="1:9">
      <c r="A59" s="2" t="s">
        <v>230</v>
      </c>
      <c r="C59" s="95">
        <f>C52+C53</f>
        <v>16370091.804357611</v>
      </c>
      <c r="D59" s="95">
        <f t="shared" ref="D59:I59" si="10">D52+D53</f>
        <v>18762097.212145083</v>
      </c>
      <c r="E59" s="95">
        <f t="shared" si="10"/>
        <v>18366997.311236527</v>
      </c>
      <c r="F59" s="95">
        <f t="shared" si="10"/>
        <v>18498109.967953146</v>
      </c>
      <c r="G59" s="95">
        <f t="shared" si="10"/>
        <v>18541523.782614011</v>
      </c>
      <c r="H59" s="95">
        <f t="shared" si="10"/>
        <v>19171477.994127203</v>
      </c>
      <c r="I59" s="95">
        <f t="shared" si="10"/>
        <v>19334707.630034871</v>
      </c>
    </row>
    <row r="60" spans="1:9">
      <c r="A60" s="2" t="s">
        <v>76</v>
      </c>
      <c r="C60" s="95">
        <f>C54+C55</f>
        <v>6493270.7542323228</v>
      </c>
      <c r="D60" s="95">
        <f t="shared" ref="D60:I60" si="11">D54+D55</f>
        <v>7442070.4887712244</v>
      </c>
      <c r="E60" s="95">
        <f t="shared" si="11"/>
        <v>7285352.3309117379</v>
      </c>
      <c r="F60" s="95">
        <f t="shared" si="11"/>
        <v>7337358.7576039266</v>
      </c>
      <c r="G60" s="95">
        <f t="shared" si="11"/>
        <v>7354579.0430144221</v>
      </c>
      <c r="H60" s="95">
        <f t="shared" si="11"/>
        <v>7604453.2225248404</v>
      </c>
      <c r="I60" s="95">
        <f t="shared" si="11"/>
        <v>7669198.9938821588</v>
      </c>
    </row>
  </sheetData>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EAFA8"/>
  </sheetPr>
  <dimension ref="A1:Z93"/>
  <sheetViews>
    <sheetView tabSelected="1" topLeftCell="G1" zoomScale="85" zoomScaleNormal="85" workbookViewId="0">
      <selection activeCell="J8" sqref="J8:Z12"/>
    </sheetView>
  </sheetViews>
  <sheetFormatPr defaultColWidth="9" defaultRowHeight="13.5"/>
  <cols>
    <col min="1" max="1" width="38.6328125" style="2" customWidth="1"/>
    <col min="2" max="2" width="11.36328125" style="2" customWidth="1"/>
    <col min="3" max="9" width="10.81640625" style="2" bestFit="1" customWidth="1"/>
    <col min="10" max="10" width="10.54296875" style="2" customWidth="1"/>
    <col min="11" max="12" width="9" style="2"/>
    <col min="13" max="13" width="9.90625" style="2" customWidth="1"/>
    <col min="14" max="16384" width="9" style="2"/>
  </cols>
  <sheetData>
    <row r="1" spans="1:26" s="3" customFormat="1"/>
    <row r="2" spans="1:26" s="3" customFormat="1"/>
    <row r="3" spans="1:26" s="3" customFormat="1"/>
    <row r="4" spans="1:26" s="3" customFormat="1"/>
    <row r="5" spans="1:26" s="3" customFormat="1"/>
    <row r="6" spans="1:26" s="3" customFormat="1"/>
    <row r="7" spans="1:26" s="3" customFormat="1"/>
    <row r="8" spans="1:26" s="3" customFormat="1"/>
    <row r="9" spans="1:26" s="3" customFormat="1"/>
    <row r="10" spans="1:26" s="4" customFormat="1" ht="22.5">
      <c r="A10" s="5" t="str">
        <f ca="1">RIGHT(CELL("filename",A1),LEN(CELL("filename",A1))-FIND("]",CELL("filename",A1)))</f>
        <v>Calc│EBSS</v>
      </c>
      <c r="B10" s="9" t="s">
        <v>0</v>
      </c>
      <c r="C10" s="9">
        <v>2011</v>
      </c>
      <c r="D10" s="9">
        <v>2012</v>
      </c>
      <c r="E10" s="9">
        <v>2013</v>
      </c>
      <c r="F10" s="9">
        <v>2014</v>
      </c>
      <c r="G10" s="9">
        <v>2015</v>
      </c>
      <c r="H10" s="9">
        <v>2016</v>
      </c>
      <c r="I10" s="9">
        <v>2017</v>
      </c>
      <c r="J10" s="3"/>
      <c r="K10" s="3"/>
      <c r="L10" s="3"/>
      <c r="M10" s="3"/>
      <c r="N10" s="3"/>
      <c r="O10" s="3"/>
      <c r="P10" s="3"/>
      <c r="Q10" s="3"/>
      <c r="R10" s="3"/>
      <c r="S10" s="3"/>
      <c r="T10" s="3"/>
      <c r="U10" s="3"/>
      <c r="V10" s="3"/>
      <c r="W10" s="3"/>
      <c r="X10" s="3"/>
      <c r="Y10" s="3"/>
      <c r="Z10" s="3"/>
    </row>
    <row r="11" spans="1:26">
      <c r="J11" s="3"/>
      <c r="K11" s="3"/>
      <c r="L11" s="3"/>
      <c r="M11" s="3"/>
      <c r="N11" s="3"/>
      <c r="O11" s="3"/>
      <c r="P11" s="3"/>
      <c r="Q11" s="3"/>
      <c r="R11" s="3"/>
      <c r="S11" s="3"/>
      <c r="T11" s="3"/>
      <c r="U11" s="3"/>
      <c r="V11" s="3"/>
      <c r="W11" s="3"/>
      <c r="X11" s="3"/>
      <c r="Y11" s="3"/>
      <c r="Z11" s="3"/>
    </row>
    <row r="12" spans="1:26" ht="18">
      <c r="A12" s="9" t="s">
        <v>227</v>
      </c>
      <c r="J12" s="3"/>
      <c r="K12" s="3"/>
      <c r="L12" s="3"/>
      <c r="M12" s="3"/>
      <c r="N12" s="3"/>
      <c r="O12" s="3"/>
      <c r="P12" s="3"/>
      <c r="Q12" s="3"/>
      <c r="R12" s="3"/>
      <c r="S12" s="3"/>
      <c r="T12" s="3"/>
      <c r="U12" s="3"/>
      <c r="V12" s="3"/>
      <c r="W12" s="3"/>
      <c r="X12" s="3"/>
      <c r="Y12" s="3"/>
      <c r="Z12" s="3"/>
    </row>
    <row r="13" spans="1:26" ht="18">
      <c r="A13" s="64" t="s">
        <v>223</v>
      </c>
      <c r="B13" s="73"/>
      <c r="C13" s="72"/>
      <c r="D13" s="72"/>
      <c r="E13" s="72"/>
      <c r="F13" s="72"/>
      <c r="G13" s="72"/>
      <c r="H13" s="72"/>
      <c r="I13" s="72"/>
    </row>
    <row r="14" spans="1:26" ht="18">
      <c r="A14" s="28" t="s">
        <v>34</v>
      </c>
      <c r="B14" s="14" t="s">
        <v>118</v>
      </c>
      <c r="C14" s="27"/>
      <c r="D14" s="27">
        <v>0</v>
      </c>
      <c r="E14" s="27">
        <v>0</v>
      </c>
      <c r="F14" s="27">
        <v>0</v>
      </c>
      <c r="G14" s="27">
        <v>0</v>
      </c>
      <c r="H14" s="27">
        <v>0</v>
      </c>
      <c r="I14" s="27">
        <v>0</v>
      </c>
    </row>
    <row r="15" spans="1:26" ht="18">
      <c r="A15" s="28" t="s">
        <v>33</v>
      </c>
      <c r="B15" s="18" t="str">
        <f t="shared" ref="B15:B23" si="0">B14</f>
        <v>nominal $</v>
      </c>
      <c r="C15" s="27"/>
      <c r="D15" s="27"/>
      <c r="E15" s="27">
        <f>'Input│ Historic Opex'!E36</f>
        <v>1063696</v>
      </c>
      <c r="F15" s="27">
        <f>'Input│ Historic Opex'!F36</f>
        <v>1078495</v>
      </c>
      <c r="G15" s="27">
        <f>'Input│ Historic Opex'!G36</f>
        <v>1154627</v>
      </c>
      <c r="H15" s="27">
        <f>'Input│ Historic Opex'!H36</f>
        <v>1205401</v>
      </c>
      <c r="I15" s="27">
        <f>'Input│ Historic Opex'!I36</f>
        <v>1241765</v>
      </c>
    </row>
    <row r="16" spans="1:26" ht="18">
      <c r="A16" s="28" t="s">
        <v>32</v>
      </c>
      <c r="B16" s="18" t="str">
        <f t="shared" si="0"/>
        <v>nominal $</v>
      </c>
      <c r="C16" s="27"/>
      <c r="D16" s="11">
        <f>'Input│ Historic Opex'!D13</f>
        <v>13213054.074000001</v>
      </c>
      <c r="E16" s="11">
        <f>'Input│ Historic Opex'!E13</f>
        <v>14095423.273999996</v>
      </c>
      <c r="F16" s="11">
        <f>'Input│ Historic Opex'!F13</f>
        <v>14250207.996999998</v>
      </c>
      <c r="G16" s="11">
        <f>'Input│ Historic Opex'!G13</f>
        <v>16404595.215999998</v>
      </c>
      <c r="H16" s="11">
        <f>'Input│ Historic Opex'!H13</f>
        <v>17402816.396999992</v>
      </c>
      <c r="I16" s="11">
        <f>Calc│Forecast!I52</f>
        <v>19010281.943047516</v>
      </c>
    </row>
    <row r="17" spans="1:9" ht="18">
      <c r="A17" s="6" t="s">
        <v>224</v>
      </c>
      <c r="B17" s="18" t="str">
        <f t="shared" si="0"/>
        <v>nominal $</v>
      </c>
      <c r="C17" s="27"/>
      <c r="D17" s="11">
        <f>'Input│ Historic Opex'!D14</f>
        <v>392747</v>
      </c>
      <c r="E17" s="11">
        <f>'Input│ Historic Opex'!E14</f>
        <v>330916</v>
      </c>
      <c r="F17" s="11">
        <f>'Input│ Historic Opex'!F14</f>
        <v>444045.5</v>
      </c>
      <c r="G17" s="11">
        <f>'Input│ Historic Opex'!G14</f>
        <v>307652</v>
      </c>
      <c r="H17" s="11">
        <f>'Input│ Historic Opex'!H14</f>
        <v>296993</v>
      </c>
      <c r="I17" s="11">
        <f>Calc│Forecast!I53</f>
        <v>324425.68698735395</v>
      </c>
    </row>
    <row r="18" spans="1:9" ht="18">
      <c r="A18" s="6" t="s">
        <v>225</v>
      </c>
      <c r="B18" s="18" t="str">
        <f t="shared" si="0"/>
        <v>nominal $</v>
      </c>
      <c r="C18" s="27"/>
      <c r="D18" s="11">
        <f>'Input│ Historic Opex'!D15</f>
        <v>991169.07799999998</v>
      </c>
      <c r="E18" s="11">
        <f>'Input│ Historic Opex'!E15</f>
        <v>1213642.0419999999</v>
      </c>
      <c r="F18" s="11">
        <f>'Input│ Historic Opex'!F15</f>
        <v>846264.01100000006</v>
      </c>
      <c r="G18" s="11">
        <f>'Input│ Historic Opex'!G15</f>
        <v>854859.47499999998</v>
      </c>
      <c r="H18" s="11">
        <f>'Input│ Historic Opex'!H15</f>
        <v>648379.79700000002</v>
      </c>
      <c r="I18" s="11">
        <f>Calc│Forecast!I54</f>
        <v>708269.42409567267</v>
      </c>
    </row>
    <row r="19" spans="1:9" ht="18">
      <c r="A19" s="64" t="s">
        <v>226</v>
      </c>
      <c r="B19" s="71"/>
      <c r="C19" s="72"/>
      <c r="D19" s="72"/>
      <c r="E19" s="72"/>
      <c r="F19" s="72"/>
      <c r="G19" s="72"/>
      <c r="H19" s="72"/>
      <c r="I19" s="72"/>
    </row>
    <row r="20" spans="1:9" ht="18">
      <c r="A20" s="28" t="s">
        <v>31</v>
      </c>
      <c r="B20" s="18" t="str">
        <f>B18</f>
        <v>nominal $</v>
      </c>
      <c r="C20" s="27"/>
      <c r="D20" s="27"/>
      <c r="E20" s="27"/>
      <c r="F20" s="27"/>
      <c r="G20" s="27"/>
      <c r="H20" s="27"/>
      <c r="I20" s="27"/>
    </row>
    <row r="21" spans="1:9" ht="18">
      <c r="A21" s="28" t="s">
        <v>30</v>
      </c>
      <c r="B21" s="18" t="str">
        <f t="shared" si="0"/>
        <v>nominal $</v>
      </c>
      <c r="C21" s="27"/>
      <c r="D21" s="27"/>
      <c r="E21" s="27"/>
      <c r="F21" s="27"/>
      <c r="G21" s="27"/>
      <c r="H21" s="27"/>
      <c r="I21" s="27"/>
    </row>
    <row r="22" spans="1:9" ht="18">
      <c r="A22" s="28" t="s">
        <v>29</v>
      </c>
      <c r="B22" s="18" t="str">
        <f t="shared" si="0"/>
        <v>nominal $</v>
      </c>
      <c r="C22" s="27"/>
      <c r="D22" s="11">
        <f>'Input│ Historic Opex'!D16</f>
        <v>12111128</v>
      </c>
      <c r="E22" s="11">
        <f>'Input│ Historic Opex'!E16</f>
        <v>8063488</v>
      </c>
      <c r="F22" s="11">
        <f>'Input│ Historic Opex'!F16</f>
        <v>8920857.25</v>
      </c>
      <c r="G22" s="11">
        <f>'Input│ Historic Opex'!G16</f>
        <v>7528264.0184680084</v>
      </c>
      <c r="H22" s="11">
        <f>'Input│ Historic Opex'!H16</f>
        <v>6372329.4382672682</v>
      </c>
      <c r="I22" s="11">
        <f>Calc│Forecast!I55</f>
        <v>6960929.5697864862</v>
      </c>
    </row>
    <row r="23" spans="1:9" ht="18">
      <c r="A23" s="6" t="s">
        <v>2</v>
      </c>
      <c r="B23" s="18" t="str">
        <f t="shared" si="0"/>
        <v>nominal $</v>
      </c>
      <c r="C23" s="11">
        <v>25427839</v>
      </c>
      <c r="D23" s="11">
        <f t="shared" ref="D23:I23" si="1">SUM(D13:D22)</f>
        <v>26708098.152000003</v>
      </c>
      <c r="E23" s="11">
        <f t="shared" si="1"/>
        <v>24767165.315999996</v>
      </c>
      <c r="F23" s="11">
        <f t="shared" si="1"/>
        <v>25539869.757999998</v>
      </c>
      <c r="G23" s="11">
        <f t="shared" si="1"/>
        <v>26249997.709468007</v>
      </c>
      <c r="H23" s="11">
        <f t="shared" si="1"/>
        <v>25925919.632267259</v>
      </c>
      <c r="I23" s="11">
        <f t="shared" si="1"/>
        <v>28245671.623917028</v>
      </c>
    </row>
    <row r="26" spans="1:9" ht="18">
      <c r="A26" s="9" t="s">
        <v>128</v>
      </c>
      <c r="B26" s="9"/>
      <c r="C26" s="9"/>
      <c r="D26" s="9"/>
      <c r="E26" s="9"/>
      <c r="F26" s="9"/>
      <c r="G26" s="9"/>
      <c r="H26" s="9"/>
      <c r="I26" s="9"/>
    </row>
    <row r="27" spans="1:9" ht="18">
      <c r="A27" s="15" t="str">
        <f t="shared" ref="A27:A37" si="2">A13</f>
        <v xml:space="preserve">Asset operations and management </v>
      </c>
      <c r="B27" s="9"/>
      <c r="C27"/>
      <c r="D27"/>
      <c r="E27"/>
      <c r="F27"/>
      <c r="G27"/>
      <c r="H27"/>
      <c r="I27"/>
    </row>
    <row r="28" spans="1:9" ht="18">
      <c r="A28" s="6" t="str">
        <f t="shared" si="2"/>
        <v>Augmentation Expansion Opex</v>
      </c>
      <c r="B28" s="7" t="s">
        <v>126</v>
      </c>
      <c r="C28"/>
      <c r="D28" s="11">
        <f>IF($B28="Yes",D14*'Input│ Historic Opex'!D$23,0)</f>
        <v>0</v>
      </c>
      <c r="E28" s="11">
        <f>IF($B28="Yes",E14*'Input│ Historic Opex'!E$23,0)</f>
        <v>0</v>
      </c>
      <c r="F28" s="11">
        <f>IF($B28="Yes",F14*'Input│ Historic Opex'!F$23,0)</f>
        <v>0</v>
      </c>
      <c r="G28" s="11">
        <f>IF($B28="Yes",G14*'Input│ Historic Opex'!G$23,0)</f>
        <v>0</v>
      </c>
      <c r="H28" s="11">
        <f>IF($B28="Yes",H14*'Input│ Historic Opex'!H$23,0)</f>
        <v>0</v>
      </c>
      <c r="I28" s="11">
        <f>IF($B28="Yes",I14*'Input│ Historic Opex'!I$23,0)</f>
        <v>0</v>
      </c>
    </row>
    <row r="29" spans="1:9" ht="18">
      <c r="A29" s="6" t="str">
        <f t="shared" si="2"/>
        <v>Allowances</v>
      </c>
      <c r="B29" s="7" t="s">
        <v>126</v>
      </c>
      <c r="C29"/>
      <c r="D29" s="11">
        <f>IF($B29="Yes",D15*'Input│ Historic Opex'!D$23,0)</f>
        <v>0</v>
      </c>
      <c r="E29" s="11">
        <f>IF($B29="Yes",E15*'Input│ Historic Opex'!E$23,0)</f>
        <v>0</v>
      </c>
      <c r="F29" s="11">
        <f>IF($B29="Yes",F15*'Input│ Historic Opex'!F$23,0)</f>
        <v>0</v>
      </c>
      <c r="G29" s="11">
        <f>IF($B29="Yes",G15*'Input│ Historic Opex'!G$23,0)</f>
        <v>0</v>
      </c>
      <c r="H29" s="11">
        <f>IF($B29="Yes",H15*'Input│ Historic Opex'!H$23,0)</f>
        <v>0</v>
      </c>
      <c r="I29" s="11">
        <f>IF($B29="Yes",I15*'Input│ Historic Opex'!I$23,0)</f>
        <v>0</v>
      </c>
    </row>
    <row r="30" spans="1:9" ht="18">
      <c r="A30" s="6" t="str">
        <f t="shared" si="2"/>
        <v>Other AO &amp; M</v>
      </c>
      <c r="B30" s="7" t="s">
        <v>28</v>
      </c>
      <c r="C30"/>
      <c r="D30" s="11">
        <f>IF($B30="Yes",D16*'Input│ Historic Opex'!D$23,0)</f>
        <v>13213054.074000001</v>
      </c>
      <c r="E30" s="11">
        <f>IF($B30="Yes",E16*'Input│ Historic Opex'!E$23,0)</f>
        <v>13928283.867588928</v>
      </c>
      <c r="F30" s="11">
        <f>IF($B30="Yes",F16*'Input│ Historic Opex'!F$23,0)</f>
        <v>13751204.295524022</v>
      </c>
      <c r="G30" s="11">
        <f>IF($B30="Yes",G16*'Input│ Historic Opex'!G$23,0)</f>
        <v>15369078.356445946</v>
      </c>
      <c r="H30" s="11">
        <f>IF($B30="Yes",H16*'Input│ Historic Opex'!H$23,0)</f>
        <v>16063338.165454507</v>
      </c>
      <c r="I30" s="11">
        <f>IF($B30="Yes",I16*'Input│ Historic Opex'!I$23,0)</f>
        <v>17373345.165143441</v>
      </c>
    </row>
    <row r="31" spans="1:9" ht="18">
      <c r="A31" s="6" t="str">
        <f t="shared" si="2"/>
        <v>Regulatory (Asset Licences)</v>
      </c>
      <c r="B31" s="7" t="s">
        <v>28</v>
      </c>
      <c r="C31"/>
      <c r="D31" s="11">
        <f>IF($B31="Yes",D17*'Input│ Historic Opex'!D$23,0)</f>
        <v>392747</v>
      </c>
      <c r="E31" s="11">
        <f>IF($B31="Yes",E17*'Input│ Historic Opex'!E$23,0)</f>
        <v>326992.09486166004</v>
      </c>
      <c r="F31" s="11">
        <f>IF($B31="Yes",F17*'Input│ Historic Opex'!F$23,0)</f>
        <v>428496.22884757904</v>
      </c>
      <c r="G31" s="11">
        <f>IF($B31="Yes",G17*'Input│ Historic Opex'!G$23,0)</f>
        <v>288231.90284546604</v>
      </c>
      <c r="H31" s="11">
        <f>IF($B31="Yes",H17*'Input│ Historic Opex'!H$23,0)</f>
        <v>274133.73116981419</v>
      </c>
      <c r="I31" s="11">
        <f>IF($B31="Yes",I17*'Input│ Historic Opex'!I$23,0)</f>
        <v>296490.04982440185</v>
      </c>
    </row>
    <row r="32" spans="1:9" ht="18">
      <c r="A32" s="6" t="str">
        <f t="shared" si="2"/>
        <v xml:space="preserve">Insurance </v>
      </c>
      <c r="B32" s="7" t="s">
        <v>28</v>
      </c>
      <c r="C32"/>
      <c r="D32" s="11">
        <f>IF($B32="Yes",D18*'Input│ Historic Opex'!D$23,0)</f>
        <v>991169.07799999998</v>
      </c>
      <c r="E32" s="11">
        <f>IF($B32="Yes",E18*'Input│ Historic Opex'!E$23,0)</f>
        <v>1199251.0296442686</v>
      </c>
      <c r="F32" s="11">
        <f>IF($B32="Yes",F18*'Input│ Historic Opex'!F$23,0)</f>
        <v>816630.13660295203</v>
      </c>
      <c r="G32" s="11">
        <f>IF($B32="Yes",G18*'Input│ Historic Opex'!G$23,0)</f>
        <v>800897.68031648127</v>
      </c>
      <c r="H32" s="11">
        <f>IF($B32="Yes",H18*'Input│ Historic Opex'!H$23,0)</f>
        <v>598474.62050195353</v>
      </c>
      <c r="I32" s="11">
        <f>IF($B32="Yes",I18*'Input│ Historic Opex'!I$23,0)</f>
        <v>647281.78212168498</v>
      </c>
    </row>
    <row r="33" spans="1:26" ht="18">
      <c r="A33" s="15" t="str">
        <f t="shared" si="2"/>
        <v xml:space="preserve">Corporate overheads costs </v>
      </c>
      <c r="B33"/>
      <c r="C33"/>
      <c r="D33"/>
      <c r="E33"/>
      <c r="F33"/>
      <c r="G33"/>
      <c r="H33"/>
      <c r="I33"/>
    </row>
    <row r="34" spans="1:26" ht="18">
      <c r="A34" s="6" t="str">
        <f t="shared" si="2"/>
        <v>Debt Raising Costs</v>
      </c>
      <c r="B34" s="7" t="s">
        <v>126</v>
      </c>
      <c r="C34"/>
      <c r="D34" s="11">
        <f>IF($B34="Yes",D20*'Input│ Historic Opex'!D$23,0)</f>
        <v>0</v>
      </c>
      <c r="E34" s="11">
        <f>IF($B34="Yes",E20*'Input│ Historic Opex'!E$23,0)</f>
        <v>0</v>
      </c>
      <c r="F34" s="11">
        <f>IF($B34="Yes",F20*'Input│ Historic Opex'!F$23,0)</f>
        <v>0</v>
      </c>
      <c r="G34" s="11">
        <f>IF($B34="Yes",G20*'Input│ Historic Opex'!G$23,0)</f>
        <v>0</v>
      </c>
      <c r="H34" s="11">
        <f>IF($B34="Yes",H20*'Input│ Historic Opex'!H$23,0)</f>
        <v>0</v>
      </c>
      <c r="I34" s="11">
        <f>IF($B34="Yes",I20*'Input│ Historic Opex'!I$23,0)</f>
        <v>0</v>
      </c>
    </row>
    <row r="35" spans="1:26" ht="18">
      <c r="A35" s="6" t="str">
        <f t="shared" si="2"/>
        <v>Equity Raising Cost</v>
      </c>
      <c r="B35" s="7" t="s">
        <v>126</v>
      </c>
      <c r="C35"/>
      <c r="D35" s="11">
        <f>IF($B35="Yes",D21*'Input│ Historic Opex'!D$23,0)</f>
        <v>0</v>
      </c>
      <c r="E35" s="11">
        <f>IF($B35="Yes",E21*'Input│ Historic Opex'!E$23,0)</f>
        <v>0</v>
      </c>
      <c r="F35" s="11">
        <f>IF($B35="Yes",F21*'Input│ Historic Opex'!F$23,0)</f>
        <v>0</v>
      </c>
      <c r="G35" s="11">
        <f>IF($B35="Yes",G21*'Input│ Historic Opex'!G$23,0)</f>
        <v>0</v>
      </c>
      <c r="H35" s="11">
        <f>IF($B35="Yes",H21*'Input│ Historic Opex'!H$23,0)</f>
        <v>0</v>
      </c>
      <c r="I35" s="11">
        <f>IF($B35="Yes",I21*'Input│ Historic Opex'!I$23,0)</f>
        <v>0</v>
      </c>
    </row>
    <row r="36" spans="1:26" ht="18">
      <c r="A36" s="6" t="str">
        <f t="shared" si="2"/>
        <v>Other Corporate Overheads</v>
      </c>
      <c r="B36" s="7" t="s">
        <v>28</v>
      </c>
      <c r="C36"/>
      <c r="D36" s="11">
        <f>IF($B36="Yes",D22*'Input│ Historic Opex'!D$23,0)</f>
        <v>12111128</v>
      </c>
      <c r="E36" s="11">
        <f>IF($B36="Yes",E22*'Input│ Historic Opex'!E$23,0)</f>
        <v>7967873.5177865606</v>
      </c>
      <c r="F36" s="11">
        <f>IF($B36="Yes",F22*'Input│ Historic Opex'!F$23,0)</f>
        <v>8608472.9824141543</v>
      </c>
      <c r="G36" s="11">
        <f>IF($B36="Yes",G22*'Input│ Historic Opex'!G$23,0)</f>
        <v>7053053.0052334741</v>
      </c>
      <c r="H36" s="11">
        <f>IF($B36="Yes",H22*'Input│ Historic Opex'!H$23,0)</f>
        <v>5881857.3001904162</v>
      </c>
      <c r="I36" s="11">
        <f>IF($B36="Yes",I22*'Input│ Historic Opex'!I$23,0)</f>
        <v>6361538.058638976</v>
      </c>
    </row>
    <row r="37" spans="1:26" ht="18">
      <c r="A37" s="6" t="str">
        <f t="shared" si="2"/>
        <v>Total</v>
      </c>
      <c r="B37" s="7" t="s">
        <v>28</v>
      </c>
      <c r="C37" s="11">
        <f>IF($B37="Yes",C23*'Input│ Historic Opex'!C$23,0)</f>
        <v>26317813.364999998</v>
      </c>
      <c r="D37" s="11">
        <f t="shared" ref="D37:I37" si="3">SUM(D27:D36)</f>
        <v>26708098.152000003</v>
      </c>
      <c r="E37" s="11">
        <f t="shared" si="3"/>
        <v>23422400.509881414</v>
      </c>
      <c r="F37" s="11">
        <f t="shared" si="3"/>
        <v>23604803.643388703</v>
      </c>
      <c r="G37" s="11">
        <f t="shared" si="3"/>
        <v>23511260.94484137</v>
      </c>
      <c r="H37" s="11">
        <f t="shared" si="3"/>
        <v>22817803.817316689</v>
      </c>
      <c r="I37" s="11">
        <f t="shared" si="3"/>
        <v>24678655.055728503</v>
      </c>
    </row>
    <row r="38" spans="1:26" ht="18">
      <c r="C38"/>
    </row>
    <row r="39" spans="1:26" ht="18.75">
      <c r="A39" s="1" t="s">
        <v>65</v>
      </c>
      <c r="B39" s="1"/>
      <c r="C39" s="1"/>
      <c r="D39" s="1"/>
      <c r="E39" s="1"/>
      <c r="F39" s="1"/>
      <c r="G39" s="1"/>
      <c r="H39" s="1"/>
      <c r="I39" s="1"/>
      <c r="J39" s="1"/>
      <c r="K39" s="1"/>
      <c r="L39"/>
      <c r="M39"/>
      <c r="N39"/>
      <c r="O39"/>
      <c r="P39"/>
      <c r="Q39"/>
      <c r="R39"/>
      <c r="S39"/>
      <c r="T39"/>
      <c r="U39"/>
      <c r="V39"/>
      <c r="W39" s="43"/>
      <c r="X39"/>
      <c r="Y39"/>
      <c r="Z39"/>
    </row>
    <row r="40" spans="1:26" ht="18.75">
      <c r="A40" s="96" t="s">
        <v>64</v>
      </c>
      <c r="B40" s="96"/>
      <c r="C40" s="96"/>
      <c r="D40" s="96"/>
      <c r="E40" s="96"/>
      <c r="F40" s="96"/>
      <c r="G40" s="96"/>
      <c r="H40" s="96"/>
      <c r="I40" s="96"/>
      <c r="J40" s="96"/>
      <c r="K40" s="96"/>
      <c r="L40"/>
      <c r="M40"/>
      <c r="N40"/>
      <c r="O40"/>
      <c r="P40"/>
      <c r="Q40"/>
      <c r="R40"/>
      <c r="S40"/>
      <c r="T40"/>
      <c r="U40"/>
      <c r="V40"/>
      <c r="W40" s="42"/>
      <c r="X40"/>
      <c r="Y40"/>
      <c r="Z40"/>
    </row>
    <row r="41" spans="1:26" ht="18">
      <c r="A41" s="9" t="s">
        <v>63</v>
      </c>
      <c r="B41"/>
      <c r="C41"/>
      <c r="D41"/>
      <c r="E41"/>
      <c r="F41"/>
      <c r="G41"/>
      <c r="H41"/>
      <c r="I41"/>
      <c r="J41"/>
      <c r="K41"/>
      <c r="L41"/>
      <c r="M41"/>
      <c r="N41"/>
      <c r="O41"/>
      <c r="P41"/>
      <c r="Q41"/>
      <c r="R41"/>
      <c r="S41"/>
      <c r="T41"/>
      <c r="U41"/>
      <c r="V41"/>
      <c r="W41"/>
      <c r="X41"/>
      <c r="Y41"/>
      <c r="Z41"/>
    </row>
    <row r="42" spans="1:26" ht="18">
      <c r="A42"/>
      <c r="B42" s="97" t="s">
        <v>62</v>
      </c>
      <c r="C42" s="97"/>
      <c r="D42" s="97"/>
      <c r="E42" s="97"/>
      <c r="F42" s="97"/>
      <c r="G42" s="97" t="s">
        <v>58</v>
      </c>
      <c r="H42" s="97"/>
      <c r="I42"/>
      <c r="J42"/>
      <c r="K42" s="97" t="s">
        <v>62</v>
      </c>
      <c r="L42" s="97"/>
      <c r="M42" s="97"/>
      <c r="N42" s="97"/>
      <c r="O42" s="97"/>
      <c r="P42" s="97" t="s">
        <v>58</v>
      </c>
      <c r="Q42" s="97"/>
      <c r="R42"/>
      <c r="S42"/>
      <c r="T42"/>
      <c r="U42"/>
      <c r="V42"/>
      <c r="W42"/>
      <c r="X42"/>
      <c r="Y42"/>
      <c r="Z42"/>
    </row>
    <row r="43" spans="1:26" ht="18">
      <c r="A43"/>
      <c r="B43" s="31">
        <v>2011</v>
      </c>
      <c r="C43" s="31">
        <v>2012</v>
      </c>
      <c r="D43" s="31">
        <v>2013</v>
      </c>
      <c r="E43" s="31">
        <v>2014</v>
      </c>
      <c r="F43" s="31">
        <v>2015</v>
      </c>
      <c r="G43" s="31">
        <v>2016</v>
      </c>
      <c r="H43" s="31">
        <v>2017</v>
      </c>
      <c r="I43"/>
      <c r="J43"/>
      <c r="K43" s="31">
        <v>2011</v>
      </c>
      <c r="L43" s="31">
        <v>2012</v>
      </c>
      <c r="M43" s="31">
        <v>2013</v>
      </c>
      <c r="N43" s="31">
        <v>2014</v>
      </c>
      <c r="O43" s="31">
        <v>2015</v>
      </c>
      <c r="P43" s="31">
        <v>2016</v>
      </c>
      <c r="Q43" s="31">
        <v>2017</v>
      </c>
      <c r="R43"/>
      <c r="S43"/>
      <c r="T43"/>
      <c r="U43"/>
      <c r="V43"/>
      <c r="W43"/>
      <c r="X43"/>
      <c r="Y43"/>
      <c r="Z43"/>
    </row>
    <row r="44" spans="1:26" ht="18">
      <c r="A44" s="39" t="s">
        <v>61</v>
      </c>
      <c r="B44" s="39">
        <v>179.4</v>
      </c>
      <c r="C44"/>
      <c r="D44"/>
      <c r="E44"/>
      <c r="F44"/>
      <c r="G44"/>
      <c r="H44"/>
      <c r="I44"/>
      <c r="J44" s="6" t="s">
        <v>60</v>
      </c>
      <c r="K44" s="6"/>
      <c r="L44" s="25">
        <f t="shared" ref="L44:Q44" si="4">C45/B45-1</f>
        <v>2.2044088176352838E-2</v>
      </c>
      <c r="M44" s="25">
        <f t="shared" si="4"/>
        <v>2.7450980392156765E-2</v>
      </c>
      <c r="N44" s="25">
        <f t="shared" si="4"/>
        <v>1.7175572519083859E-2</v>
      </c>
      <c r="O44" s="25">
        <f t="shared" si="4"/>
        <v>1.6885553470919357E-2</v>
      </c>
      <c r="P44" s="25">
        <f t="shared" si="4"/>
        <v>1.4999999999999902E-2</v>
      </c>
      <c r="Q44" s="25">
        <f t="shared" si="4"/>
        <v>2.0000000000000018E-2</v>
      </c>
      <c r="R44"/>
      <c r="S44"/>
      <c r="T44"/>
      <c r="U44"/>
      <c r="V44"/>
      <c r="W44"/>
      <c r="X44"/>
      <c r="Y44"/>
      <c r="Z44"/>
    </row>
    <row r="45" spans="1:26" ht="18">
      <c r="A45" s="39" t="s">
        <v>59</v>
      </c>
      <c r="B45" s="39">
        <v>99.8</v>
      </c>
      <c r="C45" s="39">
        <v>102</v>
      </c>
      <c r="D45" s="39">
        <v>104.8</v>
      </c>
      <c r="E45" s="39">
        <v>106.6</v>
      </c>
      <c r="F45" s="39">
        <v>108.4</v>
      </c>
      <c r="G45" s="39">
        <f>F45*1.015</f>
        <v>110.026</v>
      </c>
      <c r="H45" s="39">
        <f>G45*1.02</f>
        <v>112.22651999999999</v>
      </c>
      <c r="I45"/>
      <c r="J45" s="6" t="s">
        <v>216</v>
      </c>
      <c r="K45" s="6">
        <f t="shared" ref="K45:P45" si="5">L45/(1+L44)</f>
        <v>0.88927287418339263</v>
      </c>
      <c r="L45" s="25">
        <f t="shared" si="5"/>
        <v>0.90887608383473006</v>
      </c>
      <c r="M45" s="25">
        <f t="shared" si="5"/>
        <v>0.93382562339097752</v>
      </c>
      <c r="N45" s="25">
        <f t="shared" si="5"/>
        <v>0.94986461310570791</v>
      </c>
      <c r="O45" s="25">
        <f t="shared" si="5"/>
        <v>0.96590360282043852</v>
      </c>
      <c r="P45" s="25">
        <f t="shared" si="5"/>
        <v>0.98039215686274506</v>
      </c>
      <c r="Q45" s="25">
        <v>1</v>
      </c>
      <c r="R45"/>
      <c r="S45"/>
      <c r="T45"/>
      <c r="U45"/>
      <c r="V45"/>
      <c r="W45"/>
      <c r="X45"/>
      <c r="Y45"/>
      <c r="Z45"/>
    </row>
    <row r="46" spans="1:26" ht="18">
      <c r="A46"/>
      <c r="B46"/>
      <c r="C46"/>
      <c r="D46"/>
      <c r="E46"/>
      <c r="F46"/>
      <c r="G46"/>
      <c r="H46"/>
      <c r="I46"/>
      <c r="J46"/>
      <c r="K46"/>
      <c r="L46"/>
      <c r="M46"/>
      <c r="N46"/>
      <c r="O46"/>
      <c r="P46"/>
      <c r="Q46"/>
      <c r="R46"/>
      <c r="S46"/>
      <c r="T46"/>
      <c r="U46"/>
      <c r="V46"/>
      <c r="W46" s="41"/>
      <c r="X46"/>
      <c r="Y46"/>
      <c r="Z46"/>
    </row>
    <row r="47" spans="1:26" ht="18">
      <c r="A47"/>
      <c r="B47"/>
      <c r="C47"/>
      <c r="D47"/>
      <c r="E47"/>
      <c r="F47"/>
      <c r="G47"/>
      <c r="H47"/>
      <c r="I47"/>
      <c r="J47"/>
      <c r="K47"/>
      <c r="L47" s="15" t="s">
        <v>58</v>
      </c>
      <c r="M47"/>
      <c r="N47"/>
      <c r="O47"/>
      <c r="P47"/>
      <c r="Q47"/>
      <c r="R47"/>
      <c r="S47"/>
      <c r="T47"/>
      <c r="U47"/>
      <c r="V47"/>
      <c r="W47"/>
      <c r="X47"/>
      <c r="Y47"/>
      <c r="Z47"/>
    </row>
    <row r="48" spans="1:26" ht="18">
      <c r="A48" s="39" t="s">
        <v>57</v>
      </c>
      <c r="B48" s="39"/>
      <c r="C48" s="39"/>
      <c r="D48" s="39"/>
      <c r="E48" s="39"/>
      <c r="F48" s="39"/>
      <c r="G48" s="39"/>
      <c r="H48" s="39"/>
      <c r="I48" s="39"/>
      <c r="J48" s="39"/>
      <c r="K48" s="39"/>
      <c r="L48" s="39">
        <v>2.5000000000000001E-2</v>
      </c>
      <c r="M48"/>
      <c r="N48"/>
      <c r="O48"/>
      <c r="P48"/>
      <c r="Q48"/>
      <c r="R48"/>
      <c r="S48"/>
      <c r="T48"/>
      <c r="U48"/>
      <c r="V48"/>
      <c r="W48"/>
      <c r="X48"/>
      <c r="Y48"/>
      <c r="Z48"/>
    </row>
    <row r="49" spans="1:26" ht="18">
      <c r="A49"/>
      <c r="B49"/>
      <c r="C49"/>
      <c r="D49"/>
      <c r="E49"/>
      <c r="F49"/>
      <c r="G49"/>
      <c r="H49"/>
      <c r="I49"/>
      <c r="J49"/>
      <c r="K49"/>
      <c r="L49"/>
      <c r="M49"/>
      <c r="N49"/>
      <c r="O49"/>
      <c r="P49"/>
      <c r="Q49"/>
      <c r="R49"/>
      <c r="S49"/>
      <c r="T49"/>
      <c r="U49"/>
      <c r="V49"/>
      <c r="W49"/>
      <c r="X49"/>
      <c r="Y49"/>
      <c r="Z49"/>
    </row>
    <row r="50" spans="1:26" ht="18">
      <c r="A50" s="9" t="s">
        <v>218</v>
      </c>
      <c r="B50"/>
      <c r="C50"/>
      <c r="D50"/>
      <c r="E50"/>
      <c r="F50"/>
      <c r="G50"/>
      <c r="H50"/>
      <c r="I50"/>
      <c r="J50"/>
      <c r="K50"/>
      <c r="L50"/>
      <c r="M50"/>
      <c r="N50"/>
      <c r="O50"/>
      <c r="P50"/>
      <c r="Q50"/>
      <c r="R50"/>
      <c r="S50"/>
      <c r="T50"/>
      <c r="U50"/>
      <c r="V50"/>
      <c r="W50" s="40"/>
      <c r="X50"/>
      <c r="Y50"/>
      <c r="Z50"/>
    </row>
    <row r="51" spans="1:26" ht="18">
      <c r="A51"/>
      <c r="B51"/>
      <c r="C51"/>
      <c r="D51"/>
      <c r="E51"/>
      <c r="F51"/>
      <c r="G51"/>
      <c r="H51"/>
      <c r="I51"/>
      <c r="J51"/>
      <c r="K51"/>
      <c r="L51"/>
      <c r="M51"/>
      <c r="N51"/>
      <c r="O51"/>
      <c r="P51"/>
      <c r="Q51"/>
      <c r="R51"/>
      <c r="S51"/>
      <c r="T51"/>
      <c r="U51"/>
      <c r="V51"/>
      <c r="W51"/>
      <c r="X51"/>
      <c r="Y51"/>
      <c r="Z51"/>
    </row>
    <row r="52" spans="1:26" ht="18">
      <c r="A52" s="9" t="s">
        <v>56</v>
      </c>
      <c r="B52"/>
      <c r="C52"/>
      <c r="D52"/>
      <c r="E52"/>
      <c r="F52"/>
      <c r="G52"/>
      <c r="H52"/>
      <c r="I52"/>
      <c r="J52"/>
      <c r="K52"/>
      <c r="L52"/>
      <c r="M52"/>
      <c r="N52"/>
      <c r="O52"/>
      <c r="P52"/>
      <c r="Q52"/>
      <c r="R52"/>
      <c r="S52"/>
      <c r="T52"/>
      <c r="U52"/>
      <c r="V52"/>
      <c r="W52"/>
      <c r="X52"/>
      <c r="Y52"/>
      <c r="Z52"/>
    </row>
    <row r="53" spans="1:26" ht="18">
      <c r="A53"/>
      <c r="B53" s="98" t="s">
        <v>220</v>
      </c>
      <c r="C53" s="98"/>
      <c r="D53" s="98"/>
      <c r="E53" s="98"/>
      <c r="F53" s="98"/>
      <c r="G53" s="98"/>
      <c r="H53" s="98"/>
      <c r="I53"/>
      <c r="J53" s="98" t="s">
        <v>50</v>
      </c>
      <c r="K53" s="98"/>
      <c r="L53" s="98"/>
      <c r="M53" s="98"/>
      <c r="N53" s="98"/>
      <c r="O53" s="98"/>
      <c r="P53" s="98"/>
      <c r="Q53"/>
      <c r="R53"/>
      <c r="S53"/>
      <c r="T53"/>
      <c r="U53"/>
      <c r="V53"/>
      <c r="W53"/>
      <c r="X53"/>
      <c r="Y53"/>
      <c r="Z53"/>
    </row>
    <row r="54" spans="1:26" ht="18">
      <c r="A54"/>
      <c r="B54" s="31">
        <v>2011</v>
      </c>
      <c r="C54" s="31">
        <v>2012</v>
      </c>
      <c r="D54" s="31">
        <v>2013</v>
      </c>
      <c r="E54" s="31">
        <v>2014</v>
      </c>
      <c r="F54" s="31">
        <v>2015</v>
      </c>
      <c r="G54" s="31">
        <v>2016</v>
      </c>
      <c r="H54" s="31">
        <v>2017</v>
      </c>
      <c r="I54"/>
      <c r="J54" s="31">
        <v>2011</v>
      </c>
      <c r="K54" s="31">
        <v>2012</v>
      </c>
      <c r="L54" s="31">
        <v>2013</v>
      </c>
      <c r="M54" s="31">
        <v>2014</v>
      </c>
      <c r="N54" s="31">
        <v>2015</v>
      </c>
      <c r="O54" s="31">
        <v>2016</v>
      </c>
      <c r="P54" s="31">
        <v>2017</v>
      </c>
      <c r="Q54" s="31" t="s">
        <v>219</v>
      </c>
      <c r="R54" s="31">
        <v>2019</v>
      </c>
      <c r="S54" s="31">
        <v>2020</v>
      </c>
      <c r="T54" s="31">
        <v>2021</v>
      </c>
      <c r="U54" s="31">
        <v>2022</v>
      </c>
      <c r="V54"/>
      <c r="W54"/>
      <c r="X54"/>
      <c r="Y54"/>
      <c r="Z54"/>
    </row>
    <row r="55" spans="1:26" ht="18">
      <c r="A55" s="39" t="s">
        <v>55</v>
      </c>
      <c r="B55" s="38">
        <v>27.500800000000002</v>
      </c>
      <c r="C55" s="38">
        <v>27.935199999999998</v>
      </c>
      <c r="D55" s="38">
        <v>28.189977282137562</v>
      </c>
      <c r="E55" s="38">
        <v>28.683893522134614</v>
      </c>
      <c r="F55" s="38">
        <v>29.533568950804479</v>
      </c>
      <c r="G55" s="38">
        <v>30.48877450154615</v>
      </c>
      <c r="H55" s="38">
        <v>30.460313470201807</v>
      </c>
      <c r="I55" s="32"/>
      <c r="J55" s="29">
        <f t="shared" ref="J55:P57" si="6">+B55/(1+$L$48)</f>
        <v>26.830048780487807</v>
      </c>
      <c r="K55" s="29">
        <f t="shared" si="6"/>
        <v>27.253853658536585</v>
      </c>
      <c r="L55" s="29">
        <f t="shared" si="6"/>
        <v>27.502416860622013</v>
      </c>
      <c r="M55" s="29">
        <f t="shared" si="6"/>
        <v>27.984286363058164</v>
      </c>
      <c r="N55" s="29">
        <f t="shared" si="6"/>
        <v>28.81323800078486</v>
      </c>
      <c r="O55" s="29">
        <f t="shared" si="6"/>
        <v>29.745145855166978</v>
      </c>
      <c r="P55" s="29">
        <f t="shared" si="6"/>
        <v>29.717378995318839</v>
      </c>
      <c r="Q55" s="32"/>
      <c r="R55" s="32"/>
      <c r="S55" s="32"/>
      <c r="T55" s="32"/>
      <c r="U55" s="32"/>
      <c r="V55" s="32"/>
      <c r="W55"/>
      <c r="X55"/>
      <c r="Y55"/>
      <c r="Z55"/>
    </row>
    <row r="56" spans="1:26" ht="18">
      <c r="A56" s="7" t="s">
        <v>54</v>
      </c>
      <c r="B56" s="37">
        <v>0</v>
      </c>
      <c r="C56" s="37">
        <v>0</v>
      </c>
      <c r="D56" s="37">
        <v>0</v>
      </c>
      <c r="E56" s="37">
        <v>0</v>
      </c>
      <c r="F56" s="37">
        <v>0</v>
      </c>
      <c r="G56" s="37">
        <v>0</v>
      </c>
      <c r="H56" s="37">
        <v>0</v>
      </c>
      <c r="I56" s="32"/>
      <c r="J56" s="29">
        <f t="shared" si="6"/>
        <v>0</v>
      </c>
      <c r="K56" s="29">
        <f t="shared" si="6"/>
        <v>0</v>
      </c>
      <c r="L56" s="29">
        <f t="shared" si="6"/>
        <v>0</v>
      </c>
      <c r="M56" s="29">
        <f t="shared" si="6"/>
        <v>0</v>
      </c>
      <c r="N56" s="29">
        <f t="shared" si="6"/>
        <v>0</v>
      </c>
      <c r="O56" s="29">
        <f t="shared" si="6"/>
        <v>0</v>
      </c>
      <c r="P56" s="29">
        <f t="shared" si="6"/>
        <v>0</v>
      </c>
      <c r="Q56" s="32"/>
      <c r="R56" s="32"/>
      <c r="S56" s="32"/>
      <c r="T56" s="32"/>
      <c r="U56" s="32"/>
      <c r="V56" s="32"/>
      <c r="W56"/>
      <c r="X56"/>
      <c r="Y56"/>
      <c r="Z56"/>
    </row>
    <row r="57" spans="1:26" ht="18">
      <c r="A57" s="7" t="s">
        <v>53</v>
      </c>
      <c r="B57" s="37">
        <f>SUM('Input│ Historic Opex'!B36:B37)/1000000</f>
        <v>0</v>
      </c>
      <c r="C57" s="37">
        <f>SUM('Input│ Historic Opex'!D36:D37)/1000000</f>
        <v>0</v>
      </c>
      <c r="D57" s="37">
        <f>SUM('Input│ Historic Opex'!E36:E37)/1000000</f>
        <v>1.9820169999999999</v>
      </c>
      <c r="E57" s="37">
        <f>SUM('Input│ Historic Opex'!F36:F37)/1000000</f>
        <v>2.1576029999999999</v>
      </c>
      <c r="F57" s="37">
        <f>SUM('Input│ Historic Opex'!G36:G37)/1000000</f>
        <v>2.1287929999999999</v>
      </c>
      <c r="G57" s="37">
        <f>SUM('Input│ Historic Opex'!H36:H37)/1000000</f>
        <v>2.083526</v>
      </c>
      <c r="H57" s="37">
        <f>SUM('Input│ Historic Opex'!I36:I37)/1000000</f>
        <v>2.2041949999999999</v>
      </c>
      <c r="I57" s="32"/>
      <c r="J57" s="29">
        <f t="shared" si="6"/>
        <v>0</v>
      </c>
      <c r="K57" s="29">
        <f t="shared" si="6"/>
        <v>0</v>
      </c>
      <c r="L57" s="29">
        <f t="shared" si="6"/>
        <v>1.9336751219512196</v>
      </c>
      <c r="M57" s="29">
        <f t="shared" si="6"/>
        <v>2.1049785365853659</v>
      </c>
      <c r="N57" s="29">
        <f t="shared" si="6"/>
        <v>2.0768712195121952</v>
      </c>
      <c r="O57" s="29">
        <f t="shared" si="6"/>
        <v>2.0327082926829272</v>
      </c>
      <c r="P57" s="29">
        <f t="shared" si="6"/>
        <v>2.1504341463414636</v>
      </c>
      <c r="Q57" s="32"/>
      <c r="R57" s="32"/>
      <c r="S57" s="32"/>
      <c r="T57" s="32"/>
      <c r="U57" s="32"/>
      <c r="V57" s="32"/>
      <c r="W57"/>
      <c r="X57"/>
      <c r="Y57"/>
      <c r="Z57"/>
    </row>
    <row r="58" spans="1:26" ht="18">
      <c r="A58" s="6" t="s">
        <v>52</v>
      </c>
      <c r="B58" s="29">
        <f t="shared" ref="B58:H58" si="7">B55+SUM(B56:B57)</f>
        <v>27.500800000000002</v>
      </c>
      <c r="C58" s="29">
        <f t="shared" si="7"/>
        <v>27.935199999999998</v>
      </c>
      <c r="D58" s="29">
        <f t="shared" si="7"/>
        <v>30.171994282137561</v>
      </c>
      <c r="E58" s="29">
        <f t="shared" si="7"/>
        <v>30.841496522134612</v>
      </c>
      <c r="F58" s="29">
        <f t="shared" si="7"/>
        <v>31.662361950804481</v>
      </c>
      <c r="G58" s="29">
        <f t="shared" si="7"/>
        <v>32.572300501546152</v>
      </c>
      <c r="H58" s="29">
        <f t="shared" si="7"/>
        <v>32.66450847020181</v>
      </c>
      <c r="I58" s="32"/>
      <c r="J58" s="29">
        <f t="shared" ref="J58:P58" si="8">+SUM(J55:J57)</f>
        <v>26.830048780487807</v>
      </c>
      <c r="K58" s="29">
        <f t="shared" si="8"/>
        <v>27.253853658536585</v>
      </c>
      <c r="L58" s="29">
        <f t="shared" si="8"/>
        <v>29.436091982573231</v>
      </c>
      <c r="M58" s="29">
        <f t="shared" si="8"/>
        <v>30.089264899643531</v>
      </c>
      <c r="N58" s="29">
        <f t="shared" si="8"/>
        <v>30.890109220297056</v>
      </c>
      <c r="O58" s="29">
        <f t="shared" si="8"/>
        <v>31.777854147849904</v>
      </c>
      <c r="P58" s="29">
        <f t="shared" si="8"/>
        <v>31.867813141660303</v>
      </c>
      <c r="Q58" s="32"/>
      <c r="R58" s="32"/>
      <c r="S58" s="32"/>
      <c r="T58" s="32"/>
      <c r="U58" s="32"/>
      <c r="V58" s="32"/>
      <c r="W58"/>
      <c r="X58"/>
      <c r="Y58"/>
      <c r="Z58"/>
    </row>
    <row r="59" spans="1:26" ht="18">
      <c r="A59"/>
      <c r="B59"/>
      <c r="C59"/>
      <c r="D59"/>
      <c r="E59"/>
      <c r="F59"/>
      <c r="G59"/>
      <c r="H59"/>
      <c r="I59"/>
      <c r="J59" s="32"/>
      <c r="K59" s="32"/>
      <c r="L59" s="32"/>
      <c r="M59" s="32"/>
      <c r="N59" s="32"/>
      <c r="O59" s="32"/>
      <c r="P59" s="32"/>
      <c r="Q59" s="32"/>
      <c r="R59" s="32"/>
      <c r="S59" s="32"/>
      <c r="T59" s="32"/>
      <c r="U59" s="32"/>
      <c r="V59" s="32"/>
      <c r="W59"/>
      <c r="X59"/>
      <c r="Y59"/>
      <c r="Z59"/>
    </row>
    <row r="60" spans="1:26" ht="18">
      <c r="A60" s="9" t="s">
        <v>51</v>
      </c>
      <c r="B60"/>
      <c r="C60"/>
      <c r="D60"/>
      <c r="E60"/>
      <c r="F60"/>
      <c r="G60"/>
      <c r="H60"/>
      <c r="I60"/>
      <c r="J60" s="32"/>
      <c r="K60" s="32"/>
      <c r="L60" s="32"/>
      <c r="M60" s="32"/>
      <c r="N60" s="32"/>
      <c r="O60" s="32"/>
      <c r="P60" s="32"/>
      <c r="Q60" s="32"/>
      <c r="R60" s="32"/>
      <c r="S60" s="32"/>
      <c r="T60" s="32"/>
      <c r="U60" s="32"/>
      <c r="V60" s="32"/>
      <c r="W60"/>
      <c r="X60"/>
      <c r="Y60"/>
      <c r="Z60"/>
    </row>
    <row r="61" spans="1:26" ht="18">
      <c r="A61"/>
      <c r="B61" s="98" t="s">
        <v>220</v>
      </c>
      <c r="C61" s="98"/>
      <c r="D61" s="98"/>
      <c r="E61" s="98"/>
      <c r="F61" s="98"/>
      <c r="G61" s="98"/>
      <c r="H61" s="98"/>
      <c r="I61"/>
      <c r="J61" s="101" t="s">
        <v>50</v>
      </c>
      <c r="K61" s="101"/>
      <c r="L61" s="101"/>
      <c r="M61" s="101"/>
      <c r="N61" s="101"/>
      <c r="O61" s="101"/>
      <c r="P61" s="101"/>
      <c r="Q61" s="32"/>
      <c r="R61" s="32"/>
      <c r="S61" s="32"/>
      <c r="T61" s="32"/>
      <c r="U61" s="32"/>
      <c r="V61" s="32"/>
      <c r="W61"/>
      <c r="X61"/>
      <c r="Y61"/>
      <c r="Z61"/>
    </row>
    <row r="62" spans="1:26" ht="18">
      <c r="A62"/>
      <c r="B62" s="31">
        <v>2011</v>
      </c>
      <c r="C62" s="31">
        <v>2012</v>
      </c>
      <c r="D62" s="31">
        <v>2013</v>
      </c>
      <c r="E62" s="31">
        <v>2014</v>
      </c>
      <c r="F62" s="31">
        <v>2015</v>
      </c>
      <c r="G62" s="31">
        <v>2016</v>
      </c>
      <c r="H62" s="31">
        <v>2017</v>
      </c>
      <c r="I62"/>
      <c r="J62" s="31">
        <v>2011</v>
      </c>
      <c r="K62" s="31">
        <v>2012</v>
      </c>
      <c r="L62" s="31">
        <v>2013</v>
      </c>
      <c r="M62" s="31">
        <v>2014</v>
      </c>
      <c r="N62" s="31">
        <v>2015</v>
      </c>
      <c r="O62" s="31">
        <v>2016</v>
      </c>
      <c r="P62" s="31">
        <v>2017</v>
      </c>
      <c r="Q62" s="32"/>
      <c r="R62" s="32"/>
      <c r="S62" s="32"/>
      <c r="T62" s="32"/>
      <c r="U62" s="32"/>
      <c r="V62" s="32"/>
      <c r="W62"/>
      <c r="X62"/>
      <c r="Y62"/>
      <c r="Z62"/>
    </row>
    <row r="63" spans="1:26" ht="18">
      <c r="A63" s="7" t="s">
        <v>49</v>
      </c>
      <c r="B63" s="36">
        <f>C37/1000000</f>
        <v>26.317813364999999</v>
      </c>
      <c r="C63" s="36">
        <f t="shared" ref="C63:G63" si="9">D37/1000000</f>
        <v>26.708098152000002</v>
      </c>
      <c r="D63" s="36">
        <f t="shared" si="9"/>
        <v>23.422400509881413</v>
      </c>
      <c r="E63" s="36">
        <f t="shared" si="9"/>
        <v>23.604803643388703</v>
      </c>
      <c r="F63" s="36">
        <f t="shared" si="9"/>
        <v>23.511260944841371</v>
      </c>
      <c r="G63" s="36">
        <f t="shared" si="9"/>
        <v>22.817803817316687</v>
      </c>
      <c r="H63"/>
      <c r="I63"/>
      <c r="J63" s="29">
        <f>(B63/K$45*(1+K$44)^0.5)*$K$45</f>
        <v>26.317813364999999</v>
      </c>
      <c r="K63" s="29">
        <f>(C63/K$45*(1+K$44)^0.5)*$K$45</f>
        <v>26.708098152000002</v>
      </c>
      <c r="L63" s="29">
        <f>(D63/M$45*(1+M$44)^0.5)*K45</f>
        <v>22.608992874585038</v>
      </c>
      <c r="M63" s="29">
        <f>(E63/N$45*(1+N$44)^0.5)*$K$45</f>
        <v>22.288030311728761</v>
      </c>
      <c r="N63" s="29">
        <f>(F63/O$45*(1+O$44)^0.5)*$K$45</f>
        <v>21.827963528555898</v>
      </c>
      <c r="O63" s="29">
        <f>(G63/P$45*(1+P$44)^0.5)*$K$45</f>
        <v>20.85172937575004</v>
      </c>
      <c r="P63" s="32"/>
      <c r="Q63" s="32"/>
      <c r="R63" s="32"/>
      <c r="S63" s="32"/>
      <c r="T63" s="32"/>
      <c r="U63" s="32"/>
      <c r="V63" s="32"/>
      <c r="W63"/>
      <c r="X63"/>
      <c r="Y63"/>
      <c r="Z63"/>
    </row>
    <row r="64" spans="1:26" ht="18">
      <c r="A64"/>
      <c r="B64"/>
      <c r="C64"/>
      <c r="D64"/>
      <c r="E64"/>
      <c r="F64"/>
      <c r="G64"/>
      <c r="H64"/>
      <c r="I64"/>
      <c r="J64" s="32"/>
      <c r="K64" s="32"/>
      <c r="L64" s="32"/>
      <c r="M64" s="32"/>
      <c r="N64" s="32"/>
      <c r="O64" s="32"/>
      <c r="P64" s="32"/>
      <c r="Q64" s="32"/>
      <c r="R64" s="32"/>
      <c r="S64" s="32"/>
      <c r="T64" s="32"/>
      <c r="U64" s="32"/>
      <c r="V64" s="32"/>
      <c r="W64"/>
      <c r="X64"/>
      <c r="Y64"/>
      <c r="Z64"/>
    </row>
    <row r="65" spans="1:26" ht="18">
      <c r="A65" s="7" t="s">
        <v>48</v>
      </c>
      <c r="B65" s="7"/>
      <c r="C65" s="7"/>
      <c r="D65" s="7"/>
      <c r="E65" s="7"/>
      <c r="F65" s="7"/>
      <c r="G65" s="7"/>
      <c r="H65"/>
      <c r="I65"/>
      <c r="J65" s="29">
        <f>(B65/K$45*(1+K$44)^0.5)*$K$45</f>
        <v>0</v>
      </c>
      <c r="K65" s="29">
        <f>(C65/K$45*(1+K$44)^0.5)*$K$45</f>
        <v>0</v>
      </c>
      <c r="L65" s="29">
        <f>(D65/M$45*(1+M$44)^0.5)*K45</f>
        <v>0</v>
      </c>
      <c r="M65" s="29">
        <f>E65/N$45*(1+N$44)^0.5</f>
        <v>0</v>
      </c>
      <c r="N65" s="29">
        <f>F65/O$45*(1+O$44)^0.5</f>
        <v>0</v>
      </c>
      <c r="O65" s="29">
        <f>G65/P$45*(1+P$44)^0.5</f>
        <v>0</v>
      </c>
      <c r="P65" s="32"/>
      <c r="Q65" s="32"/>
      <c r="R65" s="32"/>
      <c r="S65" s="32"/>
      <c r="T65" s="32"/>
      <c r="U65" s="32"/>
      <c r="V65" s="32"/>
      <c r="W65"/>
      <c r="X65"/>
      <c r="Y65"/>
      <c r="Z65"/>
    </row>
    <row r="66" spans="1:26" ht="18">
      <c r="A66" s="6" t="s">
        <v>47</v>
      </c>
      <c r="B66" s="29">
        <f t="shared" ref="B66:G66" si="10">+B63+SUM(B65:B65)</f>
        <v>26.317813364999999</v>
      </c>
      <c r="C66" s="29">
        <f t="shared" si="10"/>
        <v>26.708098152000002</v>
      </c>
      <c r="D66" s="29">
        <f t="shared" si="10"/>
        <v>23.422400509881413</v>
      </c>
      <c r="E66" s="29">
        <f t="shared" si="10"/>
        <v>23.604803643388703</v>
      </c>
      <c r="F66" s="29">
        <f t="shared" si="10"/>
        <v>23.511260944841371</v>
      </c>
      <c r="G66" s="29">
        <f t="shared" si="10"/>
        <v>22.817803817316687</v>
      </c>
      <c r="H66"/>
      <c r="I66"/>
      <c r="J66" s="29">
        <f t="shared" ref="J66:O66" si="11">J63+SUM(J65:J65)</f>
        <v>26.317813364999999</v>
      </c>
      <c r="K66" s="29">
        <f t="shared" si="11"/>
        <v>26.708098152000002</v>
      </c>
      <c r="L66" s="29">
        <f t="shared" si="11"/>
        <v>22.608992874585038</v>
      </c>
      <c r="M66" s="29">
        <f t="shared" si="11"/>
        <v>22.288030311728761</v>
      </c>
      <c r="N66" s="29">
        <f t="shared" si="11"/>
        <v>21.827963528555898</v>
      </c>
      <c r="O66" s="29">
        <f t="shared" si="11"/>
        <v>20.85172937575004</v>
      </c>
      <c r="P66" s="29">
        <f>+O66+P58-O58</f>
        <v>20.941688369560442</v>
      </c>
      <c r="Q66" s="32"/>
      <c r="R66" s="32"/>
      <c r="S66" s="32"/>
      <c r="T66" s="32"/>
      <c r="U66" s="32"/>
      <c r="V66" s="32"/>
      <c r="W66"/>
      <c r="X66"/>
      <c r="Y66"/>
      <c r="Z66"/>
    </row>
    <row r="67" spans="1:26" ht="18">
      <c r="A67"/>
      <c r="B67"/>
      <c r="C67"/>
      <c r="D67"/>
      <c r="E67"/>
      <c r="F67"/>
      <c r="G67"/>
      <c r="H67"/>
      <c r="I67"/>
      <c r="J67" s="32"/>
      <c r="K67" s="32"/>
      <c r="L67" s="32"/>
      <c r="M67" s="32"/>
      <c r="N67" s="32"/>
      <c r="O67" s="45"/>
      <c r="P67" s="45"/>
      <c r="Q67" s="32"/>
      <c r="R67" s="32"/>
      <c r="S67" s="32"/>
      <c r="T67" s="32"/>
      <c r="U67" s="32"/>
      <c r="V67" s="32"/>
      <c r="W67"/>
      <c r="X67"/>
      <c r="Y67"/>
      <c r="Z67"/>
    </row>
    <row r="68" spans="1:26" ht="18">
      <c r="A68"/>
      <c r="B68"/>
      <c r="C68"/>
      <c r="D68"/>
      <c r="E68"/>
      <c r="F68"/>
      <c r="G68"/>
      <c r="H68"/>
      <c r="I68"/>
      <c r="J68" s="34" t="s">
        <v>46</v>
      </c>
      <c r="K68" s="32"/>
      <c r="L68" s="32"/>
      <c r="M68" s="32"/>
      <c r="N68" s="32"/>
      <c r="O68" s="32"/>
      <c r="P68" s="32"/>
      <c r="Q68" s="32"/>
      <c r="R68" s="32"/>
      <c r="S68" s="32"/>
      <c r="T68" s="32"/>
      <c r="U68" s="32"/>
      <c r="V68" s="32"/>
      <c r="W68"/>
      <c r="X68"/>
      <c r="Y68"/>
      <c r="Z68"/>
    </row>
    <row r="69" spans="1:26" ht="18">
      <c r="A69"/>
      <c r="B69"/>
      <c r="C69"/>
      <c r="D69"/>
      <c r="E69"/>
      <c r="F69"/>
      <c r="G69"/>
      <c r="H69"/>
      <c r="I69"/>
      <c r="J69" s="32"/>
      <c r="K69" s="32"/>
      <c r="L69" s="29">
        <f>(L58-L66)-(K58-K66)+(J58-J66)</f>
        <v>6.7935790169394181</v>
      </c>
      <c r="M69" s="29">
        <f>(M58-M66)-(L58-L66)</f>
        <v>0.97413547992657712</v>
      </c>
      <c r="N69" s="29">
        <f>(N58-N66)-(M58-M66)</f>
        <v>1.2609111038263876</v>
      </c>
      <c r="O69" s="29">
        <f>(O58-O66)-(N58-N66)</f>
        <v>1.8639790803587069</v>
      </c>
      <c r="P69" s="29">
        <f>(P58-P66)-(O58-O66)</f>
        <v>0</v>
      </c>
      <c r="Q69" s="32"/>
      <c r="R69" s="32"/>
      <c r="S69" s="32"/>
      <c r="T69" s="32"/>
      <c r="U69" s="32"/>
      <c r="V69" s="32"/>
      <c r="W69"/>
      <c r="X69"/>
      <c r="Y69"/>
      <c r="Z69"/>
    </row>
    <row r="70" spans="1:26" ht="18">
      <c r="A70"/>
      <c r="B70"/>
      <c r="C70"/>
      <c r="D70"/>
      <c r="E70"/>
      <c r="F70"/>
      <c r="G70"/>
      <c r="H70"/>
      <c r="I70"/>
      <c r="J70" s="32"/>
      <c r="K70" s="32"/>
      <c r="L70" s="35"/>
      <c r="M70" s="32"/>
      <c r="N70" s="32"/>
      <c r="O70" s="32"/>
      <c r="P70" s="32"/>
      <c r="Q70" s="32"/>
      <c r="R70" s="32"/>
      <c r="S70" s="32"/>
      <c r="T70" s="32"/>
      <c r="U70" s="32"/>
      <c r="V70" s="32"/>
      <c r="W70"/>
      <c r="X70"/>
      <c r="Y70"/>
      <c r="Z70"/>
    </row>
    <row r="71" spans="1:26" ht="18">
      <c r="A71"/>
      <c r="B71"/>
      <c r="C71"/>
      <c r="D71"/>
      <c r="E71"/>
      <c r="F71"/>
      <c r="G71"/>
      <c r="H71"/>
      <c r="I71"/>
      <c r="J71" s="34" t="s">
        <v>45</v>
      </c>
      <c r="K71" s="34"/>
      <c r="L71" s="100" t="s">
        <v>44</v>
      </c>
      <c r="M71" s="100"/>
      <c r="N71" s="100"/>
      <c r="O71" s="100"/>
      <c r="P71" s="100"/>
      <c r="Q71" s="100"/>
      <c r="R71" s="100"/>
      <c r="S71" s="100"/>
      <c r="T71" s="100"/>
      <c r="U71" s="100"/>
      <c r="V71" s="34" t="s">
        <v>43</v>
      </c>
      <c r="W71" s="33"/>
      <c r="X71"/>
      <c r="Y71"/>
      <c r="Z71"/>
    </row>
    <row r="72" spans="1:26" ht="18">
      <c r="A72"/>
      <c r="B72"/>
      <c r="C72"/>
      <c r="D72"/>
      <c r="E72"/>
      <c r="F72"/>
      <c r="G72"/>
      <c r="H72"/>
      <c r="I72"/>
      <c r="J72" s="99">
        <v>2013</v>
      </c>
      <c r="K72" s="99"/>
      <c r="L72" s="29"/>
      <c r="M72" s="29">
        <f>$L$69/2</f>
        <v>3.3967895084697091</v>
      </c>
      <c r="N72" s="29">
        <f>$L$69/2</f>
        <v>3.3967895084697091</v>
      </c>
      <c r="O72" s="29">
        <f>$L$69/2</f>
        <v>3.3967895084697091</v>
      </c>
      <c r="P72" s="29">
        <f>$L$69/2</f>
        <v>3.3967895084697091</v>
      </c>
      <c r="Q72" s="29">
        <f>$L$69/2</f>
        <v>3.3967895084697091</v>
      </c>
      <c r="R72" s="32"/>
      <c r="S72" s="32"/>
      <c r="T72" s="32"/>
      <c r="U72" s="32"/>
      <c r="V72" s="32"/>
      <c r="W72"/>
      <c r="X72"/>
      <c r="Y72"/>
      <c r="Z72"/>
    </row>
    <row r="73" spans="1:26" ht="18">
      <c r="A73"/>
      <c r="B73"/>
      <c r="C73"/>
      <c r="D73"/>
      <c r="E73"/>
      <c r="F73"/>
      <c r="G73"/>
      <c r="H73"/>
      <c r="I73"/>
      <c r="J73" s="99">
        <v>2014</v>
      </c>
      <c r="K73" s="99"/>
      <c r="L73" s="29"/>
      <c r="M73" s="29"/>
      <c r="N73" s="29">
        <f>$M$69</f>
        <v>0.97413547992657712</v>
      </c>
      <c r="O73" s="29">
        <f>$M$69</f>
        <v>0.97413547992657712</v>
      </c>
      <c r="P73" s="29">
        <f>$M$69</f>
        <v>0.97413547992657712</v>
      </c>
      <c r="Q73" s="29">
        <f>$M$69</f>
        <v>0.97413547992657712</v>
      </c>
      <c r="R73" s="29">
        <f>$M$69</f>
        <v>0.97413547992657712</v>
      </c>
      <c r="S73" s="32"/>
      <c r="T73" s="32"/>
      <c r="U73" s="32"/>
      <c r="V73" s="32"/>
      <c r="W73"/>
      <c r="X73"/>
      <c r="Y73"/>
      <c r="Z73"/>
    </row>
    <row r="74" spans="1:26" ht="18">
      <c r="A74"/>
      <c r="B74"/>
      <c r="C74"/>
      <c r="D74"/>
      <c r="E74"/>
      <c r="F74"/>
      <c r="G74"/>
      <c r="H74"/>
      <c r="I74"/>
      <c r="J74" s="99">
        <v>2015</v>
      </c>
      <c r="K74" s="99"/>
      <c r="L74" s="29"/>
      <c r="M74" s="29"/>
      <c r="N74" s="29"/>
      <c r="O74" s="29">
        <f>$N$69</f>
        <v>1.2609111038263876</v>
      </c>
      <c r="P74" s="29">
        <f>$N$69</f>
        <v>1.2609111038263876</v>
      </c>
      <c r="Q74" s="29">
        <f>$N$69</f>
        <v>1.2609111038263876</v>
      </c>
      <c r="R74" s="29">
        <f>$N$69</f>
        <v>1.2609111038263876</v>
      </c>
      <c r="S74" s="29">
        <f>$N$69</f>
        <v>1.2609111038263876</v>
      </c>
      <c r="T74" s="32"/>
      <c r="U74" s="32"/>
      <c r="V74" s="32"/>
      <c r="W74"/>
      <c r="X74"/>
      <c r="Y74"/>
      <c r="Z74"/>
    </row>
    <row r="75" spans="1:26" ht="18">
      <c r="A75"/>
      <c r="B75"/>
      <c r="C75"/>
      <c r="D75"/>
      <c r="E75"/>
      <c r="F75"/>
      <c r="G75"/>
      <c r="H75"/>
      <c r="I75"/>
      <c r="J75" s="99">
        <v>2016</v>
      </c>
      <c r="K75" s="99"/>
      <c r="L75" s="29"/>
      <c r="M75" s="29"/>
      <c r="N75" s="29"/>
      <c r="O75" s="29"/>
      <c r="P75" s="29">
        <f>$O$69</f>
        <v>1.8639790803587069</v>
      </c>
      <c r="Q75" s="29">
        <f>$O$69</f>
        <v>1.8639790803587069</v>
      </c>
      <c r="R75" s="29">
        <f>$O$69</f>
        <v>1.8639790803587069</v>
      </c>
      <c r="S75" s="29">
        <f>$O$69</f>
        <v>1.8639790803587069</v>
      </c>
      <c r="T75" s="29">
        <f>$O$69</f>
        <v>1.8639790803587069</v>
      </c>
      <c r="U75" s="32"/>
      <c r="V75" s="32"/>
      <c r="W75"/>
      <c r="X75"/>
      <c r="Y75"/>
      <c r="Z75"/>
    </row>
    <row r="76" spans="1:26" ht="18">
      <c r="A76"/>
      <c r="B76"/>
      <c r="C76"/>
      <c r="D76"/>
      <c r="E76"/>
      <c r="F76"/>
      <c r="G76"/>
      <c r="H76"/>
      <c r="I76"/>
      <c r="J76" s="99">
        <v>2017</v>
      </c>
      <c r="K76" s="99"/>
      <c r="L76" s="29"/>
      <c r="M76" s="29"/>
      <c r="N76" s="29"/>
      <c r="O76" s="29"/>
      <c r="P76" s="29"/>
      <c r="Q76" s="29">
        <f>+$P$69</f>
        <v>0</v>
      </c>
      <c r="R76" s="29">
        <f>+$P$69</f>
        <v>0</v>
      </c>
      <c r="S76" s="29">
        <f>+$P$69</f>
        <v>0</v>
      </c>
      <c r="T76" s="29">
        <f>+$P$69</f>
        <v>0</v>
      </c>
      <c r="U76" s="29">
        <f>+$P$69</f>
        <v>0</v>
      </c>
      <c r="V76" s="32"/>
      <c r="W76"/>
      <c r="X76"/>
      <c r="Y76"/>
      <c r="Z76"/>
    </row>
    <row r="77" spans="1:26" ht="18">
      <c r="A77"/>
      <c r="B77"/>
      <c r="C77"/>
      <c r="D77"/>
      <c r="E77"/>
      <c r="F77"/>
      <c r="G77"/>
      <c r="H77"/>
      <c r="I77"/>
      <c r="J77" s="29" t="s">
        <v>42</v>
      </c>
      <c r="K77" s="29"/>
      <c r="L77" s="29"/>
      <c r="M77" s="29"/>
      <c r="N77" s="29"/>
      <c r="O77" s="29"/>
      <c r="P77" s="29"/>
      <c r="Q77" s="29">
        <f>+SUM(Q72:Q76)</f>
        <v>7.4958151725813806</v>
      </c>
      <c r="R77" s="29">
        <f>+SUM(R72:R76)</f>
        <v>4.0990256641116716</v>
      </c>
      <c r="S77" s="29">
        <f>+SUM(S72:S76)</f>
        <v>3.1248901841850945</v>
      </c>
      <c r="T77" s="29">
        <f>+SUM(T72:T76)</f>
        <v>1.8639790803587069</v>
      </c>
      <c r="U77" s="29">
        <f>+SUM(U72:U76)</f>
        <v>0</v>
      </c>
      <c r="V77" s="29">
        <f>+SUM(Q77:U77)</f>
        <v>16.583710101236854</v>
      </c>
      <c r="W77"/>
      <c r="X77"/>
      <c r="Y77"/>
      <c r="Z77"/>
    </row>
    <row r="78" spans="1:26" ht="18">
      <c r="A78"/>
      <c r="B78"/>
      <c r="C78"/>
      <c r="D78"/>
      <c r="E78"/>
      <c r="F78"/>
      <c r="G78"/>
      <c r="H78"/>
      <c r="I78"/>
      <c r="J78" s="32"/>
      <c r="K78" s="32"/>
      <c r="L78" s="100" t="s">
        <v>41</v>
      </c>
      <c r="M78" s="100"/>
      <c r="N78" s="100"/>
      <c r="O78" s="100"/>
      <c r="P78" s="100"/>
      <c r="Q78" s="100"/>
      <c r="R78" s="100"/>
      <c r="S78" s="100"/>
      <c r="T78" s="100"/>
      <c r="U78" s="100"/>
      <c r="V78" s="32"/>
      <c r="W78"/>
      <c r="X78"/>
      <c r="Y78"/>
      <c r="Z78"/>
    </row>
    <row r="79" spans="1:26" ht="18">
      <c r="A79"/>
      <c r="B79"/>
      <c r="C79"/>
      <c r="D79"/>
      <c r="E79"/>
      <c r="F79"/>
      <c r="G79"/>
      <c r="H79"/>
      <c r="I79"/>
      <c r="J79" s="29" t="s">
        <v>40</v>
      </c>
      <c r="K79" s="29"/>
      <c r="L79" s="29"/>
      <c r="M79" s="29"/>
      <c r="N79" s="29"/>
      <c r="O79" s="29"/>
      <c r="P79" s="29"/>
      <c r="Q79" s="29">
        <f>Q77/$K$45</f>
        <v>8.4291508154509796</v>
      </c>
      <c r="R79" s="29">
        <f>R77/$K$45</f>
        <v>4.609412682103625</v>
      </c>
      <c r="S79" s="29">
        <f>S77/$K$45</f>
        <v>3.5139834744814848</v>
      </c>
      <c r="T79" s="29">
        <f>T77/$K$45</f>
        <v>2.0960709974093992</v>
      </c>
      <c r="U79" s="29">
        <f>U77/$K$45</f>
        <v>0</v>
      </c>
      <c r="V79" s="29">
        <f>+SUM(Q79:U79)</f>
        <v>18.648617969445489</v>
      </c>
      <c r="W79"/>
      <c r="X79"/>
      <c r="Y79"/>
      <c r="Z79"/>
    </row>
    <row r="80" spans="1:26" ht="18">
      <c r="A80"/>
      <c r="B80"/>
      <c r="C80"/>
      <c r="D80"/>
      <c r="E80"/>
      <c r="F80"/>
      <c r="G80"/>
      <c r="H80"/>
      <c r="I80"/>
      <c r="J80"/>
      <c r="K80"/>
      <c r="L80"/>
      <c r="M80"/>
      <c r="N80"/>
      <c r="O80"/>
      <c r="P80"/>
      <c r="Q80"/>
      <c r="R80"/>
      <c r="S80"/>
      <c r="T80"/>
      <c r="U80"/>
      <c r="V80"/>
      <c r="W80"/>
      <c r="X80"/>
      <c r="Y80"/>
      <c r="Z80"/>
    </row>
    <row r="81" spans="1:26" ht="18">
      <c r="A81"/>
      <c r="B81"/>
      <c r="C81"/>
      <c r="D81"/>
      <c r="E81"/>
      <c r="F81"/>
      <c r="G81"/>
      <c r="H81"/>
      <c r="I81"/>
      <c r="J81"/>
      <c r="K81"/>
      <c r="L81"/>
      <c r="M81"/>
      <c r="N81"/>
      <c r="O81" t="s">
        <v>39</v>
      </c>
      <c r="P81"/>
      <c r="Q81"/>
      <c r="R81"/>
      <c r="S81"/>
      <c r="T81"/>
      <c r="U81"/>
      <c r="V81"/>
      <c r="W81"/>
      <c r="X81"/>
      <c r="Y81"/>
      <c r="Z81"/>
    </row>
    <row r="82" spans="1:26" ht="22.5">
      <c r="A82" s="20" t="s">
        <v>38</v>
      </c>
      <c r="B82"/>
      <c r="C82"/>
      <c r="D82"/>
      <c r="E82"/>
      <c r="F82"/>
      <c r="G82"/>
      <c r="H82"/>
      <c r="I82"/>
      <c r="J82"/>
      <c r="K82"/>
      <c r="L82"/>
      <c r="M82"/>
      <c r="N82"/>
      <c r="O82"/>
      <c r="P82"/>
      <c r="Q82"/>
      <c r="R82"/>
      <c r="S82"/>
      <c r="T82"/>
      <c r="U82"/>
      <c r="V82"/>
      <c r="W82"/>
      <c r="X82"/>
      <c r="Y82"/>
      <c r="Z82"/>
    </row>
    <row r="83" spans="1:26" ht="18">
      <c r="A83"/>
      <c r="B83" s="15" t="s">
        <v>217</v>
      </c>
      <c r="C83"/>
      <c r="D83"/>
      <c r="E83"/>
      <c r="F83"/>
      <c r="G83"/>
      <c r="H83"/>
      <c r="I83"/>
      <c r="J83"/>
      <c r="K83"/>
      <c r="L83"/>
      <c r="M83"/>
      <c r="N83"/>
      <c r="O83"/>
      <c r="P83"/>
      <c r="Q83"/>
      <c r="R83"/>
      <c r="S83"/>
      <c r="T83"/>
      <c r="U83"/>
      <c r="V83"/>
      <c r="W83"/>
      <c r="X83"/>
      <c r="Y83"/>
      <c r="Z83"/>
    </row>
    <row r="84" spans="1:26" ht="18">
      <c r="A84"/>
      <c r="B84" s="31" t="s">
        <v>219</v>
      </c>
      <c r="C84" s="31">
        <v>2019</v>
      </c>
      <c r="D84" s="31">
        <v>2020</v>
      </c>
      <c r="E84" s="31">
        <v>2021</v>
      </c>
      <c r="F84" s="31">
        <v>2022</v>
      </c>
      <c r="G84" s="31" t="s">
        <v>2</v>
      </c>
      <c r="H84"/>
      <c r="I84"/>
      <c r="J84"/>
      <c r="K84"/>
      <c r="L84"/>
      <c r="M84"/>
      <c r="N84"/>
      <c r="O84"/>
      <c r="P84"/>
      <c r="Q84"/>
      <c r="R84"/>
      <c r="S84"/>
      <c r="T84"/>
      <c r="U84"/>
      <c r="V84"/>
      <c r="W84"/>
      <c r="X84"/>
      <c r="Y84"/>
      <c r="Z84"/>
    </row>
    <row r="85" spans="1:26" ht="18">
      <c r="A85" s="7" t="s">
        <v>37</v>
      </c>
      <c r="B85" s="30">
        <f>Calc│Forecast!E42/1000000</f>
        <v>25.652349642148263</v>
      </c>
      <c r="C85" s="30">
        <f>Calc│Forecast!F42/1000000</f>
        <v>25.835468725557075</v>
      </c>
      <c r="D85" s="30">
        <f>Calc│Forecast!G42/1000000</f>
        <v>25.896102825628429</v>
      </c>
      <c r="E85" s="30">
        <f>Calc│Forecast!H42/1000000</f>
        <v>26.775931216652044</v>
      </c>
      <c r="F85" s="30">
        <f>Calc│Forecast!I42/1000000</f>
        <v>27.003906623917029</v>
      </c>
      <c r="G85" s="29">
        <f>+SUM(B85:F85)</f>
        <v>131.16375903390283</v>
      </c>
      <c r="H85"/>
      <c r="I85"/>
      <c r="J85"/>
      <c r="K85"/>
      <c r="L85"/>
      <c r="M85"/>
      <c r="N85"/>
      <c r="O85"/>
      <c r="P85"/>
      <c r="Q85"/>
      <c r="R85"/>
      <c r="S85"/>
      <c r="T85"/>
      <c r="U85"/>
      <c r="V85"/>
      <c r="W85"/>
      <c r="X85"/>
      <c r="Y85"/>
      <c r="Z85"/>
    </row>
    <row r="86" spans="1:26" ht="18">
      <c r="A86" s="6" t="s">
        <v>36</v>
      </c>
      <c r="B86"/>
      <c r="C86"/>
      <c r="D86"/>
      <c r="E86"/>
      <c r="F86"/>
      <c r="G86" s="29"/>
      <c r="H86"/>
      <c r="I86"/>
      <c r="J86"/>
      <c r="K86"/>
      <c r="L86"/>
      <c r="M86"/>
      <c r="N86"/>
      <c r="O86"/>
      <c r="P86"/>
      <c r="Q86"/>
      <c r="R86"/>
      <c r="S86"/>
      <c r="T86"/>
      <c r="U86"/>
      <c r="V86"/>
      <c r="W86"/>
      <c r="X86"/>
      <c r="Y86"/>
      <c r="Z86"/>
    </row>
    <row r="87" spans="1:26" ht="18">
      <c r="A87" s="7" t="str">
        <f>A56</f>
        <v>Approved cost pass through events (clause 8.2(f)(ii))</v>
      </c>
      <c r="B87" s="7"/>
      <c r="C87" s="7"/>
      <c r="D87" s="7"/>
      <c r="E87" s="7"/>
      <c r="F87" s="7"/>
      <c r="G87" s="29">
        <f>+SUM(B87:F87)</f>
        <v>0</v>
      </c>
      <c r="H87"/>
      <c r="I87"/>
      <c r="J87"/>
      <c r="K87"/>
      <c r="L87"/>
      <c r="M87"/>
      <c r="N87"/>
      <c r="O87"/>
      <c r="P87"/>
      <c r="Q87"/>
      <c r="R87"/>
      <c r="S87"/>
      <c r="T87"/>
      <c r="U87"/>
      <c r="V87"/>
      <c r="W87"/>
      <c r="X87"/>
      <c r="Y87"/>
      <c r="Z87"/>
    </row>
    <row r="88" spans="1:26" ht="18">
      <c r="A88" s="7" t="str">
        <f>A57</f>
        <v xml:space="preserve">Costs associated with extensions and expansions (clause 8.2(f)(iii)) </v>
      </c>
      <c r="B88" s="30">
        <f>Calc│Forecast!E30/1000000</f>
        <v>0.27610117499999998</v>
      </c>
      <c r="C88" s="30">
        <f>Calc│Forecast!F30/1000000</f>
        <v>0.36570188214285715</v>
      </c>
      <c r="D88" s="30">
        <f>Calc│Forecast!G30/1000000</f>
        <v>0.36570188214285715</v>
      </c>
      <c r="E88" s="30">
        <f>Calc│Forecast!H30/1000000</f>
        <v>0.41157608214285712</v>
      </c>
      <c r="F88" s="30">
        <f>Calc│Forecast!I30/1000000</f>
        <v>0.41157608214285712</v>
      </c>
      <c r="G88" s="29">
        <f>+SUM(B88:F88)</f>
        <v>1.8306571035714285</v>
      </c>
      <c r="H88"/>
      <c r="I88"/>
      <c r="J88"/>
      <c r="K88"/>
      <c r="L88"/>
      <c r="M88"/>
      <c r="N88"/>
      <c r="O88"/>
      <c r="P88"/>
      <c r="Q88"/>
      <c r="R88"/>
      <c r="S88"/>
      <c r="T88"/>
      <c r="U88"/>
      <c r="V88"/>
      <c r="W88"/>
      <c r="X88"/>
      <c r="Y88"/>
      <c r="Z88"/>
    </row>
    <row r="89" spans="1:26" ht="18">
      <c r="A89" s="7" t="s">
        <v>33</v>
      </c>
      <c r="B89" s="30">
        <f>Calc│Forecast!E31/1000000</f>
        <v>2.354585232963355</v>
      </c>
      <c r="C89" s="30">
        <f>Calc│Forecast!F31/1000000</f>
        <v>2.4481036092293071</v>
      </c>
      <c r="D89" s="30">
        <f>Calc│Forecast!G31/1000000</f>
        <v>2.5087377093006671</v>
      </c>
      <c r="E89" s="30">
        <f>Calc│Forecast!H31/1000000</f>
        <v>2.5553398434153345</v>
      </c>
      <c r="F89" s="30">
        <f>Calc│Forecast!I31/1000000</f>
        <v>2.5923578408578676</v>
      </c>
      <c r="G89" s="29">
        <f>+SUM(B89:F89)</f>
        <v>12.459124235766531</v>
      </c>
      <c r="H89"/>
      <c r="I89"/>
      <c r="J89"/>
      <c r="K89"/>
      <c r="L89"/>
      <c r="M89"/>
      <c r="N89"/>
      <c r="O89"/>
      <c r="P89"/>
      <c r="Q89"/>
      <c r="R89"/>
      <c r="S89"/>
      <c r="T89"/>
      <c r="U89"/>
      <c r="V89"/>
      <c r="W89"/>
      <c r="X89"/>
      <c r="Y89"/>
      <c r="Z89"/>
    </row>
    <row r="90" spans="1:26" ht="18">
      <c r="A90" s="7" t="s">
        <v>31</v>
      </c>
      <c r="B90" s="30">
        <v>6.0304776627551598E-2</v>
      </c>
      <c r="C90" s="30">
        <v>6.2173460144602212E-2</v>
      </c>
      <c r="D90" s="30">
        <v>6.2298839012220296E-2</v>
      </c>
      <c r="E90" s="30">
        <v>6.1376171093415921E-2</v>
      </c>
      <c r="F90" s="30">
        <v>5.9991768927877824E-2</v>
      </c>
      <c r="G90" s="76"/>
      <c r="H90"/>
      <c r="I90"/>
      <c r="J90"/>
      <c r="K90"/>
      <c r="L90"/>
      <c r="M90"/>
      <c r="N90"/>
      <c r="O90"/>
      <c r="P90"/>
      <c r="Q90"/>
      <c r="R90"/>
      <c r="S90"/>
      <c r="T90"/>
      <c r="U90"/>
      <c r="V90"/>
      <c r="W90"/>
      <c r="X90"/>
      <c r="Y90"/>
      <c r="Z90"/>
    </row>
    <row r="91" spans="1:26" ht="18">
      <c r="A91" s="7" t="s">
        <v>183</v>
      </c>
      <c r="B91" s="7"/>
      <c r="C91" s="7"/>
      <c r="D91" s="7"/>
      <c r="E91" s="7"/>
      <c r="F91" s="7"/>
      <c r="G91" s="29">
        <f>+SUM(B91:F91)</f>
        <v>0</v>
      </c>
      <c r="H91"/>
      <c r="I91"/>
      <c r="J91"/>
      <c r="K91"/>
      <c r="L91"/>
      <c r="M91"/>
      <c r="N91"/>
      <c r="O91"/>
      <c r="P91"/>
      <c r="Q91"/>
      <c r="R91"/>
      <c r="S91"/>
      <c r="T91"/>
      <c r="U91"/>
      <c r="V91"/>
      <c r="W91"/>
      <c r="X91"/>
      <c r="Y91"/>
      <c r="Z91"/>
    </row>
    <row r="92" spans="1:26" ht="18">
      <c r="A92" s="6" t="s">
        <v>35</v>
      </c>
      <c r="B92" s="29">
        <f t="shared" ref="B92:G92" si="12">+B85-SUM(B87:B91)</f>
        <v>22.961358457557356</v>
      </c>
      <c r="C92" s="29">
        <f t="shared" si="12"/>
        <v>22.959489774040307</v>
      </c>
      <c r="D92" s="29">
        <f t="shared" si="12"/>
        <v>22.959364395172685</v>
      </c>
      <c r="E92" s="29">
        <f t="shared" si="12"/>
        <v>23.747639120000436</v>
      </c>
      <c r="F92" s="29">
        <f t="shared" si="12"/>
        <v>23.939980931988426</v>
      </c>
      <c r="G92" s="29">
        <f t="shared" si="12"/>
        <v>116.87397769456487</v>
      </c>
      <c r="H92"/>
      <c r="I92"/>
      <c r="J92"/>
      <c r="K92"/>
      <c r="L92"/>
      <c r="M92"/>
      <c r="N92"/>
      <c r="O92"/>
      <c r="P92"/>
      <c r="Q92"/>
      <c r="R92"/>
      <c r="S92"/>
      <c r="T92"/>
      <c r="U92"/>
      <c r="V92"/>
      <c r="W92"/>
      <c r="X92"/>
      <c r="Y92"/>
      <c r="Z92"/>
    </row>
    <row r="93" spans="1:26" ht="18">
      <c r="A93"/>
      <c r="B93"/>
      <c r="C93"/>
      <c r="D93"/>
      <c r="E93"/>
      <c r="F93"/>
      <c r="G93"/>
      <c r="H93"/>
      <c r="I93"/>
      <c r="J93"/>
      <c r="K93"/>
      <c r="L93"/>
      <c r="M93"/>
      <c r="N93"/>
      <c r="O93"/>
      <c r="P93"/>
      <c r="Q93"/>
      <c r="R93"/>
      <c r="S93"/>
      <c r="T93"/>
      <c r="U93"/>
      <c r="V93"/>
      <c r="W93"/>
      <c r="X93"/>
      <c r="Y93"/>
      <c r="Z93"/>
    </row>
  </sheetData>
  <mergeCells count="16">
    <mergeCell ref="J75:K75"/>
    <mergeCell ref="J76:K76"/>
    <mergeCell ref="L78:U78"/>
    <mergeCell ref="B61:H61"/>
    <mergeCell ref="J61:P61"/>
    <mergeCell ref="L71:U71"/>
    <mergeCell ref="J72:K72"/>
    <mergeCell ref="J73:K73"/>
    <mergeCell ref="J74:K74"/>
    <mergeCell ref="A40:K40"/>
    <mergeCell ref="B42:F42"/>
    <mergeCell ref="G42:H42"/>
    <mergeCell ref="P42:Q42"/>
    <mergeCell ref="B53:H53"/>
    <mergeCell ref="J53:P53"/>
    <mergeCell ref="K42:O42"/>
  </mergeCells>
  <dataValidations count="5">
    <dataValidation type="custom" allowBlank="1" showInputMessage="1" showErrorMessage="1" error="Must be a number" promptTitle="Opex allowance" prompt="Enter value. _x000a__x000a_As set out in the approved PTRM for the current regulatory control period." sqref="D55:I55">
      <formula1>ISNUMBER(D55)</formula1>
    </dataValidation>
    <dataValidation type="textLength" operator="lessThanOrEqual" allowBlank="1" showInputMessage="1" showErrorMessage="1" prompt="Enter category proposed for exclusion." sqref="A89:A91">
      <formula1>150</formula1>
    </dataValidation>
    <dataValidation type="custom" allowBlank="1" showInputMessage="1" showErrorMessage="1" error="Must be a number" promptTitle="Excluded costs" prompt="Enter value in $million." sqref="B87:F91">
      <formula1>ISNUMBER(B87)</formula1>
    </dataValidation>
    <dataValidation type="custom" allowBlank="1" showInputMessage="1" showErrorMessage="1" error="Must be a number" prompt="Enter value" sqref="D56:I57 B57:C57">
      <formula1>ISNUMBER(B56)</formula1>
    </dataValidation>
    <dataValidation type="list" allowBlank="1" showInputMessage="1" showErrorMessage="1" sqref="B34:B37">
      <formula1>$A$144:$A$145</formula1>
    </dataValidation>
  </dataValidations>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'Input│ Historic Opex'!$A$91:$A$92</xm:f>
          </x14:formula1>
          <xm:sqref>B28:B32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102E"/>
  </sheetPr>
  <dimension ref="A1:P25"/>
  <sheetViews>
    <sheetView zoomScaleNormal="100" workbookViewId="0">
      <selection activeCell="G24" sqref="G24:K24"/>
    </sheetView>
  </sheetViews>
  <sheetFormatPr defaultColWidth="9" defaultRowHeight="13.5"/>
  <cols>
    <col min="1" max="1" width="1.453125" style="2" customWidth="1"/>
    <col min="2" max="2" width="1.08984375" style="2" customWidth="1"/>
    <col min="3" max="4" width="1.1796875" style="2" customWidth="1"/>
    <col min="5" max="6" width="9" style="2"/>
    <col min="7" max="7" width="13.1796875" style="2" bestFit="1" customWidth="1"/>
    <col min="8" max="9" width="9" style="2"/>
    <col min="10" max="10" width="10.54296875" style="2" customWidth="1"/>
    <col min="11" max="12" width="9" style="2"/>
    <col min="13" max="13" width="9.90625" style="2" customWidth="1"/>
    <col min="14" max="16384" width="9" style="2"/>
  </cols>
  <sheetData>
    <row r="1" spans="1:16" s="3" customFormat="1"/>
    <row r="2" spans="1:16" s="3" customFormat="1"/>
    <row r="3" spans="1:16" s="3" customFormat="1"/>
    <row r="4" spans="1:16" s="3" customFormat="1"/>
    <row r="5" spans="1:16" s="3" customFormat="1"/>
    <row r="6" spans="1:16" s="3" customFormat="1"/>
    <row r="7" spans="1:16" s="3" customFormat="1"/>
    <row r="8" spans="1:16" s="3" customFormat="1"/>
    <row r="9" spans="1:16" s="3" customFormat="1"/>
    <row r="10" spans="1:16" s="4" customFormat="1" ht="22.5">
      <c r="A10" s="5" t="str">
        <f ca="1">RIGHT(CELL("filename",A1),LEN(CELL("filename",A1))-FIND("]",CELL("filename",A1)))</f>
        <v>Outputs│PTRM</v>
      </c>
    </row>
    <row r="12" spans="1:16" ht="22.5">
      <c r="E12" s="20" t="str">
        <f>"Forecast Operating Expenditure ($m Real 2017)"</f>
        <v>Forecast Operating Expenditure ($m Real 2017)</v>
      </c>
    </row>
    <row r="13" spans="1:16" ht="14.25" thickBot="1"/>
    <row r="14" spans="1:16" ht="18.75" thickBot="1">
      <c r="E14" s="21" t="s">
        <v>23</v>
      </c>
      <c r="F14" s="21"/>
      <c r="G14" s="24">
        <f>Calc│Forecast!E10</f>
        <v>2018</v>
      </c>
      <c r="H14" s="24">
        <f>Calc│Forecast!F10</f>
        <v>2019</v>
      </c>
      <c r="I14" s="24">
        <f>Calc│Forecast!G10</f>
        <v>2020</v>
      </c>
      <c r="J14" s="24">
        <f>Calc│Forecast!H10</f>
        <v>2021</v>
      </c>
      <c r="K14" s="24">
        <f>Calc│Forecast!I10</f>
        <v>2022</v>
      </c>
      <c r="L14" s="24">
        <f>Calc│Forecast!J10</f>
        <v>0</v>
      </c>
      <c r="M14" s="24">
        <f>Calc│Forecast!K10</f>
        <v>0</v>
      </c>
      <c r="N14" s="24">
        <f>Calc│Forecast!L10</f>
        <v>0</v>
      </c>
      <c r="O14" s="24">
        <f>Calc│Forecast!M10</f>
        <v>0</v>
      </c>
      <c r="P14" s="24">
        <f>Calc│Forecast!N10</f>
        <v>0</v>
      </c>
    </row>
    <row r="15" spans="1:16" ht="18.75" thickBot="1">
      <c r="E15" s="22" t="s">
        <v>24</v>
      </c>
      <c r="F15" s="23"/>
      <c r="G15" s="23">
        <f>Calc│Forecast!E42/1000000</f>
        <v>25.652349642148263</v>
      </c>
      <c r="H15" s="23">
        <f>Calc│Forecast!F42/1000000</f>
        <v>25.835468725557075</v>
      </c>
      <c r="I15" s="23">
        <f>Calc│Forecast!G42/1000000</f>
        <v>25.896102825628429</v>
      </c>
      <c r="J15" s="23">
        <f>Calc│Forecast!H42/1000000</f>
        <v>26.775931216652044</v>
      </c>
      <c r="K15" s="23">
        <f>Calc│Forecast!I42/1000000</f>
        <v>27.003906623917029</v>
      </c>
      <c r="L15" s="23"/>
      <c r="M15" s="23"/>
      <c r="N15" s="23"/>
      <c r="O15" s="23"/>
      <c r="P15" s="23"/>
    </row>
    <row r="16" spans="1:16" ht="18.75" thickBot="1">
      <c r="E16" s="22" t="s">
        <v>66</v>
      </c>
      <c r="F16" s="23"/>
      <c r="G16" s="23">
        <f>Calc│EBSS!Q79</f>
        <v>8.4291508154509796</v>
      </c>
      <c r="H16" s="23">
        <f>Calc│EBSS!R79</f>
        <v>4.609412682103625</v>
      </c>
      <c r="I16" s="23">
        <f>Calc│EBSS!S79</f>
        <v>3.5139834744814848</v>
      </c>
      <c r="J16" s="23">
        <f>Calc│EBSS!T79</f>
        <v>2.0960709974093992</v>
      </c>
      <c r="K16" s="23">
        <f>Calc│EBSS!U79</f>
        <v>0</v>
      </c>
      <c r="L16" s="23"/>
      <c r="M16" s="23"/>
      <c r="N16" s="23"/>
      <c r="O16" s="23"/>
      <c r="P16" s="23"/>
    </row>
    <row r="17" spans="5:16" ht="18.75" thickBot="1">
      <c r="E17" s="22"/>
      <c r="F17" s="23"/>
      <c r="G17" s="23"/>
      <c r="H17" s="23"/>
      <c r="I17" s="23"/>
      <c r="J17" s="23"/>
      <c r="K17" s="23"/>
      <c r="L17" s="23"/>
      <c r="M17" s="23"/>
      <c r="N17" s="23"/>
      <c r="O17" s="23"/>
      <c r="P17" s="23"/>
    </row>
    <row r="18" spans="5:16" ht="18.75" thickBot="1">
      <c r="E18" s="22"/>
      <c r="F18" s="23"/>
      <c r="G18" s="23"/>
      <c r="H18" s="23"/>
      <c r="I18" s="23"/>
      <c r="J18" s="23"/>
      <c r="K18" s="23"/>
      <c r="L18" s="23"/>
      <c r="M18" s="23"/>
      <c r="N18" s="23"/>
      <c r="O18" s="23"/>
      <c r="P18" s="23"/>
    </row>
    <row r="19" spans="5:16" ht="18.75" thickBot="1">
      <c r="E19" s="22"/>
      <c r="F19" s="23"/>
      <c r="G19" s="23"/>
      <c r="H19" s="23"/>
      <c r="I19" s="23"/>
      <c r="J19" s="23"/>
      <c r="K19" s="23"/>
      <c r="L19" s="23"/>
      <c r="M19" s="23"/>
      <c r="N19" s="23"/>
      <c r="O19" s="23"/>
      <c r="P19" s="23"/>
    </row>
    <row r="20" spans="5:16" ht="18.75" thickBot="1">
      <c r="E20" s="22"/>
      <c r="F20" s="23"/>
      <c r="G20" s="23"/>
      <c r="H20" s="23"/>
      <c r="I20" s="23"/>
      <c r="J20" s="23"/>
      <c r="K20" s="23"/>
      <c r="L20" s="23"/>
      <c r="M20" s="23"/>
      <c r="N20" s="23"/>
      <c r="O20" s="23"/>
      <c r="P20" s="23"/>
    </row>
    <row r="21" spans="5:16" ht="18.75" thickBot="1">
      <c r="E21" s="22"/>
      <c r="F21" s="23"/>
      <c r="G21" s="23"/>
      <c r="H21" s="23"/>
      <c r="I21" s="23"/>
      <c r="J21" s="23"/>
      <c r="K21" s="23"/>
      <c r="L21" s="23"/>
      <c r="M21" s="23"/>
      <c r="N21" s="23"/>
      <c r="O21" s="23"/>
      <c r="P21" s="23"/>
    </row>
    <row r="22" spans="5:16" ht="18.75" thickBot="1">
      <c r="E22" s="22"/>
      <c r="F22" s="23"/>
      <c r="G22" s="23"/>
      <c r="H22" s="23"/>
      <c r="I22" s="23"/>
      <c r="J22" s="23"/>
      <c r="K22" s="23"/>
      <c r="L22" s="23"/>
      <c r="M22" s="23"/>
      <c r="N22" s="23"/>
      <c r="O22" s="23"/>
      <c r="P22" s="23"/>
    </row>
    <row r="23" spans="5:16" ht="18.75" thickBot="1">
      <c r="E23" s="22"/>
      <c r="F23" s="23"/>
      <c r="G23" s="23"/>
      <c r="H23" s="23"/>
      <c r="I23" s="23"/>
      <c r="J23" s="23"/>
      <c r="K23" s="23"/>
      <c r="L23" s="23"/>
      <c r="M23" s="23"/>
      <c r="N23" s="23"/>
      <c r="O23" s="23"/>
      <c r="P23" s="23"/>
    </row>
    <row r="24" spans="5:16" ht="18.75" thickBot="1">
      <c r="E24" s="93" t="s">
        <v>25</v>
      </c>
      <c r="F24" s="94"/>
      <c r="G24" s="23">
        <f>'Input│ Historic Opex'!D77/1000000</f>
        <v>6.0438651248016638E-2</v>
      </c>
      <c r="H24" s="23">
        <f>'Input│ Historic Opex'!E77/1000000</f>
        <v>6.2301803549242599E-2</v>
      </c>
      <c r="I24" s="23">
        <f>'Input│ Historic Opex'!F77/1000000</f>
        <v>6.2431633806532792E-2</v>
      </c>
      <c r="J24" s="23">
        <f>'Input│ Historic Opex'!G77/1000000</f>
        <v>6.1523399882897331E-2</v>
      </c>
      <c r="K24" s="23">
        <f>'Input│ Historic Opex'!H77/1000000</f>
        <v>6.0163414318024931E-2</v>
      </c>
      <c r="L24" s="23">
        <v>0</v>
      </c>
      <c r="M24" s="23">
        <v>0</v>
      </c>
      <c r="N24" s="23">
        <v>0</v>
      </c>
      <c r="O24" s="23">
        <v>0</v>
      </c>
      <c r="P24" s="23">
        <v>0</v>
      </c>
    </row>
    <row r="25" spans="5:16" ht="18.75" thickBot="1">
      <c r="E25" s="22" t="s">
        <v>2</v>
      </c>
      <c r="F25" s="23"/>
      <c r="G25" s="23">
        <f t="shared" ref="G25:P25" si="0">SUM(G15:G24)</f>
        <v>34.141939108847254</v>
      </c>
      <c r="H25" s="23">
        <f t="shared" si="0"/>
        <v>30.507183211209941</v>
      </c>
      <c r="I25" s="23">
        <f t="shared" si="0"/>
        <v>29.472517933916446</v>
      </c>
      <c r="J25" s="23">
        <f t="shared" si="0"/>
        <v>28.93352561394434</v>
      </c>
      <c r="K25" s="23">
        <f t="shared" si="0"/>
        <v>27.064070038235055</v>
      </c>
      <c r="L25" s="23">
        <f t="shared" si="0"/>
        <v>0</v>
      </c>
      <c r="M25" s="23">
        <f t="shared" si="0"/>
        <v>0</v>
      </c>
      <c r="N25" s="23">
        <f t="shared" si="0"/>
        <v>0</v>
      </c>
      <c r="O25" s="23">
        <f t="shared" si="0"/>
        <v>0</v>
      </c>
      <c r="P25" s="23">
        <f t="shared" si="0"/>
        <v>0</v>
      </c>
    </row>
  </sheetData>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102E"/>
  </sheetPr>
  <dimension ref="A1:Q90"/>
  <sheetViews>
    <sheetView topLeftCell="E1" zoomScale="85" zoomScaleNormal="85" workbookViewId="0">
      <selection activeCell="M81" sqref="M81"/>
    </sheetView>
  </sheetViews>
  <sheetFormatPr defaultColWidth="9" defaultRowHeight="13.5"/>
  <cols>
    <col min="1" max="1" width="1.453125" style="3" customWidth="1"/>
    <col min="2" max="2" width="1.08984375" style="3" customWidth="1"/>
    <col min="3" max="4" width="1.1796875" style="3" customWidth="1"/>
    <col min="5" max="5" width="51.1796875" style="3" customWidth="1"/>
    <col min="6" max="6" width="13.1796875" style="3" bestFit="1" customWidth="1"/>
    <col min="7" max="9" width="11.26953125" style="3" bestFit="1" customWidth="1"/>
    <col min="10" max="10" width="8.1796875" style="3" bestFit="1" customWidth="1"/>
    <col min="11" max="12" width="11.26953125" style="3" bestFit="1" customWidth="1"/>
    <col min="13" max="13" width="9.90625" style="3" customWidth="1"/>
    <col min="14" max="14" width="9" style="3"/>
    <col min="15" max="16384" width="9" style="2"/>
  </cols>
  <sheetData>
    <row r="1" spans="1:17" s="3" customFormat="1"/>
    <row r="2" spans="1:17" s="3" customFormat="1"/>
    <row r="3" spans="1:17" s="3" customFormat="1"/>
    <row r="4" spans="1:17" s="3" customFormat="1"/>
    <row r="5" spans="1:17" s="3" customFormat="1"/>
    <row r="6" spans="1:17" s="3" customFormat="1"/>
    <row r="7" spans="1:17" s="3" customFormat="1"/>
    <row r="8" spans="1:17" s="3" customFormat="1"/>
    <row r="9" spans="1:17" s="3" customFormat="1"/>
    <row r="10" spans="1:17" s="4" customFormat="1" ht="22.5">
      <c r="A10" s="53" t="str">
        <f ca="1">RIGHT(CELL("filename",A1),LEN(CELL("filename",A1))-FIND("]",CELL("filename",A1)))</f>
        <v>Outputs│Tables</v>
      </c>
      <c r="B10" s="3"/>
      <c r="C10" s="3"/>
      <c r="D10" s="3"/>
      <c r="E10" s="3"/>
      <c r="F10" s="3"/>
      <c r="G10" s="3"/>
      <c r="H10" s="3"/>
      <c r="I10" s="3"/>
      <c r="J10" s="3"/>
      <c r="K10" s="3"/>
      <c r="L10" s="3"/>
      <c r="M10" s="3"/>
      <c r="N10" s="3"/>
    </row>
    <row r="12" spans="1:17" ht="18">
      <c r="E12" s="54" t="str">
        <f>"Historic Operating Expenditure less debt raising costs ($m Real 2017)"</f>
        <v>Historic Operating Expenditure less debt raising costs ($m Real 2017)</v>
      </c>
    </row>
    <row r="13" spans="1:17" ht="14.25" thickBot="1"/>
    <row r="14" spans="1:17" ht="18.75" thickBot="1">
      <c r="E14" s="21"/>
      <c r="F14" s="21"/>
      <c r="G14" s="24">
        <f>'Input│ Historic Opex'!D10</f>
        <v>2012</v>
      </c>
      <c r="H14" s="24">
        <f>'Input│ Historic Opex'!E10</f>
        <v>2013</v>
      </c>
      <c r="I14" s="24">
        <f>'Input│ Historic Opex'!F10</f>
        <v>2014</v>
      </c>
      <c r="J14" s="24">
        <f>'Input│ Historic Opex'!G10</f>
        <v>2015</v>
      </c>
      <c r="K14" s="24" t="str">
        <f>'Input│ Historic Opex'!H10 &amp; "(e)"</f>
        <v>2016(e)</v>
      </c>
      <c r="L14" s="24" t="str">
        <f>'Input│ Historic Opex'!I10 &amp; "(f)"</f>
        <v>2017(f)</v>
      </c>
      <c r="M14" s="24">
        <f>'Input│ Historic Opex'!D42</f>
        <v>2018</v>
      </c>
      <c r="N14" s="24">
        <f>'Input│ Historic Opex'!E42</f>
        <v>2019</v>
      </c>
      <c r="O14" s="24">
        <f>'Input│ Historic Opex'!F42</f>
        <v>2020</v>
      </c>
      <c r="P14" s="24">
        <f>'Input│ Historic Opex'!G42</f>
        <v>2021</v>
      </c>
      <c r="Q14" s="24">
        <f>'Input│ Historic Opex'!H42</f>
        <v>2022</v>
      </c>
    </row>
    <row r="15" spans="1:17" ht="18.75" thickBot="1">
      <c r="E15" s="55" t="str">
        <f>'Input│ Historic Opex'!A29</f>
        <v xml:space="preserve">Asset operations and management </v>
      </c>
      <c r="F15" s="55" t="s">
        <v>73</v>
      </c>
      <c r="G15" s="66">
        <f>'Input│ Historic Opex'!D29/1000000</f>
        <v>14.45800338897479</v>
      </c>
      <c r="H15" s="66">
        <f>'Input│ Historic Opex'!E29/1000000</f>
        <v>15.240622965167439</v>
      </c>
      <c r="I15" s="66">
        <f>'Input│ Historic Opex'!F29/1000000</f>
        <v>15.046858749968283</v>
      </c>
      <c r="J15" s="66">
        <f>'Input│ Historic Opex'!G29/1000000</f>
        <v>16.817170785682396</v>
      </c>
      <c r="K15" s="66">
        <f>'Input│ Historic Opex'!H29/1000000</f>
        <v>17.576844560969992</v>
      </c>
      <c r="L15" s="66">
        <f>Calc│Forecast!D52/1000000</f>
        <v>18.447279610873565</v>
      </c>
      <c r="M15" s="66">
        <f>Calc│Forecast!E52/1000000</f>
        <v>18.058809267506483</v>
      </c>
      <c r="N15" s="66">
        <f>Calc│Forecast!F52/1000000</f>
        <v>18.187721926450084</v>
      </c>
      <c r="O15" s="67">
        <f>Calc│Forecast!G52/1000000</f>
        <v>18.230407281342352</v>
      </c>
      <c r="P15" s="67">
        <f>Calc│Forecast!H52/1000000</f>
        <v>18.849791210038166</v>
      </c>
      <c r="Q15" s="67">
        <f>Calc│Forecast!I52/1000000</f>
        <v>19.010281943047517</v>
      </c>
    </row>
    <row r="16" spans="1:17" ht="18.75" thickBot="1">
      <c r="E16" s="55" t="str">
        <f>'Input│ Historic Opex'!A30</f>
        <v>Regulatory (Asset Licences)</v>
      </c>
      <c r="F16" s="55" t="s">
        <v>73</v>
      </c>
      <c r="G16" s="66">
        <f>'Input│ Historic Opex'!D30/1000000</f>
        <v>0.42975207890681649</v>
      </c>
      <c r="H16" s="66">
        <f>'Input│ Historic Opex'!E30/1000000</f>
        <v>0.35780167016652797</v>
      </c>
      <c r="I16" s="66">
        <f>'Input│ Historic Opex'!F30/1000000</f>
        <v>0.46886964165474998</v>
      </c>
      <c r="J16" s="66">
        <f>'Input│ Historic Opex'!G30/1000000</f>
        <v>0.31538944779999994</v>
      </c>
      <c r="K16" s="66">
        <f>'Input│ Historic Opex'!H30/1000000</f>
        <v>0.29996293000000002</v>
      </c>
      <c r="L16" s="66">
        <f>Calc│Forecast!D53/1000000</f>
        <v>0.31481760127151764</v>
      </c>
      <c r="M16" s="66">
        <f>Calc│Forecast!E53/1000000</f>
        <v>0.30818804373004355</v>
      </c>
      <c r="N16" s="66">
        <f>Calc│Forecast!F53/1000000</f>
        <v>0.31038804150306137</v>
      </c>
      <c r="O16" s="67">
        <f>Calc│Forecast!G53/1000000</f>
        <v>0.31111650127165968</v>
      </c>
      <c r="P16" s="67">
        <f>Calc│Forecast!H53/1000000</f>
        <v>0.32168678408903567</v>
      </c>
      <c r="Q16" s="67">
        <f>Calc│Forecast!I53/1000000</f>
        <v>0.32442568698735397</v>
      </c>
    </row>
    <row r="17" spans="5:17" ht="18.75" thickBot="1">
      <c r="E17" s="55" t="str">
        <f>'Input│ Historic Opex'!A31</f>
        <v xml:space="preserve">Insurance </v>
      </c>
      <c r="F17" s="55" t="s">
        <v>73</v>
      </c>
      <c r="G17" s="66">
        <f>'Input│ Historic Opex'!D31/1000000</f>
        <v>1.0845581807592484</v>
      </c>
      <c r="H17" s="66">
        <f>'Input│ Historic Opex'!E31/1000000</f>
        <v>1.3122458557818766</v>
      </c>
      <c r="I17" s="66">
        <f>'Input│ Historic Opex'!F31/1000000</f>
        <v>0.89357397740294953</v>
      </c>
      <c r="J17" s="66">
        <f>'Input│ Historic Opex'!G31/1000000</f>
        <v>0.87635919079624991</v>
      </c>
      <c r="K17" s="66">
        <f>'Input│ Historic Opex'!H31/1000000</f>
        <v>0.65486359497000002</v>
      </c>
      <c r="L17" s="66">
        <f>Calc│Forecast!D54/1000000</f>
        <v>0.68729354700095135</v>
      </c>
      <c r="M17" s="66">
        <f>Calc│Forecast!E54/1000000</f>
        <v>0.67282023896695475</v>
      </c>
      <c r="N17" s="66">
        <f>Calc│Forecast!F54/1000000</f>
        <v>0.67762316061652128</v>
      </c>
      <c r="O17" s="67">
        <f>Calc│Forecast!G54/1000000</f>
        <v>0.67921349640519801</v>
      </c>
      <c r="P17" s="67">
        <f>Calc│Forecast!H54/1000000</f>
        <v>0.70228999257636293</v>
      </c>
      <c r="Q17" s="67">
        <f>Calc│Forecast!I54/1000000</f>
        <v>0.70826942409567262</v>
      </c>
    </row>
    <row r="18" spans="5:17" ht="18.75" thickBot="1">
      <c r="E18" s="55" t="str">
        <f>'Input│ Historic Opex'!A32</f>
        <v xml:space="preserve">Corporate overheads costs </v>
      </c>
      <c r="F18" s="55" t="s">
        <v>73</v>
      </c>
      <c r="G18" s="66">
        <f>'Input│ Historic Opex'!D32/1000000</f>
        <v>13.252252559297855</v>
      </c>
      <c r="H18" s="66">
        <f>'Input│ Historic Opex'!E32/1000000</f>
        <v>8.7186158232535025</v>
      </c>
      <c r="I18" s="66">
        <f>'Input│ Historic Opex'!F32/1000000</f>
        <v>9.4195733141326237</v>
      </c>
      <c r="J18" s="66">
        <f>'Input│ Historic Opex'!G32/1000000</f>
        <v>7.7175998585324779</v>
      </c>
      <c r="K18" s="66">
        <f>'Input│ Historic Opex'!H32/1000000</f>
        <v>6.4360527326499408</v>
      </c>
      <c r="L18" s="66">
        <f>Calc│Forecast!D55/1000000</f>
        <v>6.754776941770273</v>
      </c>
      <c r="M18" s="66">
        <f>Calc│Forecast!E55/1000000</f>
        <v>6.6125320919447832</v>
      </c>
      <c r="N18" s="66">
        <f>Calc│Forecast!F55/1000000</f>
        <v>6.6597355969874057</v>
      </c>
      <c r="O18" s="67">
        <f>Calc│Forecast!G55/1000000</f>
        <v>6.6753655466092239</v>
      </c>
      <c r="P18" s="67">
        <f>Calc│Forecast!H55/1000000</f>
        <v>6.9021632299484779</v>
      </c>
      <c r="Q18" s="67">
        <f>Calc│Forecast!I55/1000000</f>
        <v>6.9609295697864866</v>
      </c>
    </row>
    <row r="19" spans="5:17" ht="18.75" thickBot="1">
      <c r="E19" s="55" t="s">
        <v>33</v>
      </c>
      <c r="F19" s="55" t="str">
        <f>F18</f>
        <v>real 2017 m</v>
      </c>
      <c r="G19" s="66">
        <f>'Input│ Historic Opex'!D39/1000000</f>
        <v>0</v>
      </c>
      <c r="H19" s="66">
        <f>'Input│ Historic Opex'!E39/1000000</f>
        <v>2.1430483654415355</v>
      </c>
      <c r="I19" s="66">
        <f>'Input│ Historic Opex'!F39/1000000</f>
        <v>2.2782227169135001</v>
      </c>
      <c r="J19" s="66">
        <f>'Input│ Historic Opex'!G39/1000000</f>
        <v>2.1823321439500001</v>
      </c>
      <c r="K19" s="66">
        <f>'Input│ Historic Opex'!H39/1000000</f>
        <v>2.1043612600000001</v>
      </c>
      <c r="L19" s="66">
        <f>'Input│ Historic Opex'!I39/1000000</f>
        <v>2.2041949999999999</v>
      </c>
      <c r="M19" s="66">
        <f>Calc│Forecast!D31/1000000</f>
        <v>2.2041949999999999</v>
      </c>
      <c r="N19" s="66">
        <f>Calc│Forecast!E31/1000000</f>
        <v>2.354585232963355</v>
      </c>
      <c r="O19" s="66">
        <f>Calc│Forecast!F31/1000000</f>
        <v>2.4481036092293071</v>
      </c>
      <c r="P19" s="66">
        <f>Calc│Forecast!G31/1000000</f>
        <v>2.5087377093006671</v>
      </c>
      <c r="Q19" s="66">
        <f>Calc│Forecast!H31/1000000</f>
        <v>2.5553398434153345</v>
      </c>
    </row>
    <row r="20" spans="5:17" ht="18.75" thickBot="1">
      <c r="E20" s="55" t="s">
        <v>75</v>
      </c>
      <c r="F20" s="55" t="s">
        <v>73</v>
      </c>
      <c r="G20" s="66">
        <f>SUM(G15:G19)</f>
        <v>29.224566207938707</v>
      </c>
      <c r="H20" s="66">
        <f t="shared" ref="H20:Q20" si="0">SUM(H15:H19)</f>
        <v>27.772334679810882</v>
      </c>
      <c r="I20" s="66">
        <f t="shared" si="0"/>
        <v>28.107098400072108</v>
      </c>
      <c r="J20" s="66">
        <f t="shared" si="0"/>
        <v>27.908851426761125</v>
      </c>
      <c r="K20" s="66">
        <f t="shared" si="0"/>
        <v>27.072085078589932</v>
      </c>
      <c r="L20" s="66">
        <f t="shared" si="0"/>
        <v>28.408362700916307</v>
      </c>
      <c r="M20" s="66">
        <f t="shared" si="0"/>
        <v>27.856544642148265</v>
      </c>
      <c r="N20" s="66">
        <f t="shared" si="0"/>
        <v>28.190053958520426</v>
      </c>
      <c r="O20" s="66">
        <f t="shared" si="0"/>
        <v>28.344206434857739</v>
      </c>
      <c r="P20" s="66">
        <f t="shared" si="0"/>
        <v>29.284668925952712</v>
      </c>
      <c r="Q20" s="66">
        <f t="shared" si="0"/>
        <v>29.559246467332365</v>
      </c>
    </row>
    <row r="22" spans="5:17" ht="18">
      <c r="E22" s="54" t="s">
        <v>129</v>
      </c>
    </row>
    <row r="23" spans="5:17" ht="14.25" thickBot="1"/>
    <row r="24" spans="5:17" ht="18.75" thickBot="1">
      <c r="E24" s="21"/>
      <c r="F24" s="21"/>
      <c r="G24" s="21">
        <f t="shared" ref="G24:L24" si="1">G14</f>
        <v>2012</v>
      </c>
      <c r="H24" s="21">
        <f t="shared" si="1"/>
        <v>2013</v>
      </c>
      <c r="I24" s="21">
        <f t="shared" si="1"/>
        <v>2014</v>
      </c>
      <c r="J24" s="21">
        <f t="shared" si="1"/>
        <v>2015</v>
      </c>
      <c r="K24" s="21" t="str">
        <f t="shared" si="1"/>
        <v>2016(e)</v>
      </c>
      <c r="L24" s="21" t="str">
        <f t="shared" si="1"/>
        <v>2017(f)</v>
      </c>
    </row>
    <row r="25" spans="5:17" ht="18.75" thickBot="1">
      <c r="E25" s="55" t="str">
        <f>E20</f>
        <v>Total operating expenditure</v>
      </c>
      <c r="F25" s="55" t="str">
        <f>F15</f>
        <v>real 2017 m</v>
      </c>
      <c r="G25" s="66">
        <f>G20</f>
        <v>29.224566207938707</v>
      </c>
      <c r="H25" s="66">
        <f t="shared" ref="H25:K25" si="2">H20</f>
        <v>27.772334679810882</v>
      </c>
      <c r="I25" s="66">
        <f t="shared" si="2"/>
        <v>28.107098400072108</v>
      </c>
      <c r="J25" s="66">
        <f t="shared" si="2"/>
        <v>27.908851426761125</v>
      </c>
      <c r="K25" s="66">
        <f t="shared" si="2"/>
        <v>27.072085078589932</v>
      </c>
      <c r="L25" s="66">
        <f t="shared" ref="L25" si="3">L20</f>
        <v>28.408362700916307</v>
      </c>
    </row>
    <row r="26" spans="5:17" ht="18.75" thickBot="1">
      <c r="E26" s="55" t="str">
        <f>E18</f>
        <v xml:space="preserve">Corporate overheads costs </v>
      </c>
      <c r="F26" s="55" t="str">
        <f>F25</f>
        <v>real 2017 m</v>
      </c>
      <c r="G26" s="66">
        <f>G18</f>
        <v>13.252252559297855</v>
      </c>
      <c r="H26" s="66">
        <f t="shared" ref="H26:K26" si="4">H18</f>
        <v>8.7186158232535025</v>
      </c>
      <c r="I26" s="66">
        <f t="shared" si="4"/>
        <v>9.4195733141326237</v>
      </c>
      <c r="J26" s="66">
        <f t="shared" si="4"/>
        <v>7.7175998585324779</v>
      </c>
      <c r="K26" s="66">
        <f t="shared" si="4"/>
        <v>6.4360527326499408</v>
      </c>
      <c r="L26" s="66">
        <f t="shared" ref="L26" si="5">L18</f>
        <v>6.754776941770273</v>
      </c>
    </row>
    <row r="27" spans="5:17" ht="18.75" thickBot="1">
      <c r="E27" s="55" t="s">
        <v>74</v>
      </c>
      <c r="F27" s="55" t="str">
        <f>F26</f>
        <v>real 2017 m</v>
      </c>
      <c r="G27" s="66">
        <f>G25-G26</f>
        <v>15.972313648640853</v>
      </c>
      <c r="H27" s="66">
        <f t="shared" ref="H27:K27" si="6">H25-H26</f>
        <v>19.053718856557381</v>
      </c>
      <c r="I27" s="66">
        <f t="shared" si="6"/>
        <v>18.687525085939484</v>
      </c>
      <c r="J27" s="66">
        <f t="shared" si="6"/>
        <v>20.191251568228648</v>
      </c>
      <c r="K27" s="66">
        <f t="shared" si="6"/>
        <v>20.636032345939991</v>
      </c>
      <c r="L27" s="66">
        <f t="shared" ref="L27" si="7">L25-L26</f>
        <v>21.653585759146033</v>
      </c>
    </row>
    <row r="29" spans="5:17" ht="18">
      <c r="E29" s="54" t="s">
        <v>171</v>
      </c>
    </row>
    <row r="30" spans="5:17" ht="14.25" thickBot="1"/>
    <row r="31" spans="5:17" ht="18.75" thickBot="1">
      <c r="E31" s="21"/>
      <c r="F31" s="21"/>
      <c r="G31" s="24">
        <f>H$14</f>
        <v>2013</v>
      </c>
      <c r="H31" s="24">
        <f>I$14</f>
        <v>2014</v>
      </c>
      <c r="I31" s="24">
        <f>J$14</f>
        <v>2015</v>
      </c>
      <c r="J31" s="24" t="str">
        <f>K$14</f>
        <v>2016(e)</v>
      </c>
      <c r="K31" s="24" t="str">
        <f>L$14</f>
        <v>2017(f)</v>
      </c>
      <c r="L31" s="24" t="s">
        <v>2</v>
      </c>
      <c r="N31" s="2"/>
    </row>
    <row r="32" spans="5:17" ht="18.75" thickBot="1">
      <c r="E32" s="22" t="s">
        <v>135</v>
      </c>
      <c r="F32" s="22" t="s">
        <v>130</v>
      </c>
      <c r="G32" s="67">
        <f>'Input│ Historic Opex'!E105</f>
        <v>15.105951219512198</v>
      </c>
      <c r="H32" s="67">
        <f>'Input│ Historic Opex'!F105</f>
        <v>30.281062795954792</v>
      </c>
      <c r="I32" s="67">
        <f>'Input│ Historic Opex'!G105</f>
        <v>32.113756339925423</v>
      </c>
      <c r="J32" s="67">
        <f>'Input│ Historic Opex'!H105</f>
        <v>33.665292685827573</v>
      </c>
      <c r="K32" s="67">
        <f>'Input│ Historic Opex'!I105</f>
        <v>33.946335518887111</v>
      </c>
      <c r="L32" s="67">
        <f>SUM(G32:K32)</f>
        <v>145.1123985601071</v>
      </c>
      <c r="N32" s="2"/>
    </row>
    <row r="33" spans="5:14" ht="18.75" thickBot="1">
      <c r="E33" s="22" t="s">
        <v>134</v>
      </c>
      <c r="F33" s="22" t="s">
        <v>130</v>
      </c>
      <c r="G33" s="67">
        <f>('Input│ Historic Opex'!E17+'Input│ Historic Opex'!E38)/2000000</f>
        <v>12.842743157999998</v>
      </c>
      <c r="H33" s="67">
        <f>('Input│ Historic Opex'!F17+'Input│ Historic Opex'!F38)/1000000</f>
        <v>26.618977757999996</v>
      </c>
      <c r="I33" s="67">
        <f>('Input│ Historic Opex'!G17+'Input│ Historic Opex'!G38)/1000000</f>
        <v>27.224163709468009</v>
      </c>
      <c r="J33" s="67">
        <f>('Input│ Historic Opex'!H17+'Input│ Historic Opex'!H38)/1000000</f>
        <v>26.80404463226726</v>
      </c>
      <c r="K33" s="67">
        <f>('Input│ Historic Opex'!I38+Calc│Forecast!D42)/1000000</f>
        <v>28.408362700916307</v>
      </c>
      <c r="L33" s="67">
        <f>SUM(G33:K33)</f>
        <v>121.89829195865155</v>
      </c>
      <c r="N33" s="2"/>
    </row>
    <row r="34" spans="5:14" ht="18.75" thickBot="1">
      <c r="E34" s="22" t="s">
        <v>97</v>
      </c>
      <c r="F34" s="22" t="s">
        <v>130</v>
      </c>
      <c r="G34" s="67">
        <f t="shared" ref="G34:L34" si="8">G32-G33</f>
        <v>2.2632080615122003</v>
      </c>
      <c r="H34" s="67">
        <f t="shared" si="8"/>
        <v>3.662085037954796</v>
      </c>
      <c r="I34" s="67">
        <f t="shared" si="8"/>
        <v>4.8895926304574147</v>
      </c>
      <c r="J34" s="67">
        <f t="shared" si="8"/>
        <v>6.8612480535603133</v>
      </c>
      <c r="K34" s="67">
        <f t="shared" si="8"/>
        <v>5.5379728179708039</v>
      </c>
      <c r="L34" s="67">
        <f t="shared" si="8"/>
        <v>23.214106601455541</v>
      </c>
      <c r="N34" s="2"/>
    </row>
    <row r="36" spans="5:14" ht="18">
      <c r="E36" s="9" t="s">
        <v>171</v>
      </c>
    </row>
    <row r="37" spans="5:14" ht="14.25" thickBot="1"/>
    <row r="38" spans="5:14" ht="18.75" thickBot="1">
      <c r="E38" s="21"/>
      <c r="F38" s="21"/>
      <c r="G38" s="21">
        <f>H14</f>
        <v>2013</v>
      </c>
      <c r="H38" s="21">
        <f t="shared" ref="H38:L38" si="9">H31</f>
        <v>2014</v>
      </c>
      <c r="I38" s="21">
        <f t="shared" si="9"/>
        <v>2015</v>
      </c>
      <c r="J38" s="21" t="str">
        <f t="shared" si="9"/>
        <v>2016(e)</v>
      </c>
      <c r="K38" s="21" t="str">
        <f t="shared" si="9"/>
        <v>2017(f)</v>
      </c>
      <c r="L38" s="21" t="str">
        <f t="shared" si="9"/>
        <v>Total</v>
      </c>
    </row>
    <row r="39" spans="5:14" ht="18.75" thickBot="1">
      <c r="E39" s="22" t="str">
        <f>E32</f>
        <v>AER forecast</v>
      </c>
      <c r="F39" s="22" t="str">
        <f>F32</f>
        <v>nominal $m</v>
      </c>
      <c r="G39" s="23">
        <f>G32*2</f>
        <v>30.211902439024396</v>
      </c>
      <c r="H39" s="23">
        <f>H32</f>
        <v>30.281062795954792</v>
      </c>
      <c r="I39" s="23">
        <f t="shared" ref="I39:K39" si="10">I32</f>
        <v>32.113756339925423</v>
      </c>
      <c r="J39" s="23">
        <f t="shared" si="10"/>
        <v>33.665292685827573</v>
      </c>
      <c r="K39" s="23">
        <f t="shared" si="10"/>
        <v>33.946335518887111</v>
      </c>
      <c r="L39" s="23">
        <f>SUM(G39:K39)</f>
        <v>160.2183497796193</v>
      </c>
    </row>
    <row r="40" spans="5:14" ht="18.75" thickBot="1">
      <c r="E40" s="22" t="str">
        <f t="shared" ref="E40:F41" si="11">E33</f>
        <v>APA VTS actual expenditure</v>
      </c>
      <c r="F40" s="22" t="str">
        <f t="shared" si="11"/>
        <v>nominal $m</v>
      </c>
      <c r="G40" s="23">
        <f>G33*2</f>
        <v>25.685486315999995</v>
      </c>
      <c r="H40" s="23">
        <f t="shared" ref="H40:K40" si="12">H33</f>
        <v>26.618977757999996</v>
      </c>
      <c r="I40" s="23">
        <f t="shared" si="12"/>
        <v>27.224163709468009</v>
      </c>
      <c r="J40" s="23">
        <f t="shared" si="12"/>
        <v>26.80404463226726</v>
      </c>
      <c r="K40" s="23">
        <f t="shared" si="12"/>
        <v>28.408362700916307</v>
      </c>
      <c r="L40" s="23">
        <f t="shared" ref="L40:L41" si="13">SUM(G40:K40)</f>
        <v>134.74103511665157</v>
      </c>
    </row>
    <row r="41" spans="5:14" ht="18.75" thickBot="1">
      <c r="E41" s="22" t="str">
        <f t="shared" si="11"/>
        <v>Difference</v>
      </c>
      <c r="F41" s="22" t="str">
        <f t="shared" si="11"/>
        <v>nominal $m</v>
      </c>
      <c r="G41" s="23">
        <f>G39-G40</f>
        <v>4.5264161230244007</v>
      </c>
      <c r="H41" s="23">
        <f t="shared" ref="H41:K41" si="14">H39-H40</f>
        <v>3.662085037954796</v>
      </c>
      <c r="I41" s="23">
        <f t="shared" si="14"/>
        <v>4.8895926304574147</v>
      </c>
      <c r="J41" s="23">
        <f t="shared" si="14"/>
        <v>6.8612480535603133</v>
      </c>
      <c r="K41" s="23">
        <f t="shared" si="14"/>
        <v>5.5379728179708039</v>
      </c>
      <c r="L41" s="23">
        <f t="shared" si="13"/>
        <v>25.477314662967729</v>
      </c>
    </row>
    <row r="44" spans="5:14" ht="18">
      <c r="E44" s="9" t="s">
        <v>133</v>
      </c>
    </row>
    <row r="45" spans="5:14" ht="14.25" thickBot="1"/>
    <row r="46" spans="5:14" ht="18.75" thickBot="1">
      <c r="E46" s="21"/>
      <c r="F46" s="21"/>
      <c r="G46" s="24">
        <f>H$14</f>
        <v>2013</v>
      </c>
      <c r="H46" s="24">
        <f>I$14</f>
        <v>2014</v>
      </c>
      <c r="I46" s="24">
        <f>J$14</f>
        <v>2015</v>
      </c>
      <c r="J46" s="24" t="str">
        <f>K$14</f>
        <v>2016(e)</v>
      </c>
    </row>
    <row r="47" spans="5:14" ht="18.75" thickBot="1">
      <c r="E47" s="22" t="s">
        <v>131</v>
      </c>
      <c r="F47" s="22"/>
      <c r="G47" s="69">
        <f>'Input│ Historic Opex'!E31/1000</f>
        <v>1312.2458557818766</v>
      </c>
      <c r="H47" s="69">
        <f>'Input│ Historic Opex'!F31/1000</f>
        <v>893.57397740294948</v>
      </c>
      <c r="I47" s="69">
        <f>'Input│ Historic Opex'!G31/1000</f>
        <v>876.35919079624989</v>
      </c>
      <c r="J47" s="69">
        <f>'Input│ Historic Opex'!H31/1000</f>
        <v>654.86359497000001</v>
      </c>
    </row>
    <row r="49" spans="5:11" ht="18">
      <c r="E49" s="54" t="s">
        <v>132</v>
      </c>
    </row>
    <row r="50" spans="5:11" ht="14.25" thickBot="1"/>
    <row r="51" spans="5:11" ht="18.75" thickBot="1">
      <c r="E51" s="21"/>
      <c r="F51" s="24">
        <f>G$14</f>
        <v>2012</v>
      </c>
      <c r="G51" s="24">
        <f>H$14</f>
        <v>2013</v>
      </c>
      <c r="H51" s="24">
        <f>I$14</f>
        <v>2014</v>
      </c>
      <c r="I51" s="24">
        <f>J$14</f>
        <v>2015</v>
      </c>
      <c r="J51" s="24" t="str">
        <f>K$14</f>
        <v>2016(e)</v>
      </c>
    </row>
    <row r="52" spans="5:11" ht="18.75" thickBot="1">
      <c r="E52" s="22" t="s">
        <v>102</v>
      </c>
      <c r="F52" s="67">
        <f>'Input│ Historic Opex'!D16/1000000</f>
        <v>12.111128000000001</v>
      </c>
      <c r="G52" s="67">
        <f>'Input│ Historic Opex'!E16/1000000</f>
        <v>8.0634879999999995</v>
      </c>
      <c r="H52" s="67">
        <f>'Input│ Historic Opex'!F16/1000000</f>
        <v>8.9208572499999992</v>
      </c>
      <c r="I52" s="67">
        <f>'Input│ Historic Opex'!G16/1000000</f>
        <v>7.5282640184680085</v>
      </c>
      <c r="J52" s="67">
        <f>'Input│ Historic Opex'!H16/1000000</f>
        <v>6.3723294382672684</v>
      </c>
    </row>
    <row r="54" spans="5:11" ht="18">
      <c r="E54" s="54" t="s">
        <v>197</v>
      </c>
    </row>
    <row r="55" spans="5:11" ht="14.25" thickBot="1"/>
    <row r="56" spans="5:11" ht="18.75" thickBot="1">
      <c r="E56" s="21"/>
      <c r="F56" s="24">
        <f>M$14</f>
        <v>2018</v>
      </c>
      <c r="G56" s="24">
        <f t="shared" ref="G56" si="15">N$14</f>
        <v>2019</v>
      </c>
      <c r="H56" s="24">
        <f t="shared" ref="H56" si="16">O$14</f>
        <v>2020</v>
      </c>
      <c r="I56" s="24">
        <f t="shared" ref="I56" si="17">P$14</f>
        <v>2021</v>
      </c>
      <c r="J56" s="24">
        <f t="shared" ref="J56" si="18">Q$14</f>
        <v>2022</v>
      </c>
      <c r="K56" s="24" t="s">
        <v>2</v>
      </c>
    </row>
    <row r="57" spans="5:11" ht="18.75" thickBot="1">
      <c r="E57" s="22" t="s">
        <v>89</v>
      </c>
      <c r="F57" s="69">
        <f>Calc│Forecast!E39/1000</f>
        <v>158.30067559497618</v>
      </c>
      <c r="G57" s="69">
        <f>Calc│Forecast!F39/1000</f>
        <v>158.30067559497618</v>
      </c>
      <c r="H57" s="69">
        <f>Calc│Forecast!G39/1000</f>
        <v>158.30067559497618</v>
      </c>
      <c r="I57" s="69">
        <f>Calc│Forecast!H39/1000</f>
        <v>158.30067559497618</v>
      </c>
      <c r="J57" s="69">
        <f>Calc│Forecast!I39/1000</f>
        <v>158.30067559497618</v>
      </c>
      <c r="K57" s="69">
        <f>SUM(F57:J57)</f>
        <v>791.50337797488089</v>
      </c>
    </row>
    <row r="59" spans="5:11" ht="18">
      <c r="E59" s="9" t="s">
        <v>123</v>
      </c>
    </row>
    <row r="60" spans="5:11" ht="14.25" thickBot="1"/>
    <row r="61" spans="5:11" ht="18.75" thickBot="1">
      <c r="E61" s="21"/>
      <c r="F61" s="24">
        <f>M$14</f>
        <v>2018</v>
      </c>
      <c r="G61" s="24">
        <f t="shared" ref="G61:J61" si="19">N$14</f>
        <v>2019</v>
      </c>
      <c r="H61" s="24">
        <f t="shared" si="19"/>
        <v>2020</v>
      </c>
      <c r="I61" s="24">
        <f t="shared" si="19"/>
        <v>2021</v>
      </c>
      <c r="J61" s="24">
        <f t="shared" si="19"/>
        <v>2022</v>
      </c>
      <c r="K61" s="24" t="s">
        <v>2</v>
      </c>
    </row>
    <row r="62" spans="5:11" ht="18.75" thickBot="1">
      <c r="E62" s="22" t="str">
        <f>'Input│ Historic Opex'!A59</f>
        <v>Warragul</v>
      </c>
      <c r="F62" s="69">
        <f>'Input│ Historic Opex'!D59/1000</f>
        <v>0</v>
      </c>
      <c r="G62" s="69">
        <f>'Input│ Historic Opex'!E59/1000</f>
        <v>0</v>
      </c>
      <c r="H62" s="69">
        <f>'Input│ Historic Opex'!F59/1000</f>
        <v>0</v>
      </c>
      <c r="I62" s="69">
        <f>'Input│ Historic Opex'!G59/1000</f>
        <v>20.624200000000002</v>
      </c>
      <c r="J62" s="69">
        <f>'Input│ Historic Opex'!H59/1000</f>
        <v>20.624200000000002</v>
      </c>
      <c r="K62" s="69">
        <f>SUM(F62:J62)</f>
        <v>41.248400000000004</v>
      </c>
    </row>
    <row r="63" spans="5:11" ht="18.75" thickBot="1">
      <c r="E63" s="22" t="str">
        <f>'Input│ Historic Opex'!A60</f>
        <v>Anglesea</v>
      </c>
      <c r="F63" s="69">
        <f>'Input│ Historic Opex'!D60/1000</f>
        <v>0</v>
      </c>
      <c r="G63" s="69">
        <f>'Input│ Historic Opex'!E60/1000</f>
        <v>89.600707142857132</v>
      </c>
      <c r="H63" s="69">
        <f>'Input│ Historic Opex'!F60/1000</f>
        <v>89.600707142857132</v>
      </c>
      <c r="I63" s="69">
        <f>'Input│ Historic Opex'!G60/1000</f>
        <v>89.600707142857132</v>
      </c>
      <c r="J63" s="69">
        <f>'Input│ Historic Opex'!H60/1000</f>
        <v>89.600707142857132</v>
      </c>
      <c r="K63" s="69">
        <f t="shared" ref="K63:K65" si="20">SUM(F63:J63)</f>
        <v>358.40282857142853</v>
      </c>
    </row>
    <row r="64" spans="5:11" ht="18.75" thickBot="1">
      <c r="E64" s="22" t="str">
        <f>'Input│ Historic Opex'!A61</f>
        <v>VNIE</v>
      </c>
      <c r="F64" s="69">
        <f>'Input│ Historic Opex'!D61/1000</f>
        <v>276.10117500000001</v>
      </c>
      <c r="G64" s="69">
        <f>'Input│ Historic Opex'!E61/1000</f>
        <v>276.10117500000001</v>
      </c>
      <c r="H64" s="69">
        <f>'Input│ Historic Opex'!F61/1000</f>
        <v>276.10117500000001</v>
      </c>
      <c r="I64" s="69">
        <f>'Input│ Historic Opex'!G61/1000</f>
        <v>276.10117500000001</v>
      </c>
      <c r="J64" s="69">
        <f>'Input│ Historic Opex'!H61/1000</f>
        <v>276.10117500000001</v>
      </c>
      <c r="K64" s="69">
        <f t="shared" si="20"/>
        <v>1380.5058750000001</v>
      </c>
    </row>
    <row r="65" spans="1:11" ht="18.75" thickBot="1">
      <c r="E65" s="22" t="str">
        <f>'Input│ Historic Opex'!A62</f>
        <v>WORM Easement</v>
      </c>
      <c r="F65" s="69">
        <f>'Input│ Historic Opex'!D62/1000</f>
        <v>0</v>
      </c>
      <c r="G65" s="69">
        <f>'Input│ Historic Opex'!E62/1000</f>
        <v>0</v>
      </c>
      <c r="H65" s="69">
        <f>'Input│ Historic Opex'!F62/1000</f>
        <v>0</v>
      </c>
      <c r="I65" s="69">
        <f>'Input│ Historic Opex'!G62/1000</f>
        <v>25.25</v>
      </c>
      <c r="J65" s="69">
        <f>'Input│ Historic Opex'!H62/1000</f>
        <v>25.25</v>
      </c>
      <c r="K65" s="69">
        <f t="shared" si="20"/>
        <v>50.5</v>
      </c>
    </row>
    <row r="66" spans="1:11" ht="18.75" thickBot="1">
      <c r="E66" s="68" t="str">
        <f>'Input│ Historic Opex'!A63</f>
        <v>Total</v>
      </c>
      <c r="F66" s="70">
        <f>SUM(F62:F65)</f>
        <v>276.10117500000001</v>
      </c>
      <c r="G66" s="70">
        <f t="shared" ref="G66:J66" si="21">SUM(G62:G65)</f>
        <v>365.70188214285713</v>
      </c>
      <c r="H66" s="70">
        <f t="shared" si="21"/>
        <v>365.70188214285713</v>
      </c>
      <c r="I66" s="70">
        <f t="shared" si="21"/>
        <v>411.57608214285716</v>
      </c>
      <c r="J66" s="70">
        <f t="shared" si="21"/>
        <v>411.57608214285716</v>
      </c>
      <c r="K66" s="70">
        <f>SUM(K62:K65)</f>
        <v>1830.6571035714287</v>
      </c>
    </row>
    <row r="68" spans="1:11" ht="18">
      <c r="E68" s="9" t="s">
        <v>195</v>
      </c>
    </row>
    <row r="69" spans="1:11" ht="14.25" thickBot="1"/>
    <row r="70" spans="1:11" ht="18.75" thickBot="1">
      <c r="E70" s="21"/>
      <c r="F70" s="24">
        <f>M$14</f>
        <v>2018</v>
      </c>
      <c r="G70" s="24">
        <f t="shared" ref="G70" si="22">N$14</f>
        <v>2019</v>
      </c>
      <c r="H70" s="24">
        <f t="shared" ref="H70" si="23">O$14</f>
        <v>2020</v>
      </c>
      <c r="I70" s="24">
        <f t="shared" ref="I70" si="24">P$14</f>
        <v>2021</v>
      </c>
      <c r="J70" s="24">
        <f t="shared" ref="J70" si="25">Q$14</f>
        <v>2022</v>
      </c>
      <c r="K70" s="24" t="s">
        <v>2</v>
      </c>
    </row>
    <row r="71" spans="1:11" ht="18.75" thickBot="1">
      <c r="A71" s="3" t="s">
        <v>194</v>
      </c>
      <c r="E71" s="22" t="s">
        <v>196</v>
      </c>
      <c r="F71" s="69">
        <f>Calc│Forecast!E32/1000</f>
        <v>0</v>
      </c>
      <c r="G71" s="69">
        <f>Calc│Forecast!F32/1000</f>
        <v>0</v>
      </c>
      <c r="H71" s="69">
        <f>Calc│Forecast!G32/1000</f>
        <v>0</v>
      </c>
      <c r="I71" s="69">
        <f>Calc│Forecast!H32/1000</f>
        <v>787.35205690894168</v>
      </c>
      <c r="J71" s="69">
        <f>Calc│Forecast!I32/1000</f>
        <v>978.30946673139761</v>
      </c>
      <c r="K71" s="69">
        <f>SUM(F71:J71)</f>
        <v>1765.6615236403393</v>
      </c>
    </row>
    <row r="72" spans="1:11" ht="18.75" thickBot="1">
      <c r="E72" s="22"/>
      <c r="F72" s="69"/>
      <c r="G72" s="69"/>
      <c r="H72" s="69"/>
      <c r="I72" s="69"/>
      <c r="J72" s="69"/>
      <c r="K72" s="69"/>
    </row>
    <row r="73" spans="1:11" ht="18">
      <c r="E73" s="9" t="s">
        <v>124</v>
      </c>
    </row>
    <row r="74" spans="1:11" ht="14.25" thickBot="1"/>
    <row r="75" spans="1:11" ht="18.75" thickBot="1">
      <c r="E75" s="21"/>
      <c r="F75" s="24">
        <f>F61</f>
        <v>2018</v>
      </c>
      <c r="G75" s="24">
        <f t="shared" ref="G75:J75" si="26">G61</f>
        <v>2019</v>
      </c>
      <c r="H75" s="24">
        <f t="shared" si="26"/>
        <v>2020</v>
      </c>
      <c r="I75" s="24">
        <f t="shared" si="26"/>
        <v>2021</v>
      </c>
      <c r="J75" s="24">
        <f t="shared" si="26"/>
        <v>2022</v>
      </c>
      <c r="K75" s="24" t="s">
        <v>2</v>
      </c>
    </row>
    <row r="76" spans="1:11" ht="18.75" thickBot="1">
      <c r="E76" s="22" t="s">
        <v>122</v>
      </c>
      <c r="F76" s="67">
        <f>M20</f>
        <v>27.856544642148265</v>
      </c>
      <c r="G76" s="67">
        <f t="shared" ref="G76:J76" si="27">N20</f>
        <v>28.190053958520426</v>
      </c>
      <c r="H76" s="67">
        <f t="shared" si="27"/>
        <v>28.344206434857739</v>
      </c>
      <c r="I76" s="67">
        <f t="shared" si="27"/>
        <v>29.284668925952712</v>
      </c>
      <c r="J76" s="67">
        <f t="shared" si="27"/>
        <v>29.559246467332365</v>
      </c>
      <c r="K76" s="67">
        <f>SUM(F76:J76)</f>
        <v>143.2347204288115</v>
      </c>
    </row>
    <row r="78" spans="1:11" ht="18">
      <c r="E78" s="9" t="s">
        <v>207</v>
      </c>
    </row>
    <row r="79" spans="1:11" ht="14.25" thickBot="1"/>
    <row r="80" spans="1:11" ht="18.75" thickBot="1">
      <c r="E80" s="21"/>
      <c r="F80" s="24">
        <f>F75</f>
        <v>2018</v>
      </c>
      <c r="G80" s="24">
        <f t="shared" ref="G80:J80" si="28">G75</f>
        <v>2019</v>
      </c>
      <c r="H80" s="24">
        <f t="shared" si="28"/>
        <v>2020</v>
      </c>
      <c r="I80" s="24">
        <f t="shared" si="28"/>
        <v>2021</v>
      </c>
      <c r="J80" s="24">
        <f t="shared" si="28"/>
        <v>2022</v>
      </c>
      <c r="K80" s="24" t="s">
        <v>2</v>
      </c>
    </row>
    <row r="81" spans="5:11" ht="18.75" thickBot="1">
      <c r="E81" s="22" t="s">
        <v>184</v>
      </c>
      <c r="F81" s="67">
        <f>F76-F84</f>
        <v>25.501959409184909</v>
      </c>
      <c r="G81" s="67">
        <f t="shared" ref="G81:J81" si="29">G76-G84</f>
        <v>25.74195034929112</v>
      </c>
      <c r="H81" s="67">
        <f t="shared" si="29"/>
        <v>25.835468725557071</v>
      </c>
      <c r="I81" s="67">
        <f t="shared" si="29"/>
        <v>26.729329082537376</v>
      </c>
      <c r="J81" s="67">
        <f t="shared" si="29"/>
        <v>26.966888626474496</v>
      </c>
      <c r="K81" s="67">
        <f>SUM(F81:J81)</f>
        <v>130.77559619304498</v>
      </c>
    </row>
    <row r="82" spans="5:11" ht="18.75" thickBot="1">
      <c r="E82" s="22" t="s">
        <v>25</v>
      </c>
      <c r="F82" s="67">
        <f>Outputs│PTRM!G24</f>
        <v>6.0438651248016638E-2</v>
      </c>
      <c r="G82" s="67">
        <f>Outputs│PTRM!H24</f>
        <v>6.2301803549242599E-2</v>
      </c>
      <c r="H82" s="67">
        <f>Outputs│PTRM!I24</f>
        <v>6.2431633806532792E-2</v>
      </c>
      <c r="I82" s="67">
        <f>Outputs│PTRM!J24</f>
        <v>6.1523399882897331E-2</v>
      </c>
      <c r="J82" s="67">
        <f>Outputs│PTRM!K24</f>
        <v>6.0163414318024931E-2</v>
      </c>
      <c r="K82" s="67">
        <f t="shared" ref="K82:K85" si="30">SUM(F82:J82)</f>
        <v>0.30685890280471428</v>
      </c>
    </row>
    <row r="83" spans="5:11" ht="18.75" thickBot="1">
      <c r="E83" s="22" t="s">
        <v>185</v>
      </c>
      <c r="F83" s="67">
        <f>Calc│EBSS!Q79</f>
        <v>8.4291508154509796</v>
      </c>
      <c r="G83" s="67">
        <f>Calc│EBSS!R79</f>
        <v>4.609412682103625</v>
      </c>
      <c r="H83" s="67">
        <f>Calc│EBSS!S79</f>
        <v>3.5139834744814848</v>
      </c>
      <c r="I83" s="67">
        <f>Calc│EBSS!T79</f>
        <v>2.0960709974093992</v>
      </c>
      <c r="J83" s="67">
        <f>Calc│EBSS!U79</f>
        <v>0</v>
      </c>
      <c r="K83" s="67">
        <f t="shared" si="30"/>
        <v>18.648617969445489</v>
      </c>
    </row>
    <row r="84" spans="5:11" ht="18.75" thickBot="1">
      <c r="E84" s="22" t="s">
        <v>167</v>
      </c>
      <c r="F84" s="67">
        <f>Calc│Forecast!E31/1000000</f>
        <v>2.354585232963355</v>
      </c>
      <c r="G84" s="67">
        <f>Calc│Forecast!F31/1000000</f>
        <v>2.4481036092293071</v>
      </c>
      <c r="H84" s="67">
        <f>Calc│Forecast!G31/1000000</f>
        <v>2.5087377093006671</v>
      </c>
      <c r="I84" s="67">
        <f>Calc│Forecast!H31/1000000</f>
        <v>2.5553398434153345</v>
      </c>
      <c r="J84" s="67">
        <f>Calc│Forecast!I31/1000000</f>
        <v>2.5923578408578676</v>
      </c>
      <c r="K84" s="67">
        <f t="shared" si="30"/>
        <v>12.459124235766531</v>
      </c>
    </row>
    <row r="85" spans="5:11" ht="18.75" thickBot="1">
      <c r="E85" s="22" t="s">
        <v>2</v>
      </c>
      <c r="F85" s="67">
        <f>SUM(F81:F84)</f>
        <v>36.346134108847259</v>
      </c>
      <c r="G85" s="67">
        <f t="shared" ref="G85:J85" si="31">SUM(G81:G84)</f>
        <v>32.861768444173293</v>
      </c>
      <c r="H85" s="67">
        <f t="shared" si="31"/>
        <v>31.920621543145757</v>
      </c>
      <c r="I85" s="67">
        <f t="shared" si="31"/>
        <v>31.442263323245008</v>
      </c>
      <c r="J85" s="67">
        <f t="shared" si="31"/>
        <v>29.619409881650391</v>
      </c>
      <c r="K85" s="67">
        <f t="shared" si="30"/>
        <v>162.19019730106172</v>
      </c>
    </row>
    <row r="87" spans="5:11" ht="18">
      <c r="E87" s="9" t="s">
        <v>209</v>
      </c>
    </row>
    <row r="88" spans="5:11" ht="14.25" thickBot="1"/>
    <row r="89" spans="5:11" ht="18.75" thickBot="1">
      <c r="E89" s="21"/>
      <c r="F89" s="24">
        <f>F80</f>
        <v>2018</v>
      </c>
      <c r="G89" s="24">
        <f t="shared" ref="G89:J89" si="32">G80</f>
        <v>2019</v>
      </c>
      <c r="H89" s="24">
        <f t="shared" si="32"/>
        <v>2020</v>
      </c>
      <c r="I89" s="24">
        <f t="shared" si="32"/>
        <v>2021</v>
      </c>
      <c r="J89" s="24">
        <f t="shared" si="32"/>
        <v>2022</v>
      </c>
      <c r="K89" s="24" t="s">
        <v>2</v>
      </c>
    </row>
    <row r="90" spans="5:11" ht="18.75" thickBot="1">
      <c r="E90" s="22" t="s">
        <v>208</v>
      </c>
      <c r="F90" s="67">
        <f>F83</f>
        <v>8.4291508154509796</v>
      </c>
      <c r="G90" s="67">
        <f t="shared" ref="G90:J90" si="33">G83</f>
        <v>4.609412682103625</v>
      </c>
      <c r="H90" s="67">
        <f t="shared" si="33"/>
        <v>3.5139834744814848</v>
      </c>
      <c r="I90" s="67">
        <f t="shared" si="33"/>
        <v>2.0960709974093992</v>
      </c>
      <c r="J90" s="67">
        <f t="shared" si="33"/>
        <v>0</v>
      </c>
      <c r="K90" s="67">
        <f>SUM(F90:J90)</f>
        <v>18.648617969445489</v>
      </c>
    </row>
  </sheetData>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102E"/>
  </sheetPr>
  <dimension ref="A1:S97"/>
  <sheetViews>
    <sheetView topLeftCell="A85" zoomScale="85" zoomScaleNormal="85" workbookViewId="0">
      <selection activeCell="E130" sqref="E130"/>
    </sheetView>
  </sheetViews>
  <sheetFormatPr defaultColWidth="9" defaultRowHeight="13.5"/>
  <cols>
    <col min="1" max="1" width="1.453125" style="3" customWidth="1"/>
    <col min="2" max="2" width="1.08984375" style="3" customWidth="1"/>
    <col min="3" max="4" width="1.1796875" style="3" customWidth="1"/>
    <col min="5" max="5" width="50.08984375" style="3" bestFit="1" customWidth="1"/>
    <col min="6" max="6" width="10.36328125" style="3" bestFit="1" customWidth="1"/>
    <col min="7" max="7" width="13.1796875" style="3" bestFit="1" customWidth="1"/>
    <col min="8" max="8" width="9" style="3"/>
    <col min="9" max="9" width="9" style="2"/>
    <col min="10" max="10" width="10.54296875" style="2" customWidth="1"/>
    <col min="11" max="12" width="9" style="2"/>
    <col min="13" max="13" width="9.90625" style="2" customWidth="1"/>
    <col min="14" max="16384" width="9" style="2"/>
  </cols>
  <sheetData>
    <row r="1" spans="1:19" s="3" customFormat="1"/>
    <row r="2" spans="1:19" s="3" customFormat="1"/>
    <row r="3" spans="1:19" s="3" customFormat="1"/>
    <row r="4" spans="1:19" s="3" customFormat="1"/>
    <row r="5" spans="1:19" s="3" customFormat="1"/>
    <row r="6" spans="1:19" s="3" customFormat="1"/>
    <row r="7" spans="1:19" s="3" customFormat="1"/>
    <row r="8" spans="1:19" s="3" customFormat="1"/>
    <row r="9" spans="1:19" s="3" customFormat="1"/>
    <row r="10" spans="1:19" s="4" customFormat="1" ht="22.5">
      <c r="A10" s="53" t="str">
        <f ca="1">RIGHT(CELL("filename",A1),LEN(CELL("filename",A1))-FIND("]",CELL("filename",A1)))</f>
        <v>Outputs│Graphs</v>
      </c>
      <c r="B10" s="3"/>
      <c r="C10" s="3"/>
      <c r="D10" s="3"/>
      <c r="E10" s="3"/>
      <c r="F10" s="3"/>
      <c r="G10" s="3"/>
      <c r="H10" s="3"/>
    </row>
    <row r="12" spans="1:19" ht="18">
      <c r="E12" s="54" t="s">
        <v>99</v>
      </c>
    </row>
    <row r="14" spans="1:19" ht="18">
      <c r="I14" s="9" t="s">
        <v>90</v>
      </c>
      <c r="J14" s="48">
        <f>Outputs│Tables!H14</f>
        <v>2013</v>
      </c>
      <c r="K14" s="48">
        <f>Outputs│Tables!I14</f>
        <v>2014</v>
      </c>
      <c r="L14" s="48">
        <f>Outputs│Tables!J14</f>
        <v>2015</v>
      </c>
      <c r="M14" s="48" t="str">
        <f>Outputs│Tables!K14</f>
        <v>2016(e)</v>
      </c>
      <c r="N14" s="48" t="str">
        <f>Outputs│Tables!L14</f>
        <v>2017(f)</v>
      </c>
      <c r="O14" s="48" t="str">
        <f>Outputs│Tables!M14 &amp; "(f)"</f>
        <v>2018(f)</v>
      </c>
      <c r="P14" s="60" t="str">
        <f>Outputs│Tables!N14 &amp; "(f)"</f>
        <v>2019(f)</v>
      </c>
      <c r="Q14" s="60" t="str">
        <f>Outputs│Tables!O14 &amp; "(f)"</f>
        <v>2020(f)</v>
      </c>
      <c r="R14" s="60" t="str">
        <f>Outputs│Tables!P14 &amp; "(f)"</f>
        <v>2021(f)</v>
      </c>
      <c r="S14" s="60" t="str">
        <f>Outputs│Tables!Q14 &amp; "(f)"</f>
        <v>2022(f)</v>
      </c>
    </row>
    <row r="15" spans="1:19">
      <c r="I15" s="2" t="s">
        <v>205</v>
      </c>
      <c r="J15" s="65">
        <f>Outputs│Tables!H20</f>
        <v>27.772334679810882</v>
      </c>
      <c r="K15" s="65">
        <f>Outputs│Tables!I20</f>
        <v>28.107098400072108</v>
      </c>
      <c r="L15" s="65">
        <f>Outputs│Tables!J20</f>
        <v>27.908851426761125</v>
      </c>
      <c r="M15" s="65">
        <f>Outputs│Tables!K20</f>
        <v>27.072085078589932</v>
      </c>
      <c r="N15" s="65">
        <f>Outputs│Tables!L20</f>
        <v>28.408362700916307</v>
      </c>
      <c r="O15" s="65">
        <f>Outputs│Tables!M20</f>
        <v>27.856544642148265</v>
      </c>
      <c r="P15" s="65">
        <f>Outputs│Tables!N20</f>
        <v>28.190053958520426</v>
      </c>
      <c r="Q15" s="65">
        <f>Outputs│Tables!O20</f>
        <v>28.344206434857739</v>
      </c>
      <c r="R15" s="65">
        <f>Outputs│Tables!P20</f>
        <v>29.284668925952712</v>
      </c>
      <c r="S15" s="65">
        <f>Outputs│Tables!Q20</f>
        <v>29.559246467332365</v>
      </c>
    </row>
    <row r="16" spans="1:19">
      <c r="I16" s="2" t="s">
        <v>202</v>
      </c>
      <c r="J16" s="65">
        <f>'Input│ Historic Opex'!E106*2</f>
        <v>32.666504948661078</v>
      </c>
      <c r="K16" s="65">
        <f>'Input│ Historic Opex'!F106</f>
        <v>31.973910471031243</v>
      </c>
      <c r="L16" s="65">
        <f>'Input│ Historic Opex'!G106</f>
        <v>32.921417311874542</v>
      </c>
      <c r="M16" s="65">
        <f>'Input│ Historic Opex'!H106</f>
        <v>34.001945612685851</v>
      </c>
      <c r="N16" s="65">
        <f>'Input│ Historic Opex'!I106</f>
        <v>33.946335518887111</v>
      </c>
    </row>
    <row r="17" spans="5:9">
      <c r="I17" s="2" t="s">
        <v>206</v>
      </c>
    </row>
    <row r="32" spans="5:9" ht="18">
      <c r="E32" s="9" t="s">
        <v>103</v>
      </c>
    </row>
    <row r="52" spans="5:5" ht="18">
      <c r="E52" s="9" t="s">
        <v>198</v>
      </c>
    </row>
    <row r="76" spans="5:5" ht="18">
      <c r="E76" s="9" t="s">
        <v>199</v>
      </c>
    </row>
    <row r="97" spans="5:5" ht="18">
      <c r="E97" s="9" t="s">
        <v>201</v>
      </c>
    </row>
  </sheetData>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102E"/>
  </sheetPr>
  <dimension ref="A1:M66"/>
  <sheetViews>
    <sheetView topLeftCell="B5" zoomScale="115" zoomScaleNormal="115" workbookViewId="0">
      <selection activeCell="E5" sqref="E5"/>
    </sheetView>
  </sheetViews>
  <sheetFormatPr defaultColWidth="9" defaultRowHeight="13.5"/>
  <cols>
    <col min="1" max="1" width="10.6328125" style="3" customWidth="1"/>
    <col min="2" max="2" width="23.54296875" style="3" customWidth="1"/>
    <col min="3" max="4" width="10.6328125" style="3" customWidth="1"/>
    <col min="5" max="5" width="11.6328125" style="3" customWidth="1"/>
    <col min="6" max="6" width="10.36328125" style="3" bestFit="1" customWidth="1"/>
    <col min="7" max="7" width="13.36328125" style="3" bestFit="1" customWidth="1"/>
    <col min="8" max="8" width="10.81640625" style="3" bestFit="1" customWidth="1"/>
    <col min="9" max="12" width="10.81640625" style="2" bestFit="1" customWidth="1"/>
    <col min="13" max="13" width="9.90625" style="2" customWidth="1"/>
    <col min="14" max="16384" width="9" style="2"/>
  </cols>
  <sheetData>
    <row r="1" spans="2:13" s="3" customFormat="1"/>
    <row r="2" spans="2:13" s="3" customFormat="1"/>
    <row r="3" spans="2:13" s="3" customFormat="1"/>
    <row r="4" spans="2:13" s="3" customFormat="1"/>
    <row r="5" spans="2:13" s="3" customFormat="1"/>
    <row r="6" spans="2:13" s="3" customFormat="1"/>
    <row r="7" spans="2:13" s="3" customFormat="1"/>
    <row r="8" spans="2:13" s="3" customFormat="1"/>
    <row r="9" spans="2:13" s="3" customFormat="1"/>
    <row r="10" spans="2:13" ht="22.5">
      <c r="B10" s="53" t="s">
        <v>136</v>
      </c>
      <c r="D10"/>
    </row>
    <row r="11" spans="2:13" ht="18">
      <c r="C11" s="102" t="s">
        <v>137</v>
      </c>
      <c r="D11" s="102"/>
      <c r="E11" s="102"/>
      <c r="F11" s="102" t="s">
        <v>228</v>
      </c>
      <c r="G11" s="102"/>
      <c r="H11" s="102"/>
      <c r="I11" s="102"/>
      <c r="J11" s="102"/>
      <c r="K11" s="102"/>
      <c r="L11" s="102"/>
      <c r="M11" s="9"/>
    </row>
    <row r="12" spans="2:13" ht="54">
      <c r="C12" s="77" t="s">
        <v>138</v>
      </c>
      <c r="D12" s="9">
        <v>2014</v>
      </c>
      <c r="E12" s="9">
        <v>2015</v>
      </c>
      <c r="F12" s="9">
        <v>2016</v>
      </c>
      <c r="G12" s="9">
        <v>2017</v>
      </c>
      <c r="H12" s="9" t="s">
        <v>219</v>
      </c>
      <c r="I12" s="9">
        <v>2019</v>
      </c>
      <c r="J12" s="9">
        <v>2020</v>
      </c>
      <c r="K12" s="9">
        <v>2021</v>
      </c>
      <c r="L12" s="9">
        <v>2022</v>
      </c>
      <c r="M12" s="9">
        <v>2023</v>
      </c>
    </row>
    <row r="13" spans="2:13" ht="18">
      <c r="B13" s="6" t="s">
        <v>139</v>
      </c>
      <c r="C13" s="6"/>
      <c r="D13" s="6"/>
      <c r="E13" s="6"/>
      <c r="F13" s="6"/>
      <c r="G13" s="26">
        <f>Calc│Forecast!D$42*'Input│ Historic Opex'!$H210</f>
        <v>11714777.134319423</v>
      </c>
      <c r="H13" s="26">
        <f>Calc│Forecast!E$42*'Input│ Historic Opex'!$H210</f>
        <v>11468082.57599791</v>
      </c>
      <c r="I13" s="26">
        <f>Calc│Forecast!F$42*'Input│ Historic Opex'!$H210</f>
        <v>11549947.387567561</v>
      </c>
      <c r="J13" s="26">
        <f>Calc│Forecast!G$42*'Input│ Historic Opex'!$H210</f>
        <v>11577054.333958045</v>
      </c>
      <c r="K13" s="26">
        <f>Calc│Forecast!H$42*'Input│ Historic Opex'!$H210</f>
        <v>11970388.464426462</v>
      </c>
      <c r="L13" s="26">
        <f>Calc│Forecast!I$42*'Input│ Historic Opex'!$H210</f>
        <v>12072306.644721178</v>
      </c>
      <c r="M13" s="7"/>
    </row>
    <row r="14" spans="2:13" ht="18">
      <c r="B14" s="6" t="s">
        <v>140</v>
      </c>
      <c r="C14" s="6"/>
      <c r="D14" s="6"/>
      <c r="E14" s="6"/>
      <c r="F14" s="6"/>
      <c r="G14" s="26">
        <f>Calc│Forecast!D$42*'Input│ Historic Opex'!$H211</f>
        <v>1262815.770493869</v>
      </c>
      <c r="H14" s="26">
        <f>Calc│Forecast!E$42*'Input│ Historic Opex'!$H211</f>
        <v>1236222.8805761621</v>
      </c>
      <c r="I14" s="26">
        <f>Calc│Forecast!F$42*'Input│ Historic Opex'!$H211</f>
        <v>1245047.6472715356</v>
      </c>
      <c r="J14" s="26">
        <f>Calc│Forecast!G$42*'Input│ Historic Opex'!$H211</f>
        <v>1247969.6900043462</v>
      </c>
      <c r="K14" s="26">
        <f>Calc│Forecast!H$42*'Input│ Historic Opex'!$H211</f>
        <v>1290369.8600915652</v>
      </c>
      <c r="L14" s="26">
        <f>Calc│Forecast!I$42*'Input│ Historic Opex'!$H211</f>
        <v>1301356.316248649</v>
      </c>
      <c r="M14" s="7"/>
    </row>
    <row r="15" spans="2:13" ht="18">
      <c r="B15" s="6" t="s">
        <v>141</v>
      </c>
      <c r="C15" s="6"/>
      <c r="D15" s="6"/>
      <c r="E15" s="6"/>
      <c r="F15" s="6"/>
      <c r="G15" s="26">
        <f>Calc│Forecast!D$42*'Input│ Historic Opex'!$H212</f>
        <v>2027104.9610184045</v>
      </c>
      <c r="H15" s="26">
        <f>Calc│Forecast!E$42*'Input│ Historic Opex'!$H212</f>
        <v>1984417.357379342</v>
      </c>
      <c r="I15" s="26">
        <f>Calc│Forecast!F$42*'Input│ Historic Opex'!$H212</f>
        <v>1998583.1040907768</v>
      </c>
      <c r="J15" s="26">
        <f>Calc│Forecast!G$42*'Input│ Historic Opex'!$H212</f>
        <v>2003273.6436440416</v>
      </c>
      <c r="K15" s="26">
        <f>Calc│Forecast!H$42*'Input│ Historic Opex'!$H212</f>
        <v>2071335.5075675594</v>
      </c>
      <c r="L15" s="26">
        <f>Calc│Forecast!I$42*'Input│ Historic Opex'!$H212</f>
        <v>2088971.254839963</v>
      </c>
      <c r="M15" s="7"/>
    </row>
    <row r="16" spans="2:13" ht="18">
      <c r="B16" s="6" t="s">
        <v>142</v>
      </c>
      <c r="C16" s="6"/>
      <c r="D16" s="6"/>
      <c r="E16" s="6"/>
      <c r="F16" s="6"/>
      <c r="G16" s="26">
        <f>Calc│Forecast!D$42*'Input│ Historic Opex'!$H213</f>
        <v>3442581.7450418714</v>
      </c>
      <c r="H16" s="26">
        <f>Calc│Forecast!E$42*'Input│ Historic Opex'!$H213</f>
        <v>3370086.4535530726</v>
      </c>
      <c r="I16" s="26">
        <f>Calc│Forecast!F$42*'Input│ Historic Opex'!$H213</f>
        <v>3394143.7875202158</v>
      </c>
      <c r="J16" s="26">
        <f>Calc│Forecast!G$42*'Input│ Historic Opex'!$H213</f>
        <v>3402109.6137359207</v>
      </c>
      <c r="K16" s="26">
        <f>Calc│Forecast!H$42*'Input│ Historic Opex'!$H213</f>
        <v>3517697.3779525855</v>
      </c>
      <c r="L16" s="26">
        <f>Calc│Forecast!I$42*'Input│ Historic Opex'!$H213</f>
        <v>3547647.7272377289</v>
      </c>
      <c r="M16" s="7"/>
    </row>
    <row r="17" spans="2:13" ht="18">
      <c r="B17" s="6" t="s">
        <v>143</v>
      </c>
      <c r="C17" s="6"/>
      <c r="D17" s="6"/>
      <c r="E17" s="6"/>
      <c r="F17" s="6"/>
      <c r="G17" s="26">
        <f>Calc│Forecast!D$42*'Input│ Historic Opex'!$H214</f>
        <v>6754776.9417702714</v>
      </c>
      <c r="H17" s="26">
        <f>Calc│Forecast!E$42*'Input│ Historic Opex'!$H214</f>
        <v>6612532.0919447811</v>
      </c>
      <c r="I17" s="26">
        <f>Calc│Forecast!F$42*'Input│ Historic Opex'!$H214</f>
        <v>6659735.5969874039</v>
      </c>
      <c r="J17" s="26">
        <f>Calc│Forecast!G$42*'Input│ Historic Opex'!$H214</f>
        <v>6675365.546609222</v>
      </c>
      <c r="K17" s="26">
        <f>Calc│Forecast!H$42*'Input│ Historic Opex'!$H214</f>
        <v>6902163.2299484769</v>
      </c>
      <c r="L17" s="26">
        <f>Calc│Forecast!I$42*'Input│ Historic Opex'!$H214</f>
        <v>6960929.5697864853</v>
      </c>
      <c r="M17" s="7"/>
    </row>
    <row r="18" spans="2:13" ht="18">
      <c r="B18" s="6" t="s">
        <v>144</v>
      </c>
      <c r="C18" s="6"/>
      <c r="D18" s="6"/>
      <c r="E18" s="6"/>
      <c r="F18" s="6"/>
      <c r="G18" s="26">
        <f>Calc│Forecast!D$42*'Input│ Historic Opex'!$H215</f>
        <v>0</v>
      </c>
      <c r="H18" s="26">
        <f>Calc│Forecast!E$42*'Input│ Historic Opex'!$H215</f>
        <v>0</v>
      </c>
      <c r="I18" s="26">
        <f>Calc│Forecast!F$42*'Input│ Historic Opex'!$H215</f>
        <v>0</v>
      </c>
      <c r="J18" s="26">
        <f>Calc│Forecast!G$42*'Input│ Historic Opex'!$H215</f>
        <v>0</v>
      </c>
      <c r="K18" s="26">
        <f>Calc│Forecast!H$42*'Input│ Historic Opex'!$H215</f>
        <v>0</v>
      </c>
      <c r="L18" s="26">
        <f>Calc│Forecast!I$42*'Input│ Historic Opex'!$H215</f>
        <v>0</v>
      </c>
      <c r="M18" s="7"/>
    </row>
    <row r="19" spans="2:13" ht="18">
      <c r="B19" s="6" t="s">
        <v>25</v>
      </c>
      <c r="C19" s="6"/>
      <c r="D19" s="6"/>
      <c r="E19" s="6"/>
      <c r="F19" s="6"/>
      <c r="G19" s="26">
        <v>0</v>
      </c>
      <c r="H19" s="26">
        <f>'Input│ Historic Opex'!D77</f>
        <v>60438.651248016635</v>
      </c>
      <c r="I19" s="26">
        <f>'Input│ Historic Opex'!E77</f>
        <v>62301.803549242599</v>
      </c>
      <c r="J19" s="26">
        <f>'Input│ Historic Opex'!F77</f>
        <v>62431.633806532795</v>
      </c>
      <c r="K19" s="26">
        <f>'Input│ Historic Opex'!G77</f>
        <v>61523.399882897334</v>
      </c>
      <c r="L19" s="26">
        <f>'Input│ Historic Opex'!H77</f>
        <v>60163.41431802493</v>
      </c>
      <c r="M19" s="7"/>
    </row>
    <row r="20" spans="2:13" ht="18">
      <c r="B20" s="6" t="s">
        <v>145</v>
      </c>
      <c r="C20" s="6"/>
      <c r="D20" s="6"/>
      <c r="E20" s="6"/>
      <c r="F20" s="6"/>
      <c r="G20" s="26">
        <f>Calc│Forecast!D$42*'Input│ Historic Opex'!$H217</f>
        <v>687293.54700095113</v>
      </c>
      <c r="H20" s="26">
        <f>Calc│Forecast!E$42*'Input│ Historic Opex'!$H217</f>
        <v>672820.23896695452</v>
      </c>
      <c r="I20" s="26">
        <f>Calc│Forecast!F$42*'Input│ Historic Opex'!$H217</f>
        <v>677623.16061652114</v>
      </c>
      <c r="J20" s="26">
        <f>Calc│Forecast!G$42*'Input│ Historic Opex'!$H217</f>
        <v>679213.49640519777</v>
      </c>
      <c r="K20" s="26">
        <f>Calc│Forecast!H$42*'Input│ Historic Opex'!$H217</f>
        <v>702289.9925763628</v>
      </c>
      <c r="L20" s="26">
        <f>Calc│Forecast!I$42*'Input│ Historic Opex'!$H217</f>
        <v>708269.42409567256</v>
      </c>
      <c r="M20" s="7"/>
    </row>
    <row r="21" spans="2:13" ht="18">
      <c r="B21" s="6" t="s">
        <v>146</v>
      </c>
      <c r="C21" s="6"/>
      <c r="D21" s="6"/>
      <c r="E21" s="6"/>
      <c r="F21" s="6"/>
      <c r="G21" s="26">
        <f>Calc│Forecast!D$42*'Input│ Historic Opex'!$H218</f>
        <v>314817.60127151752</v>
      </c>
      <c r="H21" s="26">
        <f>Calc│Forecast!E$42*'Input│ Historic Opex'!$H218</f>
        <v>308188.04373004352</v>
      </c>
      <c r="I21" s="26">
        <f>Calc│Forecast!F$42*'Input│ Historic Opex'!$H218</f>
        <v>310388.04150306131</v>
      </c>
      <c r="J21" s="26">
        <f>Calc│Forecast!G$42*'Input│ Historic Opex'!$H218</f>
        <v>311116.50127165962</v>
      </c>
      <c r="K21" s="26">
        <f>Calc│Forecast!H$42*'Input│ Historic Opex'!$H218</f>
        <v>321686.78408903553</v>
      </c>
      <c r="L21" s="26">
        <f>Calc│Forecast!I$42*'Input│ Historic Opex'!$H218</f>
        <v>324425.6869873539</v>
      </c>
      <c r="M21" s="7"/>
    </row>
    <row r="22" spans="2:13" ht="18">
      <c r="B22" s="6" t="s">
        <v>147</v>
      </c>
      <c r="C22" s="26">
        <f t="shared" ref="C22:M22" si="0">SUM(C13:C21)</f>
        <v>0</v>
      </c>
      <c r="D22" s="26">
        <f t="shared" si="0"/>
        <v>0</v>
      </c>
      <c r="E22" s="26">
        <f t="shared" si="0"/>
        <v>0</v>
      </c>
      <c r="F22" s="26">
        <f t="shared" si="0"/>
        <v>0</v>
      </c>
      <c r="G22" s="26">
        <f t="shared" si="0"/>
        <v>26204167.700916305</v>
      </c>
      <c r="H22" s="26">
        <f t="shared" si="0"/>
        <v>25712788.293396275</v>
      </c>
      <c r="I22" s="26">
        <f t="shared" si="0"/>
        <v>25897770.529106315</v>
      </c>
      <c r="J22" s="26">
        <f t="shared" si="0"/>
        <v>25958534.459434971</v>
      </c>
      <c r="K22" s="26">
        <f t="shared" ref="K22" si="1">SUM(K13:K21)</f>
        <v>26837454.616534948</v>
      </c>
      <c r="L22" s="26">
        <f t="shared" si="0"/>
        <v>27064070.038235057</v>
      </c>
      <c r="M22" s="26">
        <f t="shared" si="0"/>
        <v>0</v>
      </c>
    </row>
    <row r="25" spans="2:13" ht="18">
      <c r="B25" s="9" t="s">
        <v>148</v>
      </c>
    </row>
    <row r="26" spans="2:13" ht="18">
      <c r="E26" s="74" t="s">
        <v>149</v>
      </c>
    </row>
    <row r="27" spans="2:13" ht="18">
      <c r="E27" s="74" t="s">
        <v>229</v>
      </c>
    </row>
    <row r="28" spans="2:13" ht="18">
      <c r="E28" s="74" t="s">
        <v>150</v>
      </c>
      <c r="F28" s="74"/>
      <c r="G28" s="74"/>
      <c r="H28" s="74"/>
      <c r="I28" s="74"/>
      <c r="J28" s="74"/>
    </row>
    <row r="29" spans="2:13" ht="18">
      <c r="E29" s="74" t="s">
        <v>219</v>
      </c>
      <c r="F29" s="74">
        <v>2019</v>
      </c>
      <c r="G29" s="74">
        <v>2020</v>
      </c>
      <c r="H29" s="74">
        <v>2021</v>
      </c>
      <c r="I29" s="74">
        <v>2022</v>
      </c>
      <c r="J29" s="74">
        <v>2023</v>
      </c>
    </row>
    <row r="30" spans="2:13" ht="18">
      <c r="B30" s="6" t="str">
        <f>Calc│Forecast!A30</f>
        <v>Augmentation and Expansion related opex</v>
      </c>
      <c r="C30" s="6"/>
      <c r="D30" s="6"/>
      <c r="E30" s="11">
        <f>Calc│Forecast!E30</f>
        <v>276101.17499999999</v>
      </c>
      <c r="F30" s="11">
        <f>Calc│Forecast!F30</f>
        <v>365701.88214285712</v>
      </c>
      <c r="G30" s="11">
        <f>Calc│Forecast!G30</f>
        <v>365701.88214285712</v>
      </c>
      <c r="H30" s="11">
        <f>Calc│Forecast!H30</f>
        <v>411576.08214285714</v>
      </c>
      <c r="I30" s="11">
        <f>Calc│Forecast!I30</f>
        <v>411576.08214285714</v>
      </c>
      <c r="J30" s="7"/>
    </row>
    <row r="31" spans="2:13" ht="18">
      <c r="B31" s="6" t="str">
        <f>Calc│Forecast!A31</f>
        <v>Allowances</v>
      </c>
      <c r="C31" s="6"/>
      <c r="D31" s="6"/>
      <c r="E31" s="11">
        <f>Calc│Forecast!E31</f>
        <v>2354585.2329633548</v>
      </c>
      <c r="F31" s="11">
        <f>Calc│Forecast!F31</f>
        <v>2448103.6092293072</v>
      </c>
      <c r="G31" s="11">
        <f>Calc│Forecast!G31</f>
        <v>2508737.709300667</v>
      </c>
      <c r="H31" s="11">
        <f>Calc│Forecast!H31</f>
        <v>2555339.8434153344</v>
      </c>
      <c r="I31" s="11">
        <f>Calc│Forecast!I31</f>
        <v>2592357.8408578676</v>
      </c>
      <c r="J31" s="7"/>
    </row>
    <row r="32" spans="2:13" ht="18">
      <c r="B32" s="6" t="str">
        <f>B19 &amp;" (as per PTRM)"</f>
        <v>Debt raising costs (as per PTRM)</v>
      </c>
      <c r="C32" s="6"/>
      <c r="D32" s="6"/>
      <c r="E32" s="26">
        <f>H19</f>
        <v>60438.651248016635</v>
      </c>
      <c r="F32" s="26">
        <f t="shared" ref="F32:I32" si="2">I19</f>
        <v>62301.803549242599</v>
      </c>
      <c r="G32" s="26">
        <f t="shared" si="2"/>
        <v>62431.633806532795</v>
      </c>
      <c r="H32" s="26">
        <f t="shared" si="2"/>
        <v>61523.399882897334</v>
      </c>
      <c r="I32" s="26">
        <f t="shared" si="2"/>
        <v>60163.41431802493</v>
      </c>
      <c r="J32" s="7"/>
    </row>
    <row r="33" spans="2:10" ht="18">
      <c r="B33" s="7"/>
      <c r="C33" s="7"/>
      <c r="D33" s="7"/>
      <c r="E33" s="7"/>
      <c r="F33" s="7"/>
      <c r="G33" s="7"/>
      <c r="H33" s="7"/>
      <c r="I33" s="7"/>
      <c r="J33" s="7"/>
    </row>
    <row r="34" spans="2:10" ht="18">
      <c r="B34" s="7"/>
      <c r="C34" s="7"/>
      <c r="D34" s="7"/>
      <c r="E34" s="7"/>
      <c r="F34" s="7"/>
      <c r="G34" s="7"/>
      <c r="H34" s="7"/>
      <c r="I34" s="7"/>
      <c r="J34" s="7"/>
    </row>
    <row r="35" spans="2:10" ht="18">
      <c r="B35" s="7"/>
      <c r="C35" s="7"/>
      <c r="D35" s="7"/>
      <c r="E35" s="7"/>
      <c r="F35" s="7"/>
      <c r="G35" s="7"/>
      <c r="H35" s="7"/>
      <c r="I35" s="7"/>
      <c r="J35" s="7"/>
    </row>
    <row r="36" spans="2:10" ht="18">
      <c r="B36" s="7"/>
      <c r="C36" s="7"/>
      <c r="D36" s="7"/>
      <c r="E36" s="7"/>
      <c r="F36" s="7"/>
      <c r="G36" s="7"/>
      <c r="H36" s="7"/>
      <c r="I36" s="7"/>
      <c r="J36" s="7"/>
    </row>
    <row r="37" spans="2:10" ht="18">
      <c r="B37" s="6" t="s">
        <v>151</v>
      </c>
      <c r="C37" s="6"/>
      <c r="D37" s="6"/>
      <c r="E37" s="11">
        <f t="shared" ref="E37:J37" si="3">SUM(E30:E36)</f>
        <v>2691125.0592113715</v>
      </c>
      <c r="F37" s="11">
        <f t="shared" si="3"/>
        <v>2876107.294921407</v>
      </c>
      <c r="G37" s="11">
        <f t="shared" si="3"/>
        <v>2936871.2252500569</v>
      </c>
      <c r="H37" s="11">
        <f t="shared" si="3"/>
        <v>3028439.325441089</v>
      </c>
      <c r="I37" s="11">
        <f t="shared" si="3"/>
        <v>3064097.3373187501</v>
      </c>
      <c r="J37" s="11">
        <f t="shared" si="3"/>
        <v>0</v>
      </c>
    </row>
    <row r="40" spans="2:10" ht="18">
      <c r="B40" s="9" t="s">
        <v>152</v>
      </c>
    </row>
    <row r="41" spans="2:10" ht="18">
      <c r="E41" s="98" t="s">
        <v>149</v>
      </c>
      <c r="F41" s="98"/>
      <c r="G41" s="98"/>
      <c r="H41" s="98"/>
      <c r="I41" s="98"/>
      <c r="J41" s="98"/>
    </row>
    <row r="42" spans="2:10" ht="18">
      <c r="E42" s="98" t="s">
        <v>229</v>
      </c>
      <c r="F42" s="98"/>
      <c r="G42" s="98"/>
      <c r="H42" s="98"/>
      <c r="I42" s="98"/>
      <c r="J42" s="98"/>
    </row>
    <row r="43" spans="2:10" ht="18">
      <c r="E43" s="98" t="s">
        <v>150</v>
      </c>
      <c r="F43" s="98"/>
      <c r="G43" s="98"/>
      <c r="H43" s="98"/>
      <c r="I43" s="98"/>
      <c r="J43" s="98"/>
    </row>
    <row r="44" spans="2:10" ht="18">
      <c r="E44" s="74" t="s">
        <v>219</v>
      </c>
      <c r="F44" s="74">
        <v>2019</v>
      </c>
      <c r="G44" s="74">
        <v>2020</v>
      </c>
      <c r="H44" s="74">
        <v>2021</v>
      </c>
      <c r="I44" s="74">
        <v>2022</v>
      </c>
      <c r="J44" s="74">
        <v>2023</v>
      </c>
    </row>
    <row r="45" spans="2:10" ht="18">
      <c r="B45" s="6" t="str">
        <f>Calc│Forecast!A39</f>
        <v>Docklands lease</v>
      </c>
      <c r="C45" s="6"/>
      <c r="D45" s="6"/>
      <c r="E45" s="11">
        <f>Calc│Forecast!E39</f>
        <v>158300.67559497617</v>
      </c>
      <c r="F45" s="11">
        <f>Calc│Forecast!F39</f>
        <v>158300.67559497617</v>
      </c>
      <c r="G45" s="11">
        <f>Calc│Forecast!G39</f>
        <v>158300.67559497617</v>
      </c>
      <c r="H45" s="11">
        <f>Calc│Forecast!H39</f>
        <v>158300.67559497617</v>
      </c>
      <c r="I45" s="11">
        <f>Calc│Forecast!I39</f>
        <v>158300.67559497617</v>
      </c>
      <c r="J45" s="7"/>
    </row>
    <row r="46" spans="2:10" ht="18">
      <c r="B46" s="7"/>
      <c r="C46" s="7"/>
      <c r="D46" s="7"/>
      <c r="E46" s="7"/>
      <c r="F46" s="7"/>
      <c r="G46" s="7"/>
      <c r="H46" s="7"/>
      <c r="I46" s="7"/>
      <c r="J46" s="7"/>
    </row>
    <row r="47" spans="2:10" ht="18">
      <c r="B47" s="7"/>
      <c r="C47" s="7"/>
      <c r="D47" s="7"/>
      <c r="E47" s="7"/>
      <c r="F47" s="7"/>
      <c r="G47" s="7"/>
      <c r="H47" s="7"/>
      <c r="I47" s="7"/>
      <c r="J47" s="7"/>
    </row>
    <row r="48" spans="2:10" ht="18">
      <c r="B48" s="7"/>
      <c r="C48" s="7"/>
      <c r="D48" s="7"/>
      <c r="E48" s="7"/>
      <c r="F48" s="7"/>
      <c r="G48" s="7"/>
      <c r="H48" s="7"/>
      <c r="I48" s="7"/>
      <c r="J48" s="7"/>
    </row>
    <row r="49" spans="2:10" ht="18">
      <c r="B49" s="7"/>
      <c r="C49" s="7"/>
      <c r="D49" s="7"/>
      <c r="E49" s="7"/>
      <c r="F49" s="7"/>
      <c r="G49" s="7"/>
      <c r="H49" s="7"/>
      <c r="I49" s="7"/>
      <c r="J49" s="7"/>
    </row>
    <row r="50" spans="2:10" ht="18">
      <c r="B50" s="7"/>
      <c r="C50" s="7"/>
      <c r="D50" s="7"/>
      <c r="E50" s="7"/>
      <c r="F50" s="7"/>
      <c r="G50" s="7"/>
      <c r="H50" s="7"/>
      <c r="I50" s="7"/>
      <c r="J50" s="7"/>
    </row>
    <row r="51" spans="2:10" ht="18">
      <c r="B51" s="7"/>
      <c r="C51" s="7"/>
      <c r="D51" s="7"/>
      <c r="E51" s="7"/>
      <c r="F51" s="7"/>
      <c r="G51" s="7"/>
      <c r="H51" s="7"/>
      <c r="I51" s="7"/>
      <c r="J51" s="7"/>
    </row>
    <row r="52" spans="2:10" ht="18">
      <c r="B52" s="6" t="s">
        <v>153</v>
      </c>
      <c r="C52" s="6"/>
      <c r="D52" s="6"/>
      <c r="E52" s="11">
        <f t="shared" ref="E52:J52" si="4">SUM(E45:E51)</f>
        <v>158300.67559497617</v>
      </c>
      <c r="F52" s="11">
        <f t="shared" si="4"/>
        <v>158300.67559497617</v>
      </c>
      <c r="G52" s="11">
        <f t="shared" si="4"/>
        <v>158300.67559497617</v>
      </c>
      <c r="H52" s="11">
        <f t="shared" si="4"/>
        <v>158300.67559497617</v>
      </c>
      <c r="I52" s="11">
        <f t="shared" si="4"/>
        <v>158300.67559497617</v>
      </c>
      <c r="J52" s="11">
        <f t="shared" si="4"/>
        <v>0</v>
      </c>
    </row>
    <row r="55" spans="2:10">
      <c r="B55" s="3" t="s">
        <v>154</v>
      </c>
    </row>
    <row r="56" spans="2:10" ht="18">
      <c r="D56" s="74" t="s">
        <v>155</v>
      </c>
      <c r="E56" s="98" t="s">
        <v>149</v>
      </c>
      <c r="F56" s="98"/>
      <c r="G56" s="98"/>
      <c r="H56" s="98"/>
      <c r="I56" s="98"/>
      <c r="J56" s="98"/>
    </row>
    <row r="57" spans="2:10" ht="18">
      <c r="D57" s="74"/>
      <c r="E57" s="98" t="s">
        <v>229</v>
      </c>
      <c r="F57" s="98"/>
      <c r="G57" s="98"/>
      <c r="H57" s="98"/>
      <c r="I57" s="98"/>
      <c r="J57" s="98"/>
    </row>
    <row r="58" spans="2:10" ht="18">
      <c r="D58" s="74"/>
      <c r="E58" s="98" t="s">
        <v>150</v>
      </c>
      <c r="F58" s="98"/>
      <c r="G58" s="98"/>
      <c r="H58" s="98"/>
      <c r="I58" s="98"/>
      <c r="J58" s="98"/>
    </row>
    <row r="59" spans="2:10" ht="18">
      <c r="D59" s="89">
        <v>2017</v>
      </c>
      <c r="E59" s="89" t="s">
        <v>219</v>
      </c>
      <c r="F59" s="89">
        <v>2019</v>
      </c>
      <c r="G59" s="89">
        <v>2020</v>
      </c>
      <c r="H59" s="89">
        <v>2021</v>
      </c>
      <c r="I59" s="89">
        <v>2022</v>
      </c>
      <c r="J59" s="89">
        <v>2023</v>
      </c>
    </row>
    <row r="60" spans="2:10" ht="18">
      <c r="B60" s="6" t="s">
        <v>156</v>
      </c>
      <c r="C60" s="6"/>
      <c r="D60" s="11">
        <f>Calc│Forecast!D56</f>
        <v>26204167.700916309</v>
      </c>
      <c r="E60" s="11">
        <f>H22-E37-E52</f>
        <v>22863362.558589928</v>
      </c>
      <c r="F60" s="11">
        <f t="shared" ref="F60:I60" si="5">I22-F37-F52</f>
        <v>22863362.558589935</v>
      </c>
      <c r="G60" s="11">
        <f t="shared" si="5"/>
        <v>22863362.558589935</v>
      </c>
      <c r="H60" s="11">
        <f t="shared" si="5"/>
        <v>23650714.615498886</v>
      </c>
      <c r="I60" s="11">
        <f t="shared" si="5"/>
        <v>23841672.025321327</v>
      </c>
      <c r="J60" s="27"/>
    </row>
    <row r="61" spans="2:10" ht="18">
      <c r="B61" s="6" t="s">
        <v>157</v>
      </c>
      <c r="C61" s="6"/>
      <c r="D61" s="6"/>
      <c r="E61" s="11">
        <v>0</v>
      </c>
      <c r="F61" s="11">
        <v>0</v>
      </c>
      <c r="G61" s="11">
        <v>0</v>
      </c>
      <c r="H61" s="11">
        <v>0</v>
      </c>
      <c r="I61" s="11">
        <v>0</v>
      </c>
      <c r="J61" s="27"/>
    </row>
    <row r="62" spans="2:10" ht="18">
      <c r="B62" s="6" t="s">
        <v>158</v>
      </c>
      <c r="C62" s="6"/>
      <c r="D62" s="6"/>
      <c r="E62" s="11">
        <v>0</v>
      </c>
      <c r="F62" s="11">
        <v>0</v>
      </c>
      <c r="G62" s="11">
        <v>0</v>
      </c>
      <c r="H62" s="11">
        <v>0</v>
      </c>
      <c r="I62" s="11">
        <v>0</v>
      </c>
      <c r="J62" s="27"/>
    </row>
    <row r="63" spans="2:10" ht="18">
      <c r="B63" s="6" t="s">
        <v>159</v>
      </c>
      <c r="C63" s="6"/>
      <c r="D63" s="6"/>
      <c r="E63" s="11">
        <v>0</v>
      </c>
      <c r="F63" s="11">
        <v>0</v>
      </c>
      <c r="G63" s="11">
        <v>0</v>
      </c>
      <c r="H63" s="11">
        <v>0</v>
      </c>
      <c r="I63" s="11">
        <v>0</v>
      </c>
      <c r="J63" s="27"/>
    </row>
    <row r="64" spans="2:10" ht="18">
      <c r="B64" s="6" t="s">
        <v>87</v>
      </c>
      <c r="C64" s="6"/>
      <c r="D64" s="6"/>
      <c r="E64" s="11">
        <f>E52</f>
        <v>158300.67559497617</v>
      </c>
      <c r="F64" s="11">
        <f t="shared" ref="F64:I64" si="6">F52</f>
        <v>158300.67559497617</v>
      </c>
      <c r="G64" s="11">
        <f t="shared" si="6"/>
        <v>158300.67559497617</v>
      </c>
      <c r="H64" s="11">
        <f t="shared" si="6"/>
        <v>158300.67559497617</v>
      </c>
      <c r="I64" s="11">
        <f t="shared" si="6"/>
        <v>158300.67559497617</v>
      </c>
      <c r="J64" s="27"/>
    </row>
    <row r="65" spans="2:10" ht="18">
      <c r="B65" s="6" t="s">
        <v>160</v>
      </c>
      <c r="C65" s="6"/>
      <c r="D65" s="6"/>
      <c r="E65" s="11">
        <f>E37</f>
        <v>2691125.0592113715</v>
      </c>
      <c r="F65" s="11">
        <f t="shared" ref="F65:I65" si="7">F37</f>
        <v>2876107.294921407</v>
      </c>
      <c r="G65" s="11">
        <f t="shared" si="7"/>
        <v>2936871.2252500569</v>
      </c>
      <c r="H65" s="11">
        <f t="shared" si="7"/>
        <v>3028439.325441089</v>
      </c>
      <c r="I65" s="11">
        <f t="shared" si="7"/>
        <v>3064097.3373187501</v>
      </c>
      <c r="J65" s="27"/>
    </row>
    <row r="66" spans="2:10" ht="18">
      <c r="B66" s="6" t="s">
        <v>161</v>
      </c>
      <c r="C66" s="6"/>
      <c r="D66" s="26"/>
      <c r="E66" s="11">
        <f t="shared" ref="E66:J66" si="8">SUM(E60:E65)</f>
        <v>25712788.293396279</v>
      </c>
      <c r="F66" s="11">
        <f t="shared" si="8"/>
        <v>25897770.529106319</v>
      </c>
      <c r="G66" s="11">
        <f t="shared" si="8"/>
        <v>25958534.459434971</v>
      </c>
      <c r="H66" s="11">
        <f t="shared" si="8"/>
        <v>26837454.616534952</v>
      </c>
      <c r="I66" s="11">
        <f t="shared" si="8"/>
        <v>27064070.038235053</v>
      </c>
      <c r="J66" s="11">
        <f t="shared" si="8"/>
        <v>0</v>
      </c>
    </row>
  </sheetData>
  <mergeCells count="8">
    <mergeCell ref="C11:E11"/>
    <mergeCell ref="F11:L11"/>
    <mergeCell ref="E56:J56"/>
    <mergeCell ref="E57:J57"/>
    <mergeCell ref="E58:J58"/>
    <mergeCell ref="E41:J41"/>
    <mergeCell ref="E42:J42"/>
    <mergeCell ref="E43:J43"/>
  </mergeCells>
  <pageMargins left="0.70866141732283472" right="0.70866141732283472" top="0.74803149606299213" bottom="0.74803149606299213" header="0.31496062992125984" footer="0.31496062992125984"/>
  <pageSetup paperSize="9" scale="55" orientation="landscape" r:id="rId1"/>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53A9E8C712F14FB14B79E55B59987D" ma:contentTypeVersion="0" ma:contentTypeDescription="Create a new document." ma:contentTypeScope="" ma:versionID="5cf30fe18a70647e22ffacd436d864c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205781-583F-403B-83B5-F4ED377F9D95}">
  <ds:schemaRef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ED86D35-DD55-4B52-9373-2B5A8EEE2226}">
  <ds:schemaRefs>
    <ds:schemaRef ds:uri="http://schemas.microsoft.com/sharepoint/v3/contenttype/forms"/>
  </ds:schemaRefs>
</ds:datastoreItem>
</file>

<file path=customXml/itemProps3.xml><?xml version="1.0" encoding="utf-8"?>
<ds:datastoreItem xmlns:ds="http://schemas.openxmlformats.org/officeDocument/2006/customXml" ds:itemID="{C39B0AF5-4F26-4AC9-B80C-DE2A1550B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Input│ Historic Opex</vt:lpstr>
      <vt:lpstr>Calc│Forecast</vt:lpstr>
      <vt:lpstr>Calc│EBSS</vt:lpstr>
      <vt:lpstr>Outputs│PTRM</vt:lpstr>
      <vt:lpstr>Outputs│Tables</vt:lpstr>
      <vt:lpstr>Outputs│Graphs</vt:lpstr>
      <vt:lpstr>Outputs│RIN</vt:lpstr>
    </vt:vector>
  </TitlesOfParts>
  <Company>APA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Mark</dc:creator>
  <cp:lastModifiedBy>Allen, Mark</cp:lastModifiedBy>
  <cp:lastPrinted>2016-07-20T00:01:39Z</cp:lastPrinted>
  <dcterms:created xsi:type="dcterms:W3CDTF">2016-06-01T05:04:09Z</dcterms:created>
  <dcterms:modified xsi:type="dcterms:W3CDTF">2017-01-03T05:34:01Z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0x0101007A53A9E8C712F14FB14B79E55B59987D</vt:lpwstr>
  </property>
</Properties>
</file>