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35" windowWidth="20010" windowHeight="7755"/>
  </bookViews>
  <sheets>
    <sheet name="Outputs¦PTRM" sheetId="6" r:id="rId1"/>
    <sheet name="Outputs¦Graphs" sheetId="3" r:id="rId2"/>
    <sheet name="Outputs¦Tables" sheetId="7" r:id="rId3"/>
    <sheet name="Calc" sheetId="1" r:id="rId4"/>
    <sheet name="Inputs¦AA 2012 -17 FD" sheetId="5" r:id="rId5"/>
  </sheets>
  <externalReferences>
    <externalReference r:id="rId6"/>
  </externalReferences>
  <definedNames>
    <definedName name="_xlnm._FilterDatabase" localSheetId="3" hidden="1">'Outputs¦Graphs'!#REF!</definedName>
    <definedName name="_ftn1" localSheetId="3">Calc!$S$13</definedName>
    <definedName name="_ftnref1" localSheetId="3">Calc!$S$6</definedName>
    <definedName name="CRCP_y1">'[1]Business &amp; other details'!$C$38</definedName>
    <definedName name="CRCP_y2">'[1]Business &amp; other details'!$D$38</definedName>
    <definedName name="CRCP_y3">'[1]Business &amp; other details'!$E$38</definedName>
    <definedName name="CRCP_y4">'[1]Business &amp; other details'!$F$38</definedName>
    <definedName name="CRCP_y5">'[1]Business &amp; other details'!$G$38</definedName>
    <definedName name="dms_DollarReal">'[1]Business &amp; other details'!$C$63</definedName>
    <definedName name="Drc">'Outputs¦PTRM'!$G$275</definedName>
    <definedName name="Dv">'Outputs¦PTRM'!$G$266</definedName>
    <definedName name="FRCP_y1">'[1]Business &amp; other details'!$C$35</definedName>
    <definedName name="FRCP_y2">'[1]Business &amp; other details'!$D$35</definedName>
    <definedName name="FRCP_y3">'[1]Business &amp; other details'!$E$35</definedName>
    <definedName name="FRCP_y4">'[1]Business &amp; other details'!$F$35</definedName>
    <definedName name="FRCP_y5">'[1]Business &amp; other details'!$G$35</definedName>
    <definedName name="_xlnm.Print_Area" localSheetId="3">Calc!$A:$N</definedName>
  </definedNames>
  <calcPr calcId="145621"/>
</workbook>
</file>

<file path=xl/calcChain.xml><?xml version="1.0" encoding="utf-8"?>
<calcChain xmlns="http://schemas.openxmlformats.org/spreadsheetml/2006/main">
  <c r="G29" i="7" l="1"/>
  <c r="G30" i="7"/>
  <c r="G36" i="7" s="1"/>
  <c r="G31" i="7"/>
  <c r="G32" i="7"/>
  <c r="G33" i="7"/>
  <c r="G34" i="7"/>
  <c r="G35" i="7"/>
  <c r="G28" i="7"/>
  <c r="D28" i="7"/>
  <c r="E28" i="7"/>
  <c r="F28" i="7"/>
  <c r="D29" i="7"/>
  <c r="E29" i="7"/>
  <c r="F29" i="7"/>
  <c r="D30" i="7"/>
  <c r="E30" i="7"/>
  <c r="F30" i="7"/>
  <c r="D31" i="7"/>
  <c r="E31" i="7"/>
  <c r="F31" i="7"/>
  <c r="D32" i="7"/>
  <c r="E32" i="7"/>
  <c r="F32" i="7"/>
  <c r="D33" i="7"/>
  <c r="E33" i="7"/>
  <c r="F33" i="7"/>
  <c r="D34" i="7"/>
  <c r="E34" i="7"/>
  <c r="F34" i="7"/>
  <c r="D35" i="7"/>
  <c r="E35" i="7"/>
  <c r="F35" i="7"/>
  <c r="D36" i="7"/>
  <c r="E36" i="7"/>
  <c r="F36" i="7"/>
  <c r="C29" i="7"/>
  <c r="C30" i="7"/>
  <c r="C31" i="7"/>
  <c r="C32" i="7"/>
  <c r="C33" i="7"/>
  <c r="C34" i="7"/>
  <c r="C35" i="7"/>
  <c r="C28" i="7"/>
  <c r="B29" i="7"/>
  <c r="B30" i="7"/>
  <c r="B31" i="7"/>
  <c r="B32" i="7"/>
  <c r="B33" i="7"/>
  <c r="B34" i="7"/>
  <c r="B35" i="7"/>
  <c r="B28" i="7"/>
  <c r="C36" i="7" l="1"/>
  <c r="H37" i="1"/>
  <c r="G37" i="1"/>
  <c r="F37" i="1"/>
  <c r="E37" i="1"/>
  <c r="I88" i="1" l="1"/>
  <c r="I87" i="1"/>
  <c r="I86" i="1"/>
  <c r="I85" i="1"/>
  <c r="I84" i="1"/>
  <c r="I83" i="1"/>
  <c r="I82" i="1"/>
  <c r="I81" i="1"/>
  <c r="H138" i="1" l="1"/>
  <c r="G138" i="1"/>
  <c r="F138" i="1"/>
  <c r="E138" i="1"/>
  <c r="I57" i="1" l="1"/>
  <c r="I58" i="1"/>
  <c r="B135" i="1"/>
  <c r="B134" i="1"/>
  <c r="G17" i="7"/>
  <c r="F17" i="7"/>
  <c r="E17" i="7"/>
  <c r="D17" i="7"/>
  <c r="C17" i="7"/>
  <c r="G16" i="7"/>
  <c r="F16" i="7"/>
  <c r="E16" i="7"/>
  <c r="D16" i="7"/>
  <c r="C16" i="7"/>
  <c r="E135" i="1" l="1"/>
  <c r="H135" i="1" l="1"/>
  <c r="G135" i="1"/>
  <c r="H134" i="1"/>
  <c r="F135" i="1"/>
  <c r="G134" i="1"/>
  <c r="F134" i="1"/>
  <c r="E134" i="1" l="1"/>
  <c r="S18" i="7" l="1"/>
  <c r="T18" i="7"/>
  <c r="U18" i="7"/>
  <c r="V18" i="7"/>
  <c r="R18" i="7"/>
  <c r="N18" i="7"/>
  <c r="O18" i="7"/>
  <c r="P18" i="7"/>
  <c r="M18" i="7"/>
  <c r="B93" i="1" l="1"/>
  <c r="B94" i="1" s="1"/>
  <c r="B95" i="1" s="1"/>
  <c r="B96" i="1" s="1"/>
  <c r="B97" i="1" s="1"/>
  <c r="B98" i="1" s="1"/>
  <c r="B99" i="1" s="1"/>
  <c r="B100" i="1" s="1"/>
  <c r="B82" i="1"/>
  <c r="B83" i="1" s="1"/>
  <c r="B84" i="1" s="1"/>
  <c r="B85" i="1" s="1"/>
  <c r="B86" i="1" s="1"/>
  <c r="B87" i="1" s="1"/>
  <c r="B88" i="1" s="1"/>
  <c r="B89" i="1" s="1"/>
  <c r="N78" i="1"/>
  <c r="M78" i="1"/>
  <c r="L78" i="1"/>
  <c r="K78" i="1"/>
  <c r="J78" i="1"/>
  <c r="I78" i="1"/>
  <c r="A71" i="1"/>
  <c r="A82" i="1" s="1"/>
  <c r="A93" i="1" s="1"/>
  <c r="E6" i="6" s="1"/>
  <c r="A72" i="1"/>
  <c r="A83" i="1" s="1"/>
  <c r="A94" i="1" s="1"/>
  <c r="E7" i="6" s="1"/>
  <c r="A73" i="1"/>
  <c r="A84" i="1" s="1"/>
  <c r="A95" i="1" s="1"/>
  <c r="E8" i="6" s="1"/>
  <c r="A74" i="1"/>
  <c r="A85" i="1" s="1"/>
  <c r="A96" i="1" s="1"/>
  <c r="E9" i="6" s="1"/>
  <c r="A75" i="1"/>
  <c r="A86" i="1" s="1"/>
  <c r="A97" i="1" s="1"/>
  <c r="E10" i="6" s="1"/>
  <c r="A76" i="1"/>
  <c r="A87" i="1" s="1"/>
  <c r="A98" i="1" s="1"/>
  <c r="A77" i="1"/>
  <c r="A88" i="1" s="1"/>
  <c r="A99" i="1" s="1"/>
  <c r="A78" i="1"/>
  <c r="A89" i="1" s="1"/>
  <c r="A100" i="1" s="1"/>
  <c r="A70" i="1"/>
  <c r="A81" i="1" s="1"/>
  <c r="A92" i="1" s="1"/>
  <c r="E5" i="6" s="1"/>
  <c r="A69" i="1"/>
  <c r="A58" i="1"/>
  <c r="A57" i="1"/>
  <c r="N24" i="1"/>
  <c r="N58" i="1" s="1"/>
  <c r="M24" i="1"/>
  <c r="M58" i="1" s="1"/>
  <c r="L24" i="1"/>
  <c r="L58" i="1" s="1"/>
  <c r="K24" i="1"/>
  <c r="K58" i="1" s="1"/>
  <c r="J24" i="1"/>
  <c r="J58" i="1" s="1"/>
  <c r="I24" i="1"/>
  <c r="D22" i="7" l="1"/>
  <c r="E22" i="7"/>
  <c r="F22" i="7"/>
  <c r="G22" i="7"/>
  <c r="C22" i="7"/>
  <c r="D143" i="1"/>
  <c r="E143" i="1"/>
  <c r="F143" i="1"/>
  <c r="G143" i="1"/>
  <c r="H143" i="1"/>
  <c r="C143" i="1"/>
  <c r="B142" i="1"/>
  <c r="B143" i="1" s="1"/>
  <c r="A142" i="1"/>
  <c r="A141" i="1"/>
  <c r="N14" i="7"/>
  <c r="O14" i="7"/>
  <c r="P14" i="7"/>
  <c r="M14" i="7"/>
  <c r="N3" i="7"/>
  <c r="O3" i="7"/>
  <c r="P3" i="7"/>
  <c r="M3" i="7"/>
  <c r="J44" i="1"/>
  <c r="K44" i="1" s="1"/>
  <c r="L44" i="1" s="1"/>
  <c r="M44" i="1" s="1"/>
  <c r="N44" i="1" s="1"/>
  <c r="B54" i="1" l="1"/>
  <c r="B57" i="1" s="1"/>
  <c r="I49" i="1"/>
  <c r="I51" i="1" s="1"/>
  <c r="J49" i="1"/>
  <c r="K49" i="1"/>
  <c r="L49" i="1"/>
  <c r="M49" i="1"/>
  <c r="N49" i="1"/>
  <c r="B159" i="1"/>
  <c r="B160" i="1" s="1"/>
  <c r="B161" i="1" s="1"/>
  <c r="B162" i="1" s="1"/>
  <c r="B163" i="1" s="1"/>
  <c r="B164" i="1" s="1"/>
  <c r="B61" i="1" l="1"/>
  <c r="B64" i="1" s="1"/>
  <c r="B67" i="1" s="1"/>
  <c r="B70" i="1" s="1"/>
  <c r="B71" i="1" s="1"/>
  <c r="B72" i="1" s="1"/>
  <c r="B73" i="1" s="1"/>
  <c r="B74" i="1" s="1"/>
  <c r="B75" i="1" s="1"/>
  <c r="B76" i="1" s="1"/>
  <c r="B77" i="1" s="1"/>
  <c r="B78" i="1" s="1"/>
  <c r="B58" i="1"/>
  <c r="J51" i="1"/>
  <c r="K51" i="1" l="1"/>
  <c r="L51" i="1" l="1"/>
  <c r="M51" i="1" l="1"/>
  <c r="N51" i="1"/>
  <c r="D135" i="1" l="1"/>
  <c r="C135" i="1"/>
  <c r="M10" i="7"/>
  <c r="N10" i="7"/>
  <c r="O10" i="7" l="1"/>
  <c r="P10" i="7"/>
  <c r="O9" i="7"/>
  <c r="C134" i="1"/>
  <c r="M9" i="7"/>
  <c r="N9" i="7" l="1"/>
  <c r="D134" i="1"/>
  <c r="P9" i="7" l="1"/>
  <c r="L28" i="7"/>
  <c r="L29" i="7"/>
  <c r="L30" i="7"/>
  <c r="L31" i="7"/>
  <c r="L32" i="7"/>
  <c r="L33" i="7"/>
  <c r="L34" i="7"/>
  <c r="L27" i="7"/>
  <c r="A164" i="1"/>
  <c r="A148" i="1"/>
  <c r="A159" i="1" s="1"/>
  <c r="A149" i="1"/>
  <c r="A160" i="1" s="1"/>
  <c r="A150" i="1"/>
  <c r="A161" i="1" s="1"/>
  <c r="A151" i="1"/>
  <c r="A162" i="1" s="1"/>
  <c r="A152" i="1"/>
  <c r="A163" i="1" s="1"/>
  <c r="A153" i="1"/>
  <c r="A154" i="1"/>
  <c r="A147" i="1"/>
  <c r="I20" i="1" l="1"/>
  <c r="J20" i="1"/>
  <c r="N20" i="1"/>
  <c r="M20" i="1"/>
  <c r="L20" i="1"/>
  <c r="K20" i="1"/>
  <c r="H9" i="1" l="1"/>
  <c r="E9" i="1"/>
  <c r="H49" i="1" l="1"/>
  <c r="H127" i="1"/>
  <c r="F4" i="7" s="1"/>
  <c r="E49" i="1"/>
  <c r="E127" i="1"/>
  <c r="D49" i="1"/>
  <c r="D127" i="1"/>
  <c r="G9" i="1"/>
  <c r="P32" i="7"/>
  <c r="M32" i="7"/>
  <c r="N32" i="7"/>
  <c r="O33" i="7"/>
  <c r="M33" i="7"/>
  <c r="P34" i="7"/>
  <c r="C4" i="7" l="1"/>
  <c r="G49" i="1"/>
  <c r="G127" i="1"/>
  <c r="E4" i="7" s="1"/>
  <c r="C49" i="1"/>
  <c r="C127" i="1"/>
  <c r="N34" i="7"/>
  <c r="O32" i="7"/>
  <c r="O34" i="7"/>
  <c r="M34" i="7"/>
  <c r="P33" i="7"/>
  <c r="N33" i="7"/>
  <c r="F9" i="1"/>
  <c r="F49" i="1" l="1"/>
  <c r="F127" i="1"/>
  <c r="M27" i="7"/>
  <c r="N28" i="7"/>
  <c r="M30" i="7"/>
  <c r="N30" i="7"/>
  <c r="N27" i="7"/>
  <c r="O28" i="7"/>
  <c r="O27" i="7"/>
  <c r="D4" i="7" l="1"/>
  <c r="O29" i="7"/>
  <c r="P27" i="7"/>
  <c r="M28" i="7"/>
  <c r="P28" i="7"/>
  <c r="M29" i="7"/>
  <c r="P29" i="7"/>
  <c r="O30" i="7"/>
  <c r="P30" i="7"/>
  <c r="N29" i="7" l="1"/>
  <c r="B148" i="1" l="1"/>
  <c r="B149" i="1" s="1"/>
  <c r="B150" i="1" s="1"/>
  <c r="B151" i="1" s="1"/>
  <c r="B152" i="1" s="1"/>
  <c r="E3" i="6"/>
  <c r="H44" i="1"/>
  <c r="H77" i="1" l="1"/>
  <c r="H76" i="1"/>
  <c r="H75" i="1"/>
  <c r="H74" i="1"/>
  <c r="H71" i="1"/>
  <c r="H70" i="1"/>
  <c r="H73" i="1"/>
  <c r="H72" i="1"/>
  <c r="K141" i="1"/>
  <c r="I142" i="1"/>
  <c r="J142" i="1"/>
  <c r="M141" i="1"/>
  <c r="M142" i="1"/>
  <c r="N142" i="1"/>
  <c r="K142" i="1"/>
  <c r="N141" i="1"/>
  <c r="J141" i="1"/>
  <c r="L142" i="1"/>
  <c r="L141" i="1"/>
  <c r="I141" i="1"/>
  <c r="K57" i="1"/>
  <c r="N57" i="1"/>
  <c r="J57" i="1"/>
  <c r="M57" i="1"/>
  <c r="L57" i="1"/>
  <c r="L64" i="1"/>
  <c r="I64" i="1"/>
  <c r="K64" i="1"/>
  <c r="M64" i="1"/>
  <c r="J64" i="1"/>
  <c r="N64" i="1"/>
  <c r="H51" i="1"/>
  <c r="H54" i="1" s="1"/>
  <c r="C57" i="1"/>
  <c r="G57" i="1"/>
  <c r="H64" i="1"/>
  <c r="D57" i="1"/>
  <c r="H57" i="1"/>
  <c r="E57" i="1"/>
  <c r="F57" i="1"/>
  <c r="H152" i="1"/>
  <c r="H154" i="1"/>
  <c r="H153" i="1"/>
  <c r="H150" i="1"/>
  <c r="H148" i="1"/>
  <c r="H149" i="1"/>
  <c r="H147" i="1"/>
  <c r="B155" i="1"/>
  <c r="B153" i="1"/>
  <c r="B154" i="1" s="1"/>
  <c r="P15" i="7" l="1"/>
  <c r="P42" i="7"/>
  <c r="H61" i="1"/>
  <c r="H78" i="1"/>
  <c r="I143" i="1"/>
  <c r="G18" i="7"/>
  <c r="N143" i="1"/>
  <c r="F18" i="7"/>
  <c r="M143" i="1"/>
  <c r="E18" i="7"/>
  <c r="L143" i="1"/>
  <c r="H17" i="7"/>
  <c r="J143" i="1"/>
  <c r="D18" i="7"/>
  <c r="K143" i="1"/>
  <c r="I54" i="1"/>
  <c r="I61" i="1" s="1"/>
  <c r="I130" i="1" s="1"/>
  <c r="H151" i="1"/>
  <c r="P31" i="7"/>
  <c r="H67" i="1" l="1"/>
  <c r="P19" i="7" s="1"/>
  <c r="H130" i="1"/>
  <c r="J54" i="1"/>
  <c r="J61" i="1" s="1"/>
  <c r="I67" i="1"/>
  <c r="M31" i="7"/>
  <c r="N31" i="7"/>
  <c r="O31" i="7"/>
  <c r="H16" i="7"/>
  <c r="H18" i="7" s="1"/>
  <c r="C18" i="7"/>
  <c r="I134" i="1" l="1"/>
  <c r="I135" i="1"/>
  <c r="Q10" i="7" s="1"/>
  <c r="Q20" i="7"/>
  <c r="Q9" i="7"/>
  <c r="P4" i="7"/>
  <c r="F11" i="7"/>
  <c r="I127" i="1"/>
  <c r="G4" i="7" s="1"/>
  <c r="K54" i="1"/>
  <c r="K61" i="1" s="1"/>
  <c r="J67" i="1"/>
  <c r="R21" i="7" l="1"/>
  <c r="C23" i="7"/>
  <c r="L54" i="1"/>
  <c r="L61" i="1" s="1"/>
  <c r="K67" i="1"/>
  <c r="H4" i="6"/>
  <c r="I4" i="6"/>
  <c r="J4" i="6"/>
  <c r="K4" i="6"/>
  <c r="G4" i="6"/>
  <c r="M13" i="6"/>
  <c r="P13" i="6"/>
  <c r="O13" i="6"/>
  <c r="N13" i="6"/>
  <c r="L13" i="6"/>
  <c r="P4" i="6"/>
  <c r="O4" i="6"/>
  <c r="N4" i="6"/>
  <c r="M4" i="6"/>
  <c r="L4" i="6"/>
  <c r="S21" i="7" l="1"/>
  <c r="D23" i="7"/>
  <c r="M54" i="1"/>
  <c r="M61" i="1" s="1"/>
  <c r="L67" i="1"/>
  <c r="T21" i="7" l="1"/>
  <c r="E23" i="7"/>
  <c r="N54" i="1"/>
  <c r="M67" i="1"/>
  <c r="F108" i="1"/>
  <c r="G108" i="1"/>
  <c r="H108" i="1"/>
  <c r="I108" i="1"/>
  <c r="F109" i="1"/>
  <c r="G109" i="1"/>
  <c r="H109" i="1"/>
  <c r="I109" i="1"/>
  <c r="F110" i="1"/>
  <c r="G110" i="1"/>
  <c r="H110" i="1"/>
  <c r="I110" i="1"/>
  <c r="F111" i="1"/>
  <c r="G111" i="1"/>
  <c r="H111" i="1"/>
  <c r="I111" i="1"/>
  <c r="F112" i="1"/>
  <c r="G112" i="1"/>
  <c r="H112" i="1"/>
  <c r="I112" i="1"/>
  <c r="F113" i="1"/>
  <c r="G113" i="1"/>
  <c r="H113" i="1"/>
  <c r="I113" i="1"/>
  <c r="F114" i="1"/>
  <c r="G114" i="1"/>
  <c r="H114" i="1"/>
  <c r="I114" i="1"/>
  <c r="F115" i="1"/>
  <c r="G115" i="1"/>
  <c r="H115" i="1"/>
  <c r="I115" i="1"/>
  <c r="E108" i="1"/>
  <c r="E109" i="1"/>
  <c r="E110" i="1"/>
  <c r="E111" i="1"/>
  <c r="E112" i="1"/>
  <c r="E113" i="1"/>
  <c r="E114" i="1"/>
  <c r="E115" i="1"/>
  <c r="A107" i="1"/>
  <c r="A108" i="1"/>
  <c r="A109" i="1"/>
  <c r="A110" i="1"/>
  <c r="A111" i="1"/>
  <c r="A112" i="1"/>
  <c r="A113" i="1"/>
  <c r="A114" i="1"/>
  <c r="A115" i="1"/>
  <c r="U21" i="7" l="1"/>
  <c r="H12" i="5"/>
  <c r="E107" i="1"/>
  <c r="E116" i="1" s="1"/>
  <c r="I12" i="5"/>
  <c r="F107" i="1"/>
  <c r="F116" i="1" s="1"/>
  <c r="K12" i="5"/>
  <c r="H107" i="1"/>
  <c r="H116" i="1" s="1"/>
  <c r="J12" i="5"/>
  <c r="G107" i="1"/>
  <c r="G116" i="1" s="1"/>
  <c r="L12" i="5"/>
  <c r="I107" i="1"/>
  <c r="I116" i="1" s="1"/>
  <c r="N61" i="1"/>
  <c r="N67" i="1" s="1"/>
  <c r="F23" i="7"/>
  <c r="F169" i="1" l="1"/>
  <c r="F168" i="1"/>
  <c r="I169" i="1"/>
  <c r="I168" i="1"/>
  <c r="E168" i="1"/>
  <c r="E169" i="1"/>
  <c r="G168" i="1"/>
  <c r="G169" i="1"/>
  <c r="H168" i="1"/>
  <c r="H169" i="1"/>
  <c r="V21" i="7"/>
  <c r="G23" i="7"/>
  <c r="G44" i="1" l="1"/>
  <c r="G77" i="1"/>
  <c r="G73" i="1"/>
  <c r="G153" i="1"/>
  <c r="G148" i="1"/>
  <c r="O15" i="7" l="1"/>
  <c r="O42" i="7"/>
  <c r="G151" i="1"/>
  <c r="G147" i="1"/>
  <c r="G64" i="1"/>
  <c r="G71" i="1"/>
  <c r="G76" i="1"/>
  <c r="G150" i="1"/>
  <c r="G152" i="1"/>
  <c r="G51" i="1"/>
  <c r="G54" i="1" s="1"/>
  <c r="G61" i="1" s="1"/>
  <c r="G130" i="1" s="1"/>
  <c r="G70" i="1"/>
  <c r="G75" i="1"/>
  <c r="G149" i="1"/>
  <c r="G154" i="1"/>
  <c r="G72" i="1"/>
  <c r="G74" i="1"/>
  <c r="G78" i="1" l="1"/>
  <c r="O4" i="7"/>
  <c r="E11" i="7"/>
  <c r="G67" i="1"/>
  <c r="O19" i="7" s="1"/>
  <c r="F44" i="1" l="1"/>
  <c r="D125" i="1"/>
  <c r="C45" i="1"/>
  <c r="C125" i="1" s="1"/>
  <c r="E45" i="1"/>
  <c r="N15" i="7" l="1"/>
  <c r="N42" i="7"/>
  <c r="F148" i="1"/>
  <c r="F154" i="1"/>
  <c r="F71" i="1"/>
  <c r="F74" i="1"/>
  <c r="E44" i="1"/>
  <c r="F147" i="1"/>
  <c r="F152" i="1"/>
  <c r="F72" i="1"/>
  <c r="F76" i="1"/>
  <c r="F151" i="1"/>
  <c r="F150" i="1"/>
  <c r="F64" i="1"/>
  <c r="F73" i="1"/>
  <c r="F77" i="1"/>
  <c r="F149" i="1"/>
  <c r="F153" i="1"/>
  <c r="F51" i="1"/>
  <c r="F54" i="1" s="1"/>
  <c r="F61" i="1" s="1"/>
  <c r="F130" i="1" s="1"/>
  <c r="F70" i="1"/>
  <c r="F75" i="1"/>
  <c r="E76" i="1"/>
  <c r="E71" i="1"/>
  <c r="F45" i="1"/>
  <c r="E125" i="1"/>
  <c r="C5" i="7" s="1"/>
  <c r="E64" i="1"/>
  <c r="E147" i="1"/>
  <c r="E151" i="1"/>
  <c r="M15" i="7" l="1"/>
  <c r="M42" i="7"/>
  <c r="F78" i="1"/>
  <c r="E149" i="1"/>
  <c r="E154" i="1"/>
  <c r="E51" i="1"/>
  <c r="E54" i="1" s="1"/>
  <c r="E61" i="1" s="1"/>
  <c r="E130" i="1" s="1"/>
  <c r="E72" i="1"/>
  <c r="E75" i="1"/>
  <c r="D44" i="1"/>
  <c r="E148" i="1"/>
  <c r="E153" i="1"/>
  <c r="E73" i="1"/>
  <c r="E74" i="1"/>
  <c r="E150" i="1"/>
  <c r="E152" i="1"/>
  <c r="E70" i="1"/>
  <c r="E77" i="1"/>
  <c r="C44" i="1"/>
  <c r="C138" i="1" s="1"/>
  <c r="D138" i="1"/>
  <c r="F67" i="1"/>
  <c r="N19" i="7" s="1"/>
  <c r="N4" i="7"/>
  <c r="D11" i="7"/>
  <c r="D76" i="1"/>
  <c r="D77" i="1"/>
  <c r="D75" i="1"/>
  <c r="D74" i="1"/>
  <c r="D73" i="1"/>
  <c r="D70" i="1"/>
  <c r="D71" i="1"/>
  <c r="D72" i="1"/>
  <c r="G45" i="1"/>
  <c r="F125" i="1"/>
  <c r="D5" i="7" s="1"/>
  <c r="D51" i="1"/>
  <c r="D54" i="1" s="1"/>
  <c r="D64" i="1"/>
  <c r="D152" i="1"/>
  <c r="D154" i="1"/>
  <c r="D153" i="1"/>
  <c r="D147" i="1"/>
  <c r="D150" i="1"/>
  <c r="D148" i="1"/>
  <c r="D149" i="1"/>
  <c r="D151" i="1"/>
  <c r="E78" i="1" l="1"/>
  <c r="J83" i="1" s="1"/>
  <c r="E67" i="1"/>
  <c r="M19" i="7" s="1"/>
  <c r="M4" i="7"/>
  <c r="C11" i="7"/>
  <c r="D61" i="1"/>
  <c r="D130" i="1" s="1"/>
  <c r="C75" i="1"/>
  <c r="C74" i="1"/>
  <c r="C76" i="1"/>
  <c r="C77" i="1"/>
  <c r="C71" i="1"/>
  <c r="C70" i="1"/>
  <c r="C73" i="1"/>
  <c r="C72" i="1"/>
  <c r="D78" i="1"/>
  <c r="H45" i="1"/>
  <c r="G125" i="1"/>
  <c r="E5" i="7" s="1"/>
  <c r="C51" i="1"/>
  <c r="C54" i="1" s="1"/>
  <c r="C64" i="1"/>
  <c r="C154" i="1"/>
  <c r="C153" i="1"/>
  <c r="C152" i="1"/>
  <c r="C148" i="1"/>
  <c r="C147" i="1"/>
  <c r="C150" i="1"/>
  <c r="C149" i="1"/>
  <c r="C151" i="1"/>
  <c r="J85" i="1" l="1"/>
  <c r="I92" i="1"/>
  <c r="I98" i="1"/>
  <c r="J88" i="1"/>
  <c r="J82" i="1"/>
  <c r="I94" i="1"/>
  <c r="I95" i="1"/>
  <c r="D67" i="1"/>
  <c r="J86" i="1"/>
  <c r="I97" i="1"/>
  <c r="J87" i="1"/>
  <c r="I96" i="1"/>
  <c r="C61" i="1"/>
  <c r="C130" i="1" s="1"/>
  <c r="J84" i="1"/>
  <c r="K83" i="1"/>
  <c r="J94" i="1"/>
  <c r="C78" i="1"/>
  <c r="I45" i="1"/>
  <c r="H125" i="1"/>
  <c r="F5" i="7" s="1"/>
  <c r="C67" i="1"/>
  <c r="G7" i="6" l="1"/>
  <c r="I89" i="1"/>
  <c r="J81" i="1"/>
  <c r="J92" i="1" s="1"/>
  <c r="I93" i="1"/>
  <c r="I99" i="1"/>
  <c r="L83" i="1"/>
  <c r="K94" i="1"/>
  <c r="K82" i="1"/>
  <c r="J93" i="1"/>
  <c r="K85" i="1"/>
  <c r="J96" i="1"/>
  <c r="K87" i="1"/>
  <c r="J98" i="1"/>
  <c r="G11" i="6" s="1"/>
  <c r="K84" i="1"/>
  <c r="J95" i="1"/>
  <c r="K88" i="1"/>
  <c r="J99" i="1"/>
  <c r="K86" i="1"/>
  <c r="J97" i="1"/>
  <c r="G10" i="6" s="1"/>
  <c r="J45" i="1"/>
  <c r="K45" i="1" s="1"/>
  <c r="L45" i="1" s="1"/>
  <c r="M45" i="1" s="1"/>
  <c r="N45" i="1" s="1"/>
  <c r="I125" i="1"/>
  <c r="G5" i="7" s="1"/>
  <c r="H5" i="7" s="1"/>
  <c r="E6" i="7"/>
  <c r="G8" i="6" l="1"/>
  <c r="G9" i="6"/>
  <c r="H7" i="6"/>
  <c r="G5" i="6"/>
  <c r="G6" i="6"/>
  <c r="J89" i="1"/>
  <c r="I100" i="1"/>
  <c r="K81" i="1"/>
  <c r="K92" i="1" s="1"/>
  <c r="L86" i="1"/>
  <c r="K97" i="1"/>
  <c r="H10" i="6" s="1"/>
  <c r="L84" i="1"/>
  <c r="K95" i="1"/>
  <c r="L87" i="1"/>
  <c r="K98" i="1"/>
  <c r="H11" i="6" s="1"/>
  <c r="L82" i="1"/>
  <c r="K93" i="1"/>
  <c r="H5" i="6"/>
  <c r="J100" i="1"/>
  <c r="L88" i="1"/>
  <c r="K99" i="1"/>
  <c r="L85" i="1"/>
  <c r="K96" i="1"/>
  <c r="M83" i="1"/>
  <c r="L94" i="1"/>
  <c r="K89" i="1"/>
  <c r="L81" i="1"/>
  <c r="L92" i="1" s="1"/>
  <c r="C6" i="7"/>
  <c r="H9" i="6" l="1"/>
  <c r="I7" i="6"/>
  <c r="H6" i="6"/>
  <c r="H8" i="6"/>
  <c r="M88" i="1"/>
  <c r="L99" i="1"/>
  <c r="N83" i="1"/>
  <c r="N94" i="1" s="1"/>
  <c r="M94" i="1"/>
  <c r="I5" i="6"/>
  <c r="M82" i="1"/>
  <c r="L93" i="1"/>
  <c r="M84" i="1"/>
  <c r="L95" i="1"/>
  <c r="M85" i="1"/>
  <c r="L96" i="1"/>
  <c r="K100" i="1"/>
  <c r="M87" i="1"/>
  <c r="L98" i="1"/>
  <c r="I11" i="6" s="1"/>
  <c r="M86" i="1"/>
  <c r="L97" i="1"/>
  <c r="I10" i="6" s="1"/>
  <c r="M81" i="1"/>
  <c r="M92" i="1" s="1"/>
  <c r="L89" i="1"/>
  <c r="F6" i="7"/>
  <c r="I6" i="6" l="1"/>
  <c r="J7" i="6"/>
  <c r="I9" i="6"/>
  <c r="K7" i="6"/>
  <c r="I8" i="6"/>
  <c r="N86" i="1"/>
  <c r="N97" i="1" s="1"/>
  <c r="K10" i="6" s="1"/>
  <c r="M97" i="1"/>
  <c r="J10" i="6" s="1"/>
  <c r="N85" i="1"/>
  <c r="N96" i="1" s="1"/>
  <c r="M96" i="1"/>
  <c r="J5" i="6"/>
  <c r="L100" i="1"/>
  <c r="N82" i="1"/>
  <c r="N93" i="1" s="1"/>
  <c r="M93" i="1"/>
  <c r="N87" i="1"/>
  <c r="N98" i="1" s="1"/>
  <c r="K11" i="6" s="1"/>
  <c r="M98" i="1"/>
  <c r="J11" i="6" s="1"/>
  <c r="N84" i="1"/>
  <c r="N95" i="1" s="1"/>
  <c r="M95" i="1"/>
  <c r="N88" i="1"/>
  <c r="N99" i="1" s="1"/>
  <c r="M99" i="1"/>
  <c r="M89" i="1"/>
  <c r="N81" i="1"/>
  <c r="G6" i="7"/>
  <c r="J8" i="6" l="1"/>
  <c r="J9" i="6"/>
  <c r="J6" i="6"/>
  <c r="K8" i="6"/>
  <c r="K6" i="6"/>
  <c r="K9" i="6"/>
  <c r="N89" i="1"/>
  <c r="N92" i="1"/>
  <c r="M100" i="1"/>
  <c r="D6" i="7"/>
  <c r="H4" i="7"/>
  <c r="H6" i="7" s="1"/>
  <c r="K5" i="6" l="1"/>
  <c r="N100" i="1"/>
  <c r="E35" i="1"/>
  <c r="G35" i="1"/>
  <c r="C155" i="1"/>
  <c r="C37" i="1" l="1"/>
  <c r="O11" i="7"/>
  <c r="O35" i="7"/>
  <c r="H35" i="1"/>
  <c r="G155" i="1"/>
  <c r="H155" i="1"/>
  <c r="P11" i="7" l="1"/>
  <c r="P35" i="7"/>
  <c r="F35" i="1"/>
  <c r="E155" i="1"/>
  <c r="M11" i="7"/>
  <c r="M35" i="7"/>
  <c r="D37" i="1" l="1"/>
  <c r="N11" i="7"/>
  <c r="D155" i="1"/>
  <c r="N35" i="7" l="1"/>
  <c r="F155" i="1"/>
  <c r="H161" i="1" l="1"/>
  <c r="H159" i="1"/>
  <c r="H158" i="1"/>
  <c r="H163" i="1"/>
  <c r="H160" i="1"/>
  <c r="H162" i="1"/>
  <c r="R10" i="7" l="1"/>
  <c r="H164" i="1"/>
  <c r="Q11" i="7" l="1"/>
  <c r="R9" i="7"/>
  <c r="R11" i="7" s="1"/>
  <c r="H13" i="6"/>
  <c r="I13" i="6"/>
  <c r="G13" i="6"/>
  <c r="J13" i="6"/>
  <c r="K13" i="6"/>
  <c r="A158" i="1"/>
</calcChain>
</file>

<file path=xl/comments1.xml><?xml version="1.0" encoding="utf-8"?>
<comments xmlns="http://schemas.openxmlformats.org/spreadsheetml/2006/main">
  <authors>
    <author>kyap</author>
    <author>OfficeXP</author>
  </authors>
  <commentList>
    <comment ref="E3" authorId="0">
      <text>
        <r>
          <rPr>
            <sz val="8"/>
            <color indexed="81"/>
            <rFont val="Tahoma"/>
            <family val="2"/>
          </rPr>
          <t>Inputs are assumed to be in end of year terms.</t>
        </r>
      </text>
    </comment>
    <comment ref="E11" authorId="1">
      <text>
        <r>
          <rPr>
            <sz val="8"/>
            <color indexed="81"/>
            <rFont val="Tahoma"/>
            <family val="2"/>
          </rPr>
          <t>These values are determined in accordance with the AER's guideline on the efficiency benefit sharing scheme (EBSS).</t>
        </r>
      </text>
    </comment>
    <comment ref="E12" authorId="0">
      <text>
        <r>
          <rPr>
            <sz val="8"/>
            <color indexed="81"/>
            <rFont val="Tahoma"/>
            <family val="2"/>
          </rPr>
          <t>The calculation for benchmark debt raising costs is based on the practice of treating the allowance as an opex line item.</t>
        </r>
      </text>
    </comment>
  </commentList>
</comments>
</file>

<file path=xl/sharedStrings.xml><?xml version="1.0" encoding="utf-8"?>
<sst xmlns="http://schemas.openxmlformats.org/spreadsheetml/2006/main" count="232" uniqueCount="143">
  <si>
    <t>Inputs</t>
  </si>
  <si>
    <t>ABS All cities</t>
  </si>
  <si>
    <t>Inflation index</t>
  </si>
  <si>
    <t>Taken from Roll forward model draft decision for Amadeus</t>
  </si>
  <si>
    <t>Insurance</t>
  </si>
  <si>
    <t>Asset operations and management</t>
  </si>
  <si>
    <t xml:space="preserve">Corporate overheads </t>
  </si>
  <si>
    <t>unit</t>
  </si>
  <si>
    <t>Inflation (Mar Qtr on Mar Qtr, )</t>
  </si>
  <si>
    <t>percent</t>
  </si>
  <si>
    <t>Major Expenditure Jobs</t>
  </si>
  <si>
    <t>index</t>
  </si>
  <si>
    <t>MEJs</t>
  </si>
  <si>
    <t>AER Final determination</t>
  </si>
  <si>
    <t>$'000 $2015/16</t>
  </si>
  <si>
    <t>$000 nom</t>
  </si>
  <si>
    <t>Contractors</t>
  </si>
  <si>
    <t>Total</t>
  </si>
  <si>
    <t>Year</t>
  </si>
  <si>
    <t>Labour</t>
  </si>
  <si>
    <t>Efficiency carryover</t>
  </si>
  <si>
    <t>Debt raising costs</t>
  </si>
  <si>
    <t>Proportion of opex in PTRM category</t>
  </si>
  <si>
    <t>DEWS levy</t>
  </si>
  <si>
    <t>2012/13</t>
  </si>
  <si>
    <t>2013/14</t>
  </si>
  <si>
    <t>2014/15</t>
  </si>
  <si>
    <t>2015/16</t>
  </si>
  <si>
    <t>Controllable Costs</t>
  </si>
  <si>
    <t>Total Opex</t>
  </si>
  <si>
    <t>Actual opex for current access arrangement period ($2016/17 million)</t>
  </si>
  <si>
    <t>2016/17</t>
  </si>
  <si>
    <t>Proportion of opex in controllable and non controllable</t>
  </si>
  <si>
    <t>Controllable</t>
  </si>
  <si>
    <t>Non controllable</t>
  </si>
  <si>
    <t>AER forecast costs excluding debt raising costs and Efficiency carryover</t>
  </si>
  <si>
    <t>Forecast Operating Expenditure ($m Real 2011-12)</t>
  </si>
  <si>
    <t>$m  $2011-12</t>
  </si>
  <si>
    <t>AER Final determination controlled to non controlled costs</t>
  </si>
  <si>
    <t>Actual Total Opex</t>
  </si>
  <si>
    <t xml:space="preserve">Other operating costs </t>
  </si>
  <si>
    <t xml:space="preserve">Insurance, Licences and fees </t>
  </si>
  <si>
    <t xml:space="preserve">Overheads/corporate costs </t>
  </si>
  <si>
    <t xml:space="preserve">General </t>
  </si>
  <si>
    <t xml:space="preserve">Management services fees </t>
  </si>
  <si>
    <t xml:space="preserve">Treasury/financing costs </t>
  </si>
  <si>
    <t>Step Changes</t>
  </si>
  <si>
    <t>Forecast debt raising costs</t>
  </si>
  <si>
    <t>Source: PTRM</t>
  </si>
  <si>
    <t>Total opex</t>
  </si>
  <si>
    <t>$m $2016/17</t>
  </si>
  <si>
    <t>Corporate Costs ($m nominal)</t>
  </si>
  <si>
    <t>opex</t>
  </si>
  <si>
    <t>2017/18</t>
  </si>
  <si>
    <t>2018/19</t>
  </si>
  <si>
    <t>2019/20</t>
  </si>
  <si>
    <t>2020/21</t>
  </si>
  <si>
    <t>2021/22</t>
  </si>
  <si>
    <t>CP interference testing and mitigation</t>
  </si>
  <si>
    <t>Assessment of loss of cover and mitigation</t>
  </si>
  <si>
    <t>MEJs - Forecast</t>
  </si>
  <si>
    <t>CP INTERFERENCE TESTING AND MITIGATION</t>
  </si>
  <si>
    <t>DN250, DN300, DN200 Assessment of loss of cover and mitigation</t>
  </si>
  <si>
    <t>Table 3 - Forecast MEJs ($2016/17)</t>
  </si>
  <si>
    <t>AER Allowance</t>
  </si>
  <si>
    <t>Difference</t>
  </si>
  <si>
    <t>Opex (actual and estimated)</t>
  </si>
  <si>
    <t>Figure 7.2: Total opex in real dollars ($2016/17)</t>
  </si>
  <si>
    <t>Regulatory Accounts</t>
  </si>
  <si>
    <t>Figure 7.3: Historic opex by cost category ($m 2016/17)</t>
  </si>
  <si>
    <t>Figure 7.4: APA’s 2015/16 forecast corporate overheads from financial accounts (Sm nominal)</t>
  </si>
  <si>
    <t>Figure 7</t>
  </si>
  <si>
    <t>Corporate Opex compared to previous years ($m 2015/16)</t>
  </si>
  <si>
    <t>Figure 7.6: Adjusted base year 2015/16 operating expenditure compared to other years in the earlier access arrangement period ($m 2016/17)</t>
  </si>
  <si>
    <t>Opex (excluding provisions and MEJs)</t>
  </si>
  <si>
    <t>Historic opex by PTRM category (real)</t>
  </si>
  <si>
    <t>Actual opex incurred by PTRM category (includes MEJs, excluding provisions)</t>
  </si>
  <si>
    <t>Breakdown of historic opex (Excluding MEJs and Provisions)</t>
  </si>
  <si>
    <t>$m nominal</t>
  </si>
  <si>
    <t>Calculations</t>
  </si>
  <si>
    <t>Forecast</t>
  </si>
  <si>
    <t>Actuals (excluding MEJs and Provisions)</t>
  </si>
  <si>
    <t>$m 2016/17</t>
  </si>
  <si>
    <t>$ nominal</t>
  </si>
  <si>
    <t>Base year 2016/17</t>
  </si>
  <si>
    <t>Opex</t>
  </si>
  <si>
    <t>$ 2015/16</t>
  </si>
  <si>
    <t>Tables and Graphs</t>
  </si>
  <si>
    <t>Forecast (excluding MEJs, Step Changes, Debt Raising Costs and Provisions)</t>
  </si>
  <si>
    <t>Forecast (excluding MEJs, Debt Raising costs and Provisions)</t>
  </si>
  <si>
    <t>Forecast (excluding Debt Raisng Costs and Provisions)</t>
  </si>
  <si>
    <t>Calculation</t>
  </si>
  <si>
    <t>Base year 2011/12</t>
  </si>
  <si>
    <t>Check</t>
  </si>
  <si>
    <t>Comparison of actuals to AER Allowance</t>
  </si>
  <si>
    <t>$m nom</t>
  </si>
  <si>
    <t>AER Allowance in nominal</t>
  </si>
  <si>
    <t>Actuals in Nominal (excludes provisions)</t>
  </si>
  <si>
    <t>Actual Opex in real dollars (excludes provisions and MEJs)</t>
  </si>
  <si>
    <t>Figure 7.2: Total opex in real dollars ($m 2016/17)</t>
  </si>
  <si>
    <t>Breakdown Historic Cost into controllable and Uncontrollable cost</t>
  </si>
  <si>
    <t>Figure 7.5: Corporate Overheads ($m, 2016/17)</t>
  </si>
  <si>
    <t>Corporate Costs in real dollars</t>
  </si>
  <si>
    <t>Corporate overheads</t>
  </si>
  <si>
    <t>Table 7.2: Historic total opex less major expenditure jobs from 2012/13 to 2015/16 ($000, 2016/17)</t>
  </si>
  <si>
    <t>Forecast MEJs</t>
  </si>
  <si>
    <t>$ 2016/17</t>
  </si>
  <si>
    <t>DRM levy</t>
  </si>
  <si>
    <t>$2016/17</t>
  </si>
  <si>
    <t>Proportion of opex in PTRM categories for current AA period (includes MEJs, excluding provisions)</t>
  </si>
  <si>
    <t>PTRM Opex (excludes debt raising costs)</t>
  </si>
  <si>
    <t>Table 7.4: total operating expenditure forecast ($000, 2016/17)</t>
  </si>
  <si>
    <t>Figure 7.7: total operating expenditure historic and forecast ($m 2016/17)</t>
  </si>
  <si>
    <t>Actuals</t>
  </si>
  <si>
    <t>Estimate</t>
  </si>
  <si>
    <t>Forecast (excluding debt raising costs)</t>
  </si>
  <si>
    <t>Corporate Overheads</t>
  </si>
  <si>
    <t>Figure 7.5: Corporate Overheads ($m, 2015/16)</t>
  </si>
  <si>
    <t>Figure 1: Actual Opex compared to AER allowance ($m nominal)</t>
  </si>
  <si>
    <t>Table 7.1: Comparison of AER Final Decision and actual and estimated operating expenditure over the earlier access arrangement period ($m nominal)</t>
  </si>
  <si>
    <t>Non-controllable</t>
  </si>
  <si>
    <t>Residual corporate costs for allocation</t>
  </si>
  <si>
    <t>2016/17 (f)</t>
  </si>
  <si>
    <t>Insurance, Licences and Fees</t>
  </si>
  <si>
    <t>Other operating costs</t>
  </si>
  <si>
    <t>Corporate costs</t>
  </si>
  <si>
    <t>Carbon costs</t>
  </si>
  <si>
    <t>2012-13</t>
  </si>
  <si>
    <t>2013-14</t>
  </si>
  <si>
    <t>2014-15</t>
  </si>
  <si>
    <t>2015-16</t>
  </si>
  <si>
    <t>2016-17</t>
  </si>
  <si>
    <t>Commercial Development</t>
  </si>
  <si>
    <t>Networks</t>
  </si>
  <si>
    <t>Transmission</t>
  </si>
  <si>
    <t>Generation</t>
  </si>
  <si>
    <t>Allgas</t>
  </si>
  <si>
    <t>Wallumbilla Gas Pipelines</t>
  </si>
  <si>
    <t>AGN</t>
  </si>
  <si>
    <t>AAI Table 2.2:  Operating expenditure by category over the earlier Access Arrangement Period ($m nominal)</t>
  </si>
  <si>
    <t>2016/17F</t>
  </si>
  <si>
    <t>Source: Supplied from regulatory accounts on 26/8/16</t>
  </si>
  <si>
    <t>AER forecast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</si>
</sst>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  <numFmt numFmtId="165" formatCode="0.0%"/>
    <numFmt numFmtId="166" formatCode="_(* #,##0.00_);_(* \(#,##0.00\);_(* &quot;-&quot;??_);_(@_)"/>
    <numFmt numFmtId="167" formatCode="_-* #,##0.0_-;\-* #,##0.0_-;_-* &quot;-&quot;??_-;_-@_-"/>
    <numFmt numFmtId="168" formatCode="0.0"/>
    <numFmt numFmtId="169" formatCode="#,##0.0"/>
    <numFmt numFmtId="170" formatCode="_(* #,##0.000000_);_(* \(#,##0.000000\);_(* &quot;-&quot;??_);_(@_)"/>
    <numFmt numFmtId="171" formatCode="_(* #,##0.000_);_(* \(#,##0.000\);_(* &quot;-&quot;??_);_(@_)"/>
  </numFmts>
  <fonts count="24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b/>
      <sz val="10"/>
      <color theme="1"/>
      <name val="Arial"/>
      <family val="2"/>
    </font>
    <font>
      <sz val="10"/>
      <color rgb="FFFF000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000000"/>
      <name val="Arial"/>
      <family val="2"/>
    </font>
    <font>
      <sz val="8"/>
      <color indexed="81"/>
      <name val="Tahoma"/>
      <family val="2"/>
    </font>
    <font>
      <b/>
      <sz val="9"/>
      <color rgb="FFFFFFFF"/>
      <name val="Arial Narrow"/>
      <family val="2"/>
    </font>
    <font>
      <sz val="9"/>
      <color rgb="FF25282A"/>
      <name val="Century Gothic"/>
      <family val="2"/>
    </font>
    <font>
      <b/>
      <sz val="9"/>
      <color rgb="FF25282A"/>
      <name val="Century Gothic"/>
      <family val="2"/>
    </font>
    <font>
      <b/>
      <sz val="16"/>
      <color rgb="FFC8102E"/>
      <name val="Century Gothic"/>
      <family val="2"/>
    </font>
    <font>
      <b/>
      <sz val="11"/>
      <color rgb="FFC8102E"/>
      <name val="Century Gothic"/>
      <family val="2"/>
    </font>
    <font>
      <sz val="10"/>
      <color rgb="FFFA7D00"/>
      <name val="Arial"/>
      <family val="2"/>
    </font>
    <font>
      <sz val="10"/>
      <color rgb="FF9C6500"/>
      <name val="Arial"/>
      <family val="2"/>
    </font>
    <font>
      <b/>
      <sz val="11"/>
      <name val="Calibri"/>
      <family val="2"/>
    </font>
    <font>
      <sz val="11"/>
      <color rgb="FF25282A"/>
      <name val="Century Gothic"/>
      <family val="2"/>
    </font>
    <font>
      <b/>
      <sz val="11"/>
      <color rgb="FF25282A"/>
      <name val="Century Gothic"/>
      <family val="2"/>
    </font>
  </fonts>
  <fills count="14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CC"/>
      </patternFill>
    </fill>
    <fill>
      <patternFill patternType="solid">
        <fgColor rgb="FF33333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4"/>
      </patternFill>
    </fill>
  </fills>
  <borders count="16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/>
      <top style="thin">
        <color indexed="64"/>
      </top>
      <bottom/>
      <diagonal/>
    </border>
    <border>
      <left/>
      <right/>
      <top style="thin">
        <color indexed="23"/>
      </top>
      <bottom/>
      <diagonal/>
    </border>
    <border>
      <left style="thin">
        <color rgb="FF7F7F7F"/>
      </left>
      <right style="thin">
        <color rgb="FF7F7F7F"/>
      </right>
      <top/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2" borderId="1" applyNumberFormat="0" applyAlignment="0" applyProtection="0"/>
    <xf numFmtId="0" fontId="3" fillId="3" borderId="2" applyNumberFormat="0" applyAlignment="0" applyProtection="0"/>
    <xf numFmtId="0" fontId="4" fillId="3" borderId="1" applyNumberFormat="0" applyAlignment="0" applyProtection="0"/>
    <xf numFmtId="44" fontId="1" fillId="0" borderId="0" applyFont="0" applyFill="0" applyBorder="0" applyAlignment="0" applyProtection="0"/>
    <xf numFmtId="0" fontId="9" fillId="0" borderId="0"/>
    <xf numFmtId="0" fontId="18" fillId="0" borderId="0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" fillId="9" borderId="14" applyNumberFormat="0" applyFont="0" applyAlignment="0" applyProtection="0"/>
    <xf numFmtId="0" fontId="17" fillId="0" borderId="0" applyNumberFormat="0" applyFill="0" applyAlignment="0" applyProtection="0"/>
    <xf numFmtId="0" fontId="20" fillId="12" borderId="0" applyNumberFormat="0" applyBorder="0" applyAlignment="0" applyProtection="0"/>
    <xf numFmtId="0" fontId="9" fillId="0" borderId="0"/>
    <xf numFmtId="49" fontId="21" fillId="13" borderId="15">
      <alignment horizontal="center" vertical="center" wrapText="1"/>
    </xf>
  </cellStyleXfs>
  <cellXfs count="95">
    <xf numFmtId="0" fontId="0" fillId="0" borderId="0" xfId="0"/>
    <xf numFmtId="0" fontId="2" fillId="2" borderId="1" xfId="3"/>
    <xf numFmtId="0" fontId="4" fillId="3" borderId="1" xfId="5"/>
    <xf numFmtId="0" fontId="3" fillId="3" borderId="2" xfId="4"/>
    <xf numFmtId="0" fontId="5" fillId="0" borderId="0" xfId="0" applyFont="1"/>
    <xf numFmtId="43" fontId="4" fillId="3" borderId="1" xfId="5" applyNumberFormat="1"/>
    <xf numFmtId="0" fontId="4" fillId="4" borderId="1" xfId="5" applyFill="1"/>
    <xf numFmtId="164" fontId="4" fillId="3" borderId="1" xfId="5" applyNumberFormat="1"/>
    <xf numFmtId="164" fontId="2" fillId="2" borderId="1" xfId="1" applyNumberFormat="1" applyFont="1" applyFill="1" applyBorder="1"/>
    <xf numFmtId="164" fontId="2" fillId="2" borderId="1" xfId="3" applyNumberFormat="1"/>
    <xf numFmtId="164" fontId="4" fillId="3" borderId="1" xfId="1" applyNumberFormat="1" applyFont="1" applyFill="1" applyBorder="1"/>
    <xf numFmtId="9" fontId="4" fillId="3" borderId="1" xfId="5" applyNumberFormat="1"/>
    <xf numFmtId="0" fontId="0" fillId="5" borderId="3" xfId="0" applyFill="1" applyBorder="1"/>
    <xf numFmtId="0" fontId="7" fillId="5" borderId="3" xfId="0" applyFont="1" applyFill="1" applyBorder="1" applyAlignment="1">
      <alignment vertical="center"/>
    </xf>
    <xf numFmtId="0" fontId="8" fillId="5" borderId="3" xfId="0" applyFont="1" applyFill="1" applyBorder="1" applyAlignment="1">
      <alignment vertical="center"/>
    </xf>
    <xf numFmtId="0" fontId="0" fillId="6" borderId="0" xfId="0" applyFill="1" applyBorder="1" applyAlignment="1">
      <alignment wrapText="1"/>
    </xf>
    <xf numFmtId="0" fontId="0" fillId="6" borderId="0" xfId="0" applyFill="1" applyAlignment="1">
      <alignment wrapText="1"/>
    </xf>
    <xf numFmtId="0" fontId="0" fillId="6" borderId="0" xfId="0" applyFill="1"/>
    <xf numFmtId="0" fontId="9" fillId="6" borderId="0" xfId="0" applyFont="1" applyFill="1" applyBorder="1"/>
    <xf numFmtId="0" fontId="7" fillId="6" borderId="0" xfId="0" applyFont="1" applyFill="1" applyBorder="1" applyAlignment="1">
      <alignment vertical="center"/>
    </xf>
    <xf numFmtId="0" fontId="7" fillId="6" borderId="0" xfId="6" applyNumberFormat="1" applyFont="1" applyFill="1" applyBorder="1" applyAlignment="1">
      <alignment horizontal="right" vertical="center"/>
    </xf>
    <xf numFmtId="0" fontId="0" fillId="6" borderId="0" xfId="0" applyFill="1" applyBorder="1"/>
    <xf numFmtId="166" fontId="6" fillId="7" borderId="4" xfId="7" applyNumberFormat="1" applyFont="1" applyFill="1" applyBorder="1" applyAlignment="1">
      <alignment horizontal="right"/>
    </xf>
    <xf numFmtId="166" fontId="6" fillId="7" borderId="0" xfId="7" applyNumberFormat="1" applyFont="1" applyFill="1" applyBorder="1" applyAlignment="1">
      <alignment horizontal="right"/>
    </xf>
    <xf numFmtId="166" fontId="9" fillId="6" borderId="0" xfId="0" applyNumberFormat="1" applyFont="1" applyFill="1" applyBorder="1" applyAlignment="1">
      <alignment horizontal="left" vertical="center"/>
    </xf>
    <xf numFmtId="166" fontId="9" fillId="6" borderId="0" xfId="1" applyNumberFormat="1" applyFont="1" applyFill="1" applyBorder="1" applyAlignment="1">
      <alignment horizontal="center" vertical="center"/>
    </xf>
    <xf numFmtId="166" fontId="0" fillId="0" borderId="0" xfId="0" applyNumberFormat="1" applyBorder="1"/>
    <xf numFmtId="0" fontId="10" fillId="0" borderId="6" xfId="9"/>
    <xf numFmtId="0" fontId="18" fillId="0" borderId="0" xfId="8"/>
    <xf numFmtId="0" fontId="11" fillId="0" borderId="7" xfId="10"/>
    <xf numFmtId="166" fontId="9" fillId="8" borderId="10" xfId="0" applyNumberFormat="1" applyFont="1" applyFill="1" applyBorder="1" applyAlignment="1">
      <alignment horizontal="right"/>
    </xf>
    <xf numFmtId="166" fontId="9" fillId="8" borderId="0" xfId="0" applyNumberFormat="1" applyFont="1" applyFill="1" applyBorder="1" applyAlignment="1">
      <alignment horizontal="right"/>
    </xf>
    <xf numFmtId="166" fontId="9" fillId="7" borderId="0" xfId="7" applyNumberFormat="1" applyFont="1" applyFill="1" applyBorder="1"/>
    <xf numFmtId="166" fontId="9" fillId="8" borderId="0" xfId="0" applyNumberFormat="1" applyFont="1" applyFill="1"/>
    <xf numFmtId="166" fontId="9" fillId="6" borderId="0" xfId="0" applyNumberFormat="1" applyFont="1" applyFill="1"/>
    <xf numFmtId="43" fontId="9" fillId="6" borderId="0" xfId="1" applyFont="1" applyFill="1" applyBorder="1" applyAlignment="1">
      <alignment horizontal="center" vertical="center"/>
    </xf>
    <xf numFmtId="10" fontId="2" fillId="2" borderId="1" xfId="3" applyNumberFormat="1"/>
    <xf numFmtId="43" fontId="0" fillId="0" borderId="0" xfId="0" applyNumberFormat="1"/>
    <xf numFmtId="0" fontId="0" fillId="4" borderId="0" xfId="0" applyFill="1"/>
    <xf numFmtId="0" fontId="15" fillId="4" borderId="13" xfId="0" applyFont="1" applyFill="1" applyBorder="1" applyAlignment="1">
      <alignment horizontal="left" vertical="center" wrapText="1"/>
    </xf>
    <xf numFmtId="0" fontId="16" fillId="4" borderId="13" xfId="0" applyFont="1" applyFill="1" applyBorder="1" applyAlignment="1">
      <alignment horizontal="left" vertical="center" wrapText="1"/>
    </xf>
    <xf numFmtId="164" fontId="0" fillId="4" borderId="0" xfId="0" applyNumberFormat="1" applyFill="1"/>
    <xf numFmtId="167" fontId="15" fillId="4" borderId="13" xfId="1" applyNumberFormat="1" applyFont="1" applyFill="1" applyBorder="1" applyAlignment="1">
      <alignment horizontal="center" vertical="center" wrapText="1"/>
    </xf>
    <xf numFmtId="167" fontId="16" fillId="4" borderId="13" xfId="1" applyNumberFormat="1" applyFont="1" applyFill="1" applyBorder="1" applyAlignment="1">
      <alignment horizontal="center" vertical="center" wrapText="1"/>
    </xf>
    <xf numFmtId="165" fontId="4" fillId="3" borderId="1" xfId="2" applyNumberFormat="1" applyFont="1" applyFill="1" applyBorder="1"/>
    <xf numFmtId="0" fontId="0" fillId="9" borderId="14" xfId="11" applyFont="1"/>
    <xf numFmtId="43" fontId="3" fillId="3" borderId="2" xfId="4" applyNumberFormat="1"/>
    <xf numFmtId="0" fontId="14" fillId="10" borderId="12" xfId="0" applyFont="1" applyFill="1" applyBorder="1" applyAlignment="1">
      <alignment horizontal="left" vertical="center" wrapText="1"/>
    </xf>
    <xf numFmtId="0" fontId="14" fillId="10" borderId="12" xfId="0" applyFont="1" applyFill="1" applyBorder="1" applyAlignment="1">
      <alignment horizontal="center" vertical="center" wrapText="1"/>
    </xf>
    <xf numFmtId="0" fontId="15" fillId="0" borderId="13" xfId="0" applyFont="1" applyBorder="1" applyAlignment="1">
      <alignment horizontal="left" vertical="center" wrapText="1"/>
    </xf>
    <xf numFmtId="167" fontId="16" fillId="4" borderId="0" xfId="1" applyNumberFormat="1" applyFont="1" applyFill="1" applyBorder="1" applyAlignment="1">
      <alignment horizontal="center" vertical="center" wrapText="1"/>
    </xf>
    <xf numFmtId="0" fontId="15" fillId="4" borderId="0" xfId="0" applyFont="1" applyFill="1" applyBorder="1" applyAlignment="1">
      <alignment horizontal="left" vertical="center"/>
    </xf>
    <xf numFmtId="0" fontId="16" fillId="0" borderId="13" xfId="0" applyFont="1" applyBorder="1" applyAlignment="1">
      <alignment horizontal="left" vertical="center" wrapText="1"/>
    </xf>
    <xf numFmtId="168" fontId="15" fillId="4" borderId="13" xfId="0" applyNumberFormat="1" applyFont="1" applyFill="1" applyBorder="1" applyAlignment="1">
      <alignment horizontal="center" vertical="center" wrapText="1"/>
    </xf>
    <xf numFmtId="169" fontId="15" fillId="4" borderId="13" xfId="0" applyNumberFormat="1" applyFont="1" applyFill="1" applyBorder="1" applyAlignment="1">
      <alignment horizontal="center" vertical="center" wrapText="1"/>
    </xf>
    <xf numFmtId="0" fontId="0" fillId="11" borderId="0" xfId="0" applyFill="1"/>
    <xf numFmtId="43" fontId="4" fillId="3" borderId="1" xfId="1" applyNumberFormat="1" applyFont="1" applyFill="1" applyBorder="1"/>
    <xf numFmtId="0" fontId="17" fillId="0" borderId="0" xfId="12"/>
    <xf numFmtId="0" fontId="17" fillId="0" borderId="5" xfId="12" applyBorder="1"/>
    <xf numFmtId="0" fontId="2" fillId="2" borderId="1" xfId="3" applyAlignment="1">
      <alignment wrapText="1"/>
    </xf>
    <xf numFmtId="0" fontId="0" fillId="0" borderId="0" xfId="0" applyAlignment="1">
      <alignment wrapText="1"/>
    </xf>
    <xf numFmtId="0" fontId="18" fillId="3" borderId="0" xfId="8" applyFill="1"/>
    <xf numFmtId="43" fontId="4" fillId="3" borderId="1" xfId="1" applyFont="1" applyFill="1" applyBorder="1"/>
    <xf numFmtId="0" fontId="10" fillId="3" borderId="6" xfId="9" applyFill="1"/>
    <xf numFmtId="0" fontId="17" fillId="4" borderId="0" xfId="12" applyFill="1"/>
    <xf numFmtId="0" fontId="2" fillId="9" borderId="14" xfId="11" applyFont="1"/>
    <xf numFmtId="43" fontId="2" fillId="2" borderId="1" xfId="1" applyFont="1" applyFill="1" applyBorder="1"/>
    <xf numFmtId="4" fontId="15" fillId="4" borderId="13" xfId="0" applyNumberFormat="1" applyFont="1" applyFill="1" applyBorder="1" applyAlignment="1">
      <alignment horizontal="center" vertical="center" wrapText="1"/>
    </xf>
    <xf numFmtId="165" fontId="4" fillId="3" borderId="1" xfId="5" applyNumberFormat="1"/>
    <xf numFmtId="164" fontId="16" fillId="4" borderId="0" xfId="1" applyNumberFormat="1" applyFont="1" applyFill="1" applyBorder="1" applyAlignment="1">
      <alignment horizontal="center" vertical="center" wrapText="1"/>
    </xf>
    <xf numFmtId="170" fontId="6" fillId="7" borderId="9" xfId="7" applyNumberFormat="1" applyFont="1" applyFill="1" applyBorder="1" applyAlignment="1">
      <alignment horizontal="right"/>
    </xf>
    <xf numFmtId="0" fontId="19" fillId="3" borderId="1" xfId="5" applyFont="1"/>
    <xf numFmtId="164" fontId="19" fillId="3" borderId="1" xfId="5" applyNumberFormat="1" applyFont="1"/>
    <xf numFmtId="171" fontId="6" fillId="7" borderId="9" xfId="7" applyNumberFormat="1" applyFont="1" applyFill="1" applyBorder="1" applyAlignment="1">
      <alignment horizontal="right"/>
    </xf>
    <xf numFmtId="43" fontId="15" fillId="4" borderId="13" xfId="1" applyNumberFormat="1" applyFont="1" applyFill="1" applyBorder="1" applyAlignment="1">
      <alignment horizontal="center" vertical="center" wrapText="1"/>
    </xf>
    <xf numFmtId="43" fontId="16" fillId="4" borderId="13" xfId="1" applyNumberFormat="1" applyFont="1" applyFill="1" applyBorder="1" applyAlignment="1">
      <alignment horizontal="center" vertical="center" wrapText="1"/>
    </xf>
    <xf numFmtId="43" fontId="16" fillId="0" borderId="13" xfId="0" applyNumberFormat="1" applyFont="1" applyBorder="1" applyAlignment="1">
      <alignment horizontal="center" vertical="center" wrapText="1"/>
    </xf>
    <xf numFmtId="0" fontId="16" fillId="4" borderId="0" xfId="0" applyFont="1" applyFill="1" applyBorder="1" applyAlignment="1">
      <alignment horizontal="left" vertical="center" wrapText="1"/>
    </xf>
    <xf numFmtId="3" fontId="16" fillId="4" borderId="0" xfId="0" applyNumberFormat="1" applyFont="1" applyFill="1" applyBorder="1" applyAlignment="1">
      <alignment horizontal="center" vertical="center" wrapText="1"/>
    </xf>
    <xf numFmtId="0" fontId="20" fillId="12" borderId="11" xfId="13" applyBorder="1"/>
    <xf numFmtId="2" fontId="2" fillId="2" borderId="1" xfId="3" applyNumberFormat="1"/>
    <xf numFmtId="164" fontId="0" fillId="9" borderId="14" xfId="11" applyNumberFormat="1" applyFont="1"/>
    <xf numFmtId="0" fontId="22" fillId="4" borderId="13" xfId="0" applyFont="1" applyFill="1" applyBorder="1" applyAlignment="1">
      <alignment horizontal="left" vertical="center" wrapText="1"/>
    </xf>
    <xf numFmtId="167" fontId="22" fillId="4" borderId="13" xfId="1" applyNumberFormat="1" applyFont="1" applyFill="1" applyBorder="1" applyAlignment="1">
      <alignment horizontal="center" vertical="center" wrapText="1"/>
    </xf>
    <xf numFmtId="0" fontId="23" fillId="4" borderId="13" xfId="0" applyFont="1" applyFill="1" applyBorder="1" applyAlignment="1">
      <alignment horizontal="left" vertical="center" wrapText="1"/>
    </xf>
    <xf numFmtId="167" fontId="23" fillId="4" borderId="13" xfId="1" applyNumberFormat="1" applyFont="1" applyFill="1" applyBorder="1" applyAlignment="1">
      <alignment horizontal="center" vertical="center" wrapText="1"/>
    </xf>
    <xf numFmtId="0" fontId="14" fillId="10" borderId="12" xfId="0" applyFont="1" applyFill="1" applyBorder="1" applyAlignment="1">
      <alignment horizontal="right" vertical="center" wrapText="1"/>
    </xf>
    <xf numFmtId="0" fontId="0" fillId="4" borderId="0" xfId="0" applyFont="1" applyFill="1"/>
    <xf numFmtId="166" fontId="9" fillId="6" borderId="0" xfId="0" applyNumberFormat="1" applyFont="1" applyFill="1" applyBorder="1" applyAlignment="1">
      <alignment horizontal="left" vertical="center"/>
    </xf>
    <xf numFmtId="166" fontId="0" fillId="0" borderId="8" xfId="0" applyNumberFormat="1" applyBorder="1"/>
    <xf numFmtId="166" fontId="9" fillId="6" borderId="8" xfId="0" applyNumberFormat="1" applyFont="1" applyFill="1" applyBorder="1" applyAlignment="1">
      <alignment horizontal="left" vertical="center"/>
    </xf>
    <xf numFmtId="0" fontId="7" fillId="5" borderId="3" xfId="0" applyFont="1" applyFill="1" applyBorder="1" applyAlignment="1">
      <alignment horizontal="left" vertical="center"/>
    </xf>
    <xf numFmtId="166" fontId="0" fillId="0" borderId="0" xfId="0" applyNumberFormat="1" applyBorder="1"/>
    <xf numFmtId="166" fontId="9" fillId="7" borderId="0" xfId="0" applyNumberFormat="1" applyFont="1" applyFill="1" applyBorder="1" applyAlignment="1">
      <alignment horizontal="left" vertical="center"/>
    </xf>
    <xf numFmtId="166" fontId="0" fillId="7" borderId="0" xfId="0" applyNumberFormat="1" applyFill="1" applyBorder="1"/>
  </cellXfs>
  <cellStyles count="16">
    <cellStyle name="Calculation" xfId="5" builtinId="22"/>
    <cellStyle name="Comma" xfId="1" builtinId="3"/>
    <cellStyle name="Currency" xfId="6" builtinId="4"/>
    <cellStyle name="dms_Blue_HDR" xfId="15"/>
    <cellStyle name="Heading 1" xfId="8" builtinId="16" customBuiltin="1"/>
    <cellStyle name="Heading 2" xfId="9" builtinId="17"/>
    <cellStyle name="Heading 3" xfId="10" builtinId="18"/>
    <cellStyle name="Input" xfId="3" builtinId="20"/>
    <cellStyle name="Neutral" xfId="13" builtinId="28"/>
    <cellStyle name="Normal" xfId="0" builtinId="0"/>
    <cellStyle name="Normal 13" xfId="14"/>
    <cellStyle name="Normal 8" xfId="7"/>
    <cellStyle name="Note" xfId="11" builtinId="10"/>
    <cellStyle name="Output" xfId="4" builtinId="21"/>
    <cellStyle name="Percent" xfId="2" builtinId="5"/>
    <cellStyle name="Title" xfId="12" builtinId="15" customBuiltin="1"/>
  </cellStyles>
  <dxfs count="0"/>
  <tableStyles count="0" defaultTableStyle="TableStyleMedium2" defaultPivotStyle="PivotStyleLight16"/>
  <colors>
    <mruColors>
      <color rgb="FF25282A"/>
      <color rgb="FFBEAFA8"/>
      <color rgb="FFC8102E"/>
      <color rgb="FF845AA2"/>
      <color rgb="FF1C4483"/>
      <color rgb="FF5FC8D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0283452875740203E-2"/>
          <c:y val="2.919078862043329E-2"/>
          <c:w val="0.85525851551376686"/>
          <c:h val="0.8348881508124030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'Outputs¦Tables'!$L$11</c:f>
              <c:strCache>
                <c:ptCount val="1"/>
                <c:pt idx="0">
                  <c:v>Actual Total Opex</c:v>
                </c:pt>
              </c:strCache>
            </c:strRef>
          </c:tx>
          <c:spPr>
            <a:solidFill>
              <a:srgbClr val="25282A"/>
            </a:solidFill>
          </c:spPr>
          <c:invertIfNegative val="0"/>
          <c:dPt>
            <c:idx val="4"/>
            <c:invertIfNegative val="0"/>
            <c:bubble3D val="0"/>
            <c:spPr>
              <a:solidFill>
                <a:srgbClr val="25282A"/>
              </a:solidFill>
              <a:ln>
                <a:solidFill>
                  <a:schemeClr val="accent1">
                    <a:lumMod val="40000"/>
                    <a:lumOff val="60000"/>
                  </a:schemeClr>
                </a:solidFill>
              </a:ln>
            </c:spPr>
          </c:dPt>
          <c:dPt>
            <c:idx val="5"/>
            <c:invertIfNegative val="0"/>
            <c:bubble3D val="0"/>
            <c:spPr>
              <a:solidFill>
                <a:srgbClr val="25282A"/>
              </a:solidFill>
              <a:ln>
                <a:solidFill>
                  <a:schemeClr val="accent2"/>
                </a:solidFill>
              </a:ln>
            </c:spPr>
          </c:dPt>
          <c:dPt>
            <c:idx val="6"/>
            <c:invertIfNegative val="0"/>
            <c:bubble3D val="0"/>
            <c:spPr>
              <a:solidFill>
                <a:srgbClr val="25282A"/>
              </a:solidFill>
              <a:ln>
                <a:solidFill>
                  <a:schemeClr val="accent2"/>
                </a:solidFill>
              </a:ln>
            </c:spPr>
          </c:dPt>
          <c:dPt>
            <c:idx val="7"/>
            <c:invertIfNegative val="0"/>
            <c:bubble3D val="0"/>
            <c:spPr>
              <a:solidFill>
                <a:srgbClr val="25282A"/>
              </a:solidFill>
              <a:ln>
                <a:solidFill>
                  <a:schemeClr val="accent2"/>
                </a:solidFill>
              </a:ln>
            </c:spPr>
          </c:dPt>
          <c:dPt>
            <c:idx val="8"/>
            <c:invertIfNegative val="0"/>
            <c:bubble3D val="0"/>
            <c:spPr>
              <a:solidFill>
                <a:srgbClr val="25282A"/>
              </a:solidFill>
              <a:ln>
                <a:solidFill>
                  <a:schemeClr val="accent2"/>
                </a:solidFill>
              </a:ln>
            </c:spPr>
          </c:dPt>
          <c:dPt>
            <c:idx val="9"/>
            <c:invertIfNegative val="0"/>
            <c:bubble3D val="0"/>
            <c:spPr>
              <a:solidFill>
                <a:srgbClr val="25282A"/>
              </a:solidFill>
              <a:ln>
                <a:solidFill>
                  <a:schemeClr val="accent2"/>
                </a:solidFill>
              </a:ln>
            </c:spPr>
          </c:dPt>
          <c:dPt>
            <c:idx val="10"/>
            <c:invertIfNegative val="0"/>
            <c:bubble3D val="0"/>
            <c:spPr>
              <a:solidFill>
                <a:srgbClr val="25282A"/>
              </a:solidFill>
              <a:ln>
                <a:solidFill>
                  <a:schemeClr val="accent2"/>
                </a:solidFill>
              </a:ln>
            </c:spPr>
          </c:dPt>
          <c:dLbls>
            <c:dLbl>
              <c:idx val="4"/>
              <c:layout>
                <c:manualLayout>
                  <c:x val="-2.1100983992605241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'Outputs¦Tables'!$C$3:$G$3</c:f>
              <c:strCache>
                <c:ptCount val="5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 (f)</c:v>
                </c:pt>
              </c:strCache>
            </c:strRef>
          </c:cat>
          <c:val>
            <c:numRef>
              <c:f>'Outputs¦Tables'!$C$4:$G$4</c:f>
              <c:numCache>
                <c:formatCode>_(* #,##0.00_);_(* \(#,##0.00\);_(* "-"??_);_(@_)</c:formatCode>
                <c:ptCount val="5"/>
                <c:pt idx="0">
                  <c:v>12.816844670000002</c:v>
                </c:pt>
                <c:pt idx="1">
                  <c:v>13.376711079999948</c:v>
                </c:pt>
                <c:pt idx="2">
                  <c:v>13.206980759999997</c:v>
                </c:pt>
                <c:pt idx="3">
                  <c:v>13.802136468741056</c:v>
                </c:pt>
                <c:pt idx="4">
                  <c:v>14.103202113522096</c:v>
                </c:pt>
              </c:numCache>
            </c:numRef>
          </c:val>
        </c:ser>
        <c:ser>
          <c:idx val="1"/>
          <c:order val="1"/>
          <c:tx>
            <c:strRef>
              <c:f>'Outputs¦Tables'!$B$5</c:f>
              <c:strCache>
                <c:ptCount val="1"/>
                <c:pt idx="0">
                  <c:v>AER Allowance</c:v>
                </c:pt>
              </c:strCache>
            </c:strRef>
          </c:tx>
          <c:spPr>
            <a:solidFill>
              <a:srgbClr val="C8102E"/>
            </a:solidFill>
            <a:ln>
              <a:solidFill>
                <a:schemeClr val="tx1"/>
              </a:solidFill>
            </a:ln>
          </c:spPr>
          <c:invertIfNegative val="0"/>
          <c:dLbls>
            <c:dLbl>
              <c:idx val="0"/>
              <c:layout>
                <c:manualLayout>
                  <c:x val="-1.172276888478071E-2"/>
                  <c:y val="0.371212515547921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9.3782151078245085E-3"/>
                  <c:y val="0.3829099201972783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1.4067322661736827E-2"/>
                  <c:y val="0.39019209476993411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1.6411876438693049E-2"/>
                  <c:y val="0.4004070925631324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1.4067322661736827E-2"/>
                  <c:y val="0.4255383349111694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'Outputs¦Tables'!$C$3:$G$3</c:f>
              <c:strCache>
                <c:ptCount val="5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 (f)</c:v>
                </c:pt>
              </c:strCache>
            </c:strRef>
          </c:cat>
          <c:val>
            <c:numRef>
              <c:f>'Outputs¦Tables'!$C$5:$G$5</c:f>
              <c:numCache>
                <c:formatCode>_(* #,##0.00_);_(* \(#,##0.00\);_(* "-"??_);_(@_)</c:formatCode>
                <c:ptCount val="5"/>
                <c:pt idx="0">
                  <c:v>12.828835809200063</c:v>
                </c:pt>
                <c:pt idx="1">
                  <c:v>13.277177753610919</c:v>
                </c:pt>
                <c:pt idx="2">
                  <c:v>13.556292774563003</c:v>
                </c:pt>
                <c:pt idx="3">
                  <c:v>13.947822952431665</c:v>
                </c:pt>
                <c:pt idx="4">
                  <c:v>14.911063702880517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6543104"/>
        <c:axId val="189268736"/>
      </c:barChart>
      <c:catAx>
        <c:axId val="1865431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89268736"/>
        <c:crosses val="autoZero"/>
        <c:auto val="1"/>
        <c:lblAlgn val="ctr"/>
        <c:lblOffset val="100"/>
        <c:noMultiLvlLbl val="0"/>
      </c:catAx>
      <c:valAx>
        <c:axId val="189268736"/>
        <c:scaling>
          <c:orientation val="minMax"/>
          <c:min val="0"/>
        </c:scaling>
        <c:delete val="0"/>
        <c:axPos val="l"/>
        <c:majorGridlines/>
        <c:numFmt formatCode="_(* #,##0.00_);_(* \(#,##0.00\);_(* &quot;-&quot;??_);_(@_)" sourceLinked="1"/>
        <c:majorTickMark val="out"/>
        <c:minorTickMark val="none"/>
        <c:tickLblPos val="nextTo"/>
        <c:crossAx val="186543104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0283428912377922E-2"/>
          <c:y val="3.1016408411222045E-2"/>
          <c:w val="0.85525851551376686"/>
          <c:h val="0.7986320540389894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'Outputs¦Tables'!$L$19</c:f>
              <c:strCache>
                <c:ptCount val="1"/>
                <c:pt idx="0">
                  <c:v>Actuals</c:v>
                </c:pt>
              </c:strCache>
            </c:strRef>
          </c:tx>
          <c:spPr>
            <a:solidFill>
              <a:srgbClr val="25282A"/>
            </a:solidFill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'Outputs¦Tables'!$M$18:$V$18</c:f>
              <c:strCache>
                <c:ptCount val="10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</c:strCache>
            </c:strRef>
          </c:cat>
          <c:val>
            <c:numRef>
              <c:f>'Outputs¦Tables'!$M$19:$V$19</c:f>
              <c:numCache>
                <c:formatCode>_(* #,##0.00_);_(* \(#,##0.00\);_(* "-"??_);_(@_)</c:formatCode>
                <c:ptCount val="10"/>
                <c:pt idx="0">
                  <c:v>13.854283134177365</c:v>
                </c:pt>
                <c:pt idx="1">
                  <c:v>14.033508626426952</c:v>
                </c:pt>
                <c:pt idx="2">
                  <c:v>13.681257211535577</c:v>
                </c:pt>
                <c:pt idx="3">
                  <c:v>14.112764174128158</c:v>
                </c:pt>
              </c:numCache>
            </c:numRef>
          </c:val>
        </c:ser>
        <c:ser>
          <c:idx val="0"/>
          <c:order val="1"/>
          <c:tx>
            <c:strRef>
              <c:f>'Outputs¦Tables'!$L$20</c:f>
              <c:strCache>
                <c:ptCount val="1"/>
                <c:pt idx="0">
                  <c:v>Estimate</c:v>
                </c:pt>
              </c:strCache>
            </c:strRef>
          </c:tx>
          <c:spPr>
            <a:solidFill>
              <a:srgbClr val="BEAFA8"/>
            </a:solidFill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'Outputs¦Tables'!$M$18:$V$18</c:f>
              <c:strCache>
                <c:ptCount val="10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</c:strCache>
            </c:strRef>
          </c:cat>
          <c:val>
            <c:numRef>
              <c:f>'Outputs¦Tables'!$M$20:$V$20</c:f>
              <c:numCache>
                <c:formatCode>_(* #,##0.00_);_(* \(#,##0.00\);_(* "-"??_);_(@_)</c:formatCode>
                <c:ptCount val="10"/>
                <c:pt idx="4">
                  <c:v>14.103202113522096</c:v>
                </c:pt>
              </c:numCache>
            </c:numRef>
          </c:val>
        </c:ser>
        <c:ser>
          <c:idx val="1"/>
          <c:order val="2"/>
          <c:tx>
            <c:strRef>
              <c:f>'Outputs¦Tables'!$L$21</c:f>
              <c:strCache>
                <c:ptCount val="1"/>
                <c:pt idx="0">
                  <c:v>Forecast (excluding debt raising costs)</c:v>
                </c:pt>
              </c:strCache>
            </c:strRef>
          </c:tx>
          <c:spPr>
            <a:solidFill>
              <a:srgbClr val="C8102E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25282A"/>
              </a:solidFill>
            </c:spPr>
          </c:dPt>
          <c:dPt>
            <c:idx val="1"/>
            <c:invertIfNegative val="0"/>
            <c:bubble3D val="0"/>
            <c:spPr>
              <a:solidFill>
                <a:srgbClr val="25282A"/>
              </a:solidFill>
            </c:spPr>
          </c:dPt>
          <c:dPt>
            <c:idx val="2"/>
            <c:invertIfNegative val="0"/>
            <c:bubble3D val="0"/>
            <c:spPr>
              <a:solidFill>
                <a:srgbClr val="25282A"/>
              </a:solidFill>
            </c:spPr>
          </c:dPt>
          <c:dPt>
            <c:idx val="3"/>
            <c:invertIfNegative val="0"/>
            <c:bubble3D val="0"/>
            <c:spPr>
              <a:solidFill>
                <a:srgbClr val="25282A"/>
              </a:solidFill>
            </c:spPr>
          </c:dPt>
          <c:dPt>
            <c:idx val="4"/>
            <c:invertIfNegative val="0"/>
            <c:bubble3D val="0"/>
            <c:spPr>
              <a:solidFill>
                <a:srgbClr val="BEAFA8"/>
              </a:solidFill>
            </c:spPr>
          </c:dPt>
          <c:dLbls>
            <c:dLbl>
              <c:idx val="4"/>
              <c:delete val="1"/>
            </c:dLbl>
            <c:txPr>
              <a:bodyPr/>
              <a:lstStyle/>
              <a:p>
                <a:pPr>
                  <a:defRPr>
                    <a:solidFill>
                      <a:srgbClr val="25282A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'Outputs¦Tables'!$M$18:$V$18</c:f>
              <c:strCache>
                <c:ptCount val="10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</c:strCache>
            </c:strRef>
          </c:cat>
          <c:val>
            <c:numRef>
              <c:f>'Outputs¦Tables'!$M$21:$V$21</c:f>
              <c:numCache>
                <c:formatCode>_(* #,##0.00_);_(* \(#,##0.00\);_(* "-"??_);_(@_)</c:formatCode>
                <c:ptCount val="10"/>
                <c:pt idx="5">
                  <c:v>14.256652113522096</c:v>
                </c:pt>
                <c:pt idx="6">
                  <c:v>14.256652113522096</c:v>
                </c:pt>
                <c:pt idx="7">
                  <c:v>14.154352113522096</c:v>
                </c:pt>
                <c:pt idx="8">
                  <c:v>14.103202113522096</c:v>
                </c:pt>
                <c:pt idx="9">
                  <c:v>14.103202113522096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89310080"/>
        <c:axId val="189311616"/>
      </c:barChart>
      <c:catAx>
        <c:axId val="1893100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89311616"/>
        <c:crosses val="autoZero"/>
        <c:auto val="1"/>
        <c:lblAlgn val="ctr"/>
        <c:lblOffset val="100"/>
        <c:noMultiLvlLbl val="0"/>
      </c:catAx>
      <c:valAx>
        <c:axId val="189311616"/>
        <c:scaling>
          <c:orientation val="minMax"/>
          <c:min val="0"/>
        </c:scaling>
        <c:delete val="0"/>
        <c:axPos val="l"/>
        <c:majorGridlines/>
        <c:numFmt formatCode="_(* #,##0.00_);_(* \(#,##0.00\);_(* &quot;-&quot;??_);_(@_)" sourceLinked="1"/>
        <c:majorTickMark val="out"/>
        <c:minorTickMark val="none"/>
        <c:tickLblPos val="nextTo"/>
        <c:crossAx val="189310080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0283452875740203E-2"/>
          <c:y val="2.919078862043329E-2"/>
          <c:w val="0.85525851551376686"/>
          <c:h val="0.7951326269361387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'Outputs¦Tables'!$L$9</c:f>
              <c:strCache>
                <c:ptCount val="1"/>
                <c:pt idx="0">
                  <c:v>Controllable Costs</c:v>
                </c:pt>
              </c:strCache>
            </c:strRef>
          </c:tx>
          <c:spPr>
            <a:solidFill>
              <a:srgbClr val="C8102E"/>
            </a:solidFill>
          </c:spPr>
          <c:invertIfNegative val="0"/>
          <c:dLbls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'Outputs¦Tables'!$M$8:$Q$8</c:f>
              <c:strCache>
                <c:ptCount val="5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 (f)</c:v>
                </c:pt>
              </c:strCache>
            </c:strRef>
          </c:cat>
          <c:val>
            <c:numRef>
              <c:f>'Outputs¦Tables'!$M$9:$Q$9</c:f>
              <c:numCache>
                <c:formatCode>_-* #,##0.0_-;\-* #,##0.0_-;_-* "-"??_-;_-@_-</c:formatCode>
                <c:ptCount val="5"/>
                <c:pt idx="0">
                  <c:v>8.4288900851525401</c:v>
                </c:pt>
                <c:pt idx="1">
                  <c:v>8.6556735258477158</c:v>
                </c:pt>
                <c:pt idx="2">
                  <c:v>8.084156358921069</c:v>
                </c:pt>
                <c:pt idx="3">
                  <c:v>9.4659346092299987</c:v>
                </c:pt>
                <c:pt idx="4">
                  <c:v>9.5588198201837056</c:v>
                </c:pt>
              </c:numCache>
            </c:numRef>
          </c:val>
        </c:ser>
        <c:ser>
          <c:idx val="1"/>
          <c:order val="1"/>
          <c:tx>
            <c:strRef>
              <c:f>'Outputs¦Tables'!$L$10</c:f>
              <c:strCache>
                <c:ptCount val="1"/>
                <c:pt idx="0">
                  <c:v>Non-controllable</c:v>
                </c:pt>
              </c:strCache>
            </c:strRef>
          </c:tx>
          <c:spPr>
            <a:solidFill>
              <a:srgbClr val="25282A"/>
            </a:solidFill>
          </c:spPr>
          <c:invertIfNegative val="0"/>
          <c:dLbls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'Outputs¦Tables'!$M$8:$Q$8</c:f>
              <c:strCache>
                <c:ptCount val="5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 (f)</c:v>
                </c:pt>
              </c:strCache>
            </c:strRef>
          </c:cat>
          <c:val>
            <c:numRef>
              <c:f>'Outputs¦Tables'!$M$10:$Q$10</c:f>
              <c:numCache>
                <c:formatCode>_-* #,##0.0_-;\-* #,##0.0_-;_-* "-"??_-;_-@_-</c:formatCode>
                <c:ptCount val="5"/>
                <c:pt idx="0">
                  <c:v>5.4253930490248266</c:v>
                </c:pt>
                <c:pt idx="1">
                  <c:v>5.3922337042251769</c:v>
                </c:pt>
                <c:pt idx="2">
                  <c:v>5.6036920544809554</c:v>
                </c:pt>
                <c:pt idx="3">
                  <c:v>4.6536509982920995</c:v>
                </c:pt>
                <c:pt idx="4">
                  <c:v>4.6993153064164979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92348160"/>
        <c:axId val="192349696"/>
      </c:barChart>
      <c:catAx>
        <c:axId val="1923481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92349696"/>
        <c:crosses val="autoZero"/>
        <c:auto val="1"/>
        <c:lblAlgn val="ctr"/>
        <c:lblOffset val="100"/>
        <c:noMultiLvlLbl val="0"/>
      </c:catAx>
      <c:valAx>
        <c:axId val="192349696"/>
        <c:scaling>
          <c:orientation val="minMax"/>
          <c:min val="0"/>
        </c:scaling>
        <c:delete val="0"/>
        <c:axPos val="l"/>
        <c:majorGridlines/>
        <c:numFmt formatCode="_-* #,##0.0_-;\-* #,##0.0_-;_-* &quot;-&quot;??_-;_-@_-" sourceLinked="1"/>
        <c:majorTickMark val="out"/>
        <c:minorTickMark val="none"/>
        <c:tickLblPos val="nextTo"/>
        <c:crossAx val="192348160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'Outputs¦Tables'!$L$4</c:f>
              <c:strCache>
                <c:ptCount val="1"/>
                <c:pt idx="0">
                  <c:v>Total opex</c:v>
                </c:pt>
              </c:strCache>
            </c:strRef>
          </c:tx>
          <c:spPr>
            <a:ln w="38100">
              <a:solidFill>
                <a:srgbClr val="C8102E"/>
              </a:solidFill>
            </a:ln>
          </c:spPr>
          <c:marker>
            <c:symbol val="none"/>
          </c:marker>
          <c:cat>
            <c:strRef>
              <c:f>'Outputs¦Tables'!$M$26:$P$26</c:f>
              <c:strCache>
                <c:ptCount val="4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</c:strCache>
            </c:strRef>
          </c:cat>
          <c:val>
            <c:numRef>
              <c:f>'Outputs¦Tables'!$M$4:$P$4</c:f>
              <c:numCache>
                <c:formatCode>0.0</c:formatCode>
                <c:ptCount val="4"/>
                <c:pt idx="0">
                  <c:v>13.854283134177365</c:v>
                </c:pt>
                <c:pt idx="1">
                  <c:v>13.893540540951122</c:v>
                </c:pt>
                <c:pt idx="2">
                  <c:v>13.592362208581344</c:v>
                </c:pt>
                <c:pt idx="3">
                  <c:v>13.966158113522097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2359040"/>
        <c:axId val="192364928"/>
      </c:lineChart>
      <c:catAx>
        <c:axId val="192359040"/>
        <c:scaling>
          <c:orientation val="minMax"/>
        </c:scaling>
        <c:delete val="0"/>
        <c:axPos val="b"/>
        <c:majorTickMark val="out"/>
        <c:minorTickMark val="none"/>
        <c:tickLblPos val="nextTo"/>
        <c:crossAx val="192364928"/>
        <c:crosses val="autoZero"/>
        <c:auto val="1"/>
        <c:lblAlgn val="ctr"/>
        <c:lblOffset val="100"/>
        <c:noMultiLvlLbl val="0"/>
      </c:catAx>
      <c:valAx>
        <c:axId val="192364928"/>
        <c:scaling>
          <c:orientation val="minMax"/>
          <c:min val="0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19235904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strRef>
              <c:f>Calc!$A$118</c:f>
              <c:strCache>
                <c:ptCount val="1"/>
                <c:pt idx="0">
                  <c:v>Corporate Costs ($m nominal)</c:v>
                </c:pt>
              </c:strCache>
            </c:strRef>
          </c:tx>
          <c:spPr>
            <a:ln>
              <a:solidFill>
                <a:srgbClr val="25282A"/>
              </a:solidFill>
            </a:ln>
          </c:spPr>
          <c:dPt>
            <c:idx val="0"/>
            <c:bubble3D val="0"/>
            <c:spPr>
              <a:solidFill>
                <a:srgbClr val="C8102E"/>
              </a:solidFill>
              <a:ln>
                <a:solidFill>
                  <a:srgbClr val="25282A"/>
                </a:solidFill>
              </a:ln>
            </c:spPr>
          </c:dPt>
          <c:dPt>
            <c:idx val="1"/>
            <c:bubble3D val="0"/>
            <c:spPr>
              <a:solidFill>
                <a:schemeClr val="bg1"/>
              </a:solidFill>
              <a:ln>
                <a:solidFill>
                  <a:srgbClr val="25282A"/>
                </a:solidFill>
              </a:ln>
            </c:spPr>
          </c:dPt>
          <c:dPt>
            <c:idx val="2"/>
            <c:bubble3D val="0"/>
            <c:spPr>
              <a:solidFill>
                <a:srgbClr val="BEAFA8"/>
              </a:solidFill>
              <a:ln>
                <a:solidFill>
                  <a:srgbClr val="25282A"/>
                </a:solidFill>
              </a:ln>
            </c:spPr>
          </c:dPt>
          <c:dPt>
            <c:idx val="3"/>
            <c:bubble3D val="0"/>
            <c:spPr>
              <a:solidFill>
                <a:srgbClr val="5FC8D7"/>
              </a:solidFill>
              <a:ln>
                <a:solidFill>
                  <a:srgbClr val="25282A"/>
                </a:solidFill>
              </a:ln>
            </c:spPr>
          </c:dPt>
          <c:dPt>
            <c:idx val="4"/>
            <c:bubble3D val="0"/>
            <c:spPr>
              <a:solidFill>
                <a:srgbClr val="1C4483"/>
              </a:solidFill>
              <a:ln>
                <a:solidFill>
                  <a:srgbClr val="25282A"/>
                </a:solidFill>
              </a:ln>
            </c:spPr>
          </c:dPt>
          <c:dPt>
            <c:idx val="5"/>
            <c:bubble3D val="0"/>
            <c:spPr>
              <a:solidFill>
                <a:srgbClr val="BEAFA8"/>
              </a:solidFill>
              <a:ln>
                <a:solidFill>
                  <a:srgbClr val="25282A"/>
                </a:solidFill>
              </a:ln>
            </c:spPr>
          </c:dPt>
          <c:dPt>
            <c:idx val="6"/>
            <c:bubble3D val="0"/>
            <c:spPr>
              <a:solidFill>
                <a:srgbClr val="845AA2"/>
              </a:solidFill>
              <a:ln>
                <a:solidFill>
                  <a:srgbClr val="25282A"/>
                </a:solidFill>
              </a:ln>
            </c:spPr>
          </c:dPt>
          <c:dPt>
            <c:idx val="7"/>
            <c:bubble3D val="0"/>
            <c:spPr>
              <a:solidFill>
                <a:srgbClr val="25282A"/>
              </a:solidFill>
              <a:ln>
                <a:solidFill>
                  <a:srgbClr val="25282A"/>
                </a:solidFill>
              </a:ln>
            </c:spPr>
          </c:dPt>
          <c:dLbls>
            <c:dLbl>
              <c:idx val="0"/>
              <c:layout>
                <c:manualLayout>
                  <c:x val="-1.175849713444499E-2"/>
                  <c:y val="5.164565280511804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/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Calc!$A$119:$H$119</c:f>
              <c:strCache>
                <c:ptCount val="8"/>
                <c:pt idx="0">
                  <c:v>Residual corporate costs for allocation</c:v>
                </c:pt>
                <c:pt idx="1">
                  <c:v>Commercial Development</c:v>
                </c:pt>
                <c:pt idx="2">
                  <c:v>Networks</c:v>
                </c:pt>
                <c:pt idx="3">
                  <c:v>Transmission</c:v>
                </c:pt>
                <c:pt idx="4">
                  <c:v>Generation</c:v>
                </c:pt>
                <c:pt idx="5">
                  <c:v>Allgas</c:v>
                </c:pt>
                <c:pt idx="6">
                  <c:v>Wallumbilla Gas Pipelines</c:v>
                </c:pt>
                <c:pt idx="7">
                  <c:v>AGN</c:v>
                </c:pt>
              </c:strCache>
            </c:strRef>
          </c:cat>
          <c:val>
            <c:numRef>
              <c:f>Calc!$A$120:$H$120</c:f>
              <c:numCache>
                <c:formatCode>0.00</c:formatCode>
                <c:ptCount val="8"/>
                <c:pt idx="0">
                  <c:v>49.8</c:v>
                </c:pt>
                <c:pt idx="1">
                  <c:v>11.8</c:v>
                </c:pt>
                <c:pt idx="2">
                  <c:v>0</c:v>
                </c:pt>
                <c:pt idx="3">
                  <c:v>1.5</c:v>
                </c:pt>
                <c:pt idx="4">
                  <c:v>1.8</c:v>
                </c:pt>
                <c:pt idx="5">
                  <c:v>7</c:v>
                </c:pt>
                <c:pt idx="6">
                  <c:v>1</c:v>
                </c:pt>
                <c:pt idx="7">
                  <c:v>13.6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legend>
      <c:legendPos val="r"/>
      <c:layout>
        <c:manualLayout>
          <c:xMode val="edge"/>
          <c:yMode val="edge"/>
          <c:x val="0.64191666666666669"/>
          <c:y val="0.15491214639836687"/>
          <c:w val="0.34141666666666665"/>
          <c:h val="0.70406423155438902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0283452875740203E-2"/>
          <c:y val="3.2579924035506316E-2"/>
          <c:w val="0.85525851551376686"/>
          <c:h val="0.8314989791253756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'Outputs¦Tables'!$B$11</c:f>
              <c:strCache>
                <c:ptCount val="1"/>
                <c:pt idx="0">
                  <c:v>opex</c:v>
                </c:pt>
              </c:strCache>
            </c:strRef>
          </c:tx>
          <c:spPr>
            <a:solidFill>
              <a:srgbClr val="C8102E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25282A"/>
              </a:solidFill>
            </c:spPr>
          </c:dPt>
          <c:dPt>
            <c:idx val="1"/>
            <c:invertIfNegative val="0"/>
            <c:bubble3D val="0"/>
            <c:spPr>
              <a:solidFill>
                <a:srgbClr val="25282A"/>
              </a:solidFill>
            </c:spPr>
          </c:dPt>
          <c:dPt>
            <c:idx val="2"/>
            <c:invertIfNegative val="0"/>
            <c:bubble3D val="0"/>
            <c:spPr>
              <a:solidFill>
                <a:srgbClr val="25282A"/>
              </a:solidFill>
            </c:spPr>
          </c:dPt>
          <c:dPt>
            <c:idx val="3"/>
            <c:invertIfNegative val="0"/>
            <c:bubble3D val="0"/>
          </c:dPt>
          <c:dPt>
            <c:idx val="4"/>
            <c:invertIfNegative val="0"/>
            <c:bubble3D val="0"/>
            <c:spPr>
              <a:solidFill>
                <a:srgbClr val="BEAFA8"/>
              </a:solidFill>
            </c:spPr>
          </c:dPt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'Outputs¦Tables'!$C$8:$F$10</c:f>
              <c:strCache>
                <c:ptCount val="4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</c:strCache>
            </c:strRef>
          </c:cat>
          <c:val>
            <c:numRef>
              <c:f>'Outputs¦Tables'!$C$11:$F$11</c:f>
              <c:numCache>
                <c:formatCode>#,##0.00</c:formatCode>
                <c:ptCount val="4"/>
                <c:pt idx="0">
                  <c:v>13.854283134177365</c:v>
                </c:pt>
                <c:pt idx="1">
                  <c:v>13.893540540951122</c:v>
                </c:pt>
                <c:pt idx="2">
                  <c:v>13.592362208581344</c:v>
                </c:pt>
                <c:pt idx="3">
                  <c:v>13.966158113522097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2398848"/>
        <c:axId val="192400384"/>
      </c:barChart>
      <c:catAx>
        <c:axId val="1923988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92400384"/>
        <c:crosses val="autoZero"/>
        <c:auto val="1"/>
        <c:lblAlgn val="ctr"/>
        <c:lblOffset val="100"/>
        <c:noMultiLvlLbl val="0"/>
      </c:catAx>
      <c:valAx>
        <c:axId val="192400384"/>
        <c:scaling>
          <c:orientation val="minMax"/>
          <c:min val="0"/>
        </c:scaling>
        <c:delete val="0"/>
        <c:axPos val="l"/>
        <c:majorGridlines/>
        <c:numFmt formatCode="#,##0.00" sourceLinked="1"/>
        <c:majorTickMark val="out"/>
        <c:minorTickMark val="none"/>
        <c:tickLblPos val="nextTo"/>
        <c:crossAx val="19239884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0283452875740203E-2"/>
          <c:y val="6.0309166666666657E-2"/>
          <c:w val="0.85525851551376686"/>
          <c:h val="0.803769722222222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'Outputs¦Tables'!$L$15</c:f>
              <c:strCache>
                <c:ptCount val="1"/>
                <c:pt idx="0">
                  <c:v>Corporate Overheads</c:v>
                </c:pt>
              </c:strCache>
            </c:strRef>
          </c:tx>
          <c:spPr>
            <a:solidFill>
              <a:srgbClr val="C8102E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25282A"/>
              </a:solidFill>
            </c:spPr>
          </c:dPt>
          <c:dPt>
            <c:idx val="1"/>
            <c:invertIfNegative val="0"/>
            <c:bubble3D val="0"/>
            <c:spPr>
              <a:solidFill>
                <a:srgbClr val="25282A"/>
              </a:solidFill>
            </c:spPr>
          </c:dPt>
          <c:dPt>
            <c:idx val="2"/>
            <c:invertIfNegative val="0"/>
            <c:bubble3D val="0"/>
            <c:spPr>
              <a:solidFill>
                <a:srgbClr val="25282A"/>
              </a:solidFill>
            </c:spPr>
          </c:dPt>
          <c:dPt>
            <c:idx val="3"/>
            <c:invertIfNegative val="0"/>
            <c:bubble3D val="0"/>
          </c:dPt>
          <c:dPt>
            <c:idx val="4"/>
            <c:invertIfNegative val="0"/>
            <c:bubble3D val="0"/>
            <c:spPr>
              <a:solidFill>
                <a:srgbClr val="BEAFA8"/>
              </a:solidFill>
            </c:spPr>
          </c:dPt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Calc!$E$1:$H$1</c:f>
              <c:numCache>
                <c:formatCode>General</c:formatCode>
                <c:ptCount val="4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</c:numCache>
            </c:numRef>
          </c:cat>
          <c:val>
            <c:numRef>
              <c:f>'Outputs¦Tables'!$M$15:$P$15</c:f>
              <c:numCache>
                <c:formatCode>0.0</c:formatCode>
                <c:ptCount val="4"/>
                <c:pt idx="0">
                  <c:v>4.2334622500000032</c:v>
                </c:pt>
                <c:pt idx="1">
                  <c:v>4.3437374600000007</c:v>
                </c:pt>
                <c:pt idx="2">
                  <c:v>4.3650634700000008</c:v>
                </c:pt>
                <c:pt idx="3">
                  <c:v>3.9379039887410561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4146688"/>
        <c:axId val="194148224"/>
      </c:barChart>
      <c:catAx>
        <c:axId val="1941466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94148224"/>
        <c:crosses val="autoZero"/>
        <c:auto val="1"/>
        <c:lblAlgn val="ctr"/>
        <c:lblOffset val="100"/>
        <c:noMultiLvlLbl val="0"/>
      </c:catAx>
      <c:valAx>
        <c:axId val="194148224"/>
        <c:scaling>
          <c:orientation val="minMax"/>
          <c:min val="0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19414668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trlProps/ctrlProp1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342900</xdr:colOff>
          <xdr:row>3</xdr:row>
          <xdr:rowOff>152400</xdr:rowOff>
        </xdr:from>
        <xdr:to>
          <xdr:col>18</xdr:col>
          <xdr:colOff>0</xdr:colOff>
          <xdr:row>5</xdr:row>
          <xdr:rowOff>152400</xdr:rowOff>
        </xdr:to>
        <xdr:sp macro="" textlink="">
          <xdr:nvSpPr>
            <xdr:cNvPr id="3073" name="Button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AU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Insert new row</a:t>
              </a:r>
            </a:p>
          </xdr:txBody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156881</xdr:rowOff>
    </xdr:from>
    <xdr:to>
      <xdr:col>9</xdr:col>
      <xdr:colOff>559059</xdr:colOff>
      <xdr:row>25</xdr:row>
      <xdr:rowOff>148587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30</xdr:col>
      <xdr:colOff>0</xdr:colOff>
      <xdr:row>2</xdr:row>
      <xdr:rowOff>112059</xdr:rowOff>
    </xdr:from>
    <xdr:to>
      <xdr:col>38</xdr:col>
      <xdr:colOff>559058</xdr:colOff>
      <xdr:row>25</xdr:row>
      <xdr:rowOff>103765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179295</xdr:colOff>
      <xdr:row>3</xdr:row>
      <xdr:rowOff>11206</xdr:rowOff>
    </xdr:from>
    <xdr:to>
      <xdr:col>18</xdr:col>
      <xdr:colOff>334942</xdr:colOff>
      <xdr:row>26</xdr:row>
      <xdr:rowOff>2912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29</xdr:row>
      <xdr:rowOff>11205</xdr:rowOff>
    </xdr:from>
    <xdr:to>
      <xdr:col>10</xdr:col>
      <xdr:colOff>0</xdr:colOff>
      <xdr:row>51</xdr:row>
      <xdr:rowOff>145676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123264</xdr:colOff>
      <xdr:row>29</xdr:row>
      <xdr:rowOff>35859</xdr:rowOff>
    </xdr:from>
    <xdr:to>
      <xdr:col>18</xdr:col>
      <xdr:colOff>278911</xdr:colOff>
      <xdr:row>52</xdr:row>
      <xdr:rowOff>27565</xdr:rowOff>
    </xdr:to>
    <xdr:graphicFrame macro="">
      <xdr:nvGraphicFramePr>
        <xdr:cNvPr id="9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19</xdr:col>
      <xdr:colOff>504266</xdr:colOff>
      <xdr:row>29</xdr:row>
      <xdr:rowOff>78441</xdr:rowOff>
    </xdr:from>
    <xdr:to>
      <xdr:col>28</xdr:col>
      <xdr:colOff>458207</xdr:colOff>
      <xdr:row>52</xdr:row>
      <xdr:rowOff>70147</xdr:rowOff>
    </xdr:to>
    <xdr:graphicFrame macro="">
      <xdr:nvGraphicFramePr>
        <xdr:cNvPr id="11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20</xdr:col>
      <xdr:colOff>33618</xdr:colOff>
      <xdr:row>2</xdr:row>
      <xdr:rowOff>145676</xdr:rowOff>
    </xdr:from>
    <xdr:to>
      <xdr:col>28</xdr:col>
      <xdr:colOff>592676</xdr:colOff>
      <xdr:row>25</xdr:row>
      <xdr:rowOff>137382</xdr:rowOff>
    </xdr:to>
    <xdr:graphicFrame macro="">
      <xdr:nvGraphicFramePr>
        <xdr:cNvPr id="10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gulatory/APT%20Assets/RBP/RBP%20AA%202017-22/RIN/Final%20RIN/Final%20RIN%20-%20RBP%20response%20-%20version%2020160706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ER only"/>
      <sheetName val="Instructions"/>
      <sheetName val="Contents"/>
      <sheetName val="Business &amp; other details"/>
      <sheetName val="1. Inflation"/>
      <sheetName val="3. Opex"/>
      <sheetName val="3.2 Provisions"/>
      <sheetName val="4. Capex"/>
      <sheetName val="7. Capital Base"/>
      <sheetName val="8. Revenue"/>
      <sheetName val="12. Demand"/>
      <sheetName val="13. Pipeline capacity"/>
      <sheetName val="14. Bill impacts"/>
      <sheetName val="Unlocked"/>
    </sheetNames>
    <sheetDataSet>
      <sheetData sheetId="0"/>
      <sheetData sheetId="1"/>
      <sheetData sheetId="2"/>
      <sheetData sheetId="3">
        <row r="35">
          <cell r="C35" t="str">
            <v>2017-18</v>
          </cell>
          <cell r="D35" t="str">
            <v>2018-19</v>
          </cell>
          <cell r="E35" t="str">
            <v>2019-20</v>
          </cell>
          <cell r="F35" t="str">
            <v>2020-21</v>
          </cell>
          <cell r="G35" t="str">
            <v>2021-22</v>
          </cell>
        </row>
        <row r="38">
          <cell r="C38" t="str">
            <v>2012-13</v>
          </cell>
          <cell r="D38" t="str">
            <v>2013-14</v>
          </cell>
          <cell r="E38" t="str">
            <v>2014-15</v>
          </cell>
          <cell r="F38" t="str">
            <v>2015-16</v>
          </cell>
          <cell r="G38" t="str">
            <v>2016-17</v>
          </cell>
        </row>
        <row r="63">
          <cell r="C63" t="str">
            <v>June 2017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C00000"/>
  </sheetPr>
  <dimension ref="A3:Z32"/>
  <sheetViews>
    <sheetView tabSelected="1" workbookViewId="0"/>
  </sheetViews>
  <sheetFormatPr defaultRowHeight="12.75" x14ac:dyDescent="0.2"/>
  <cols>
    <col min="1" max="1" width="22.42578125" bestFit="1" customWidth="1"/>
    <col min="7" max="11" width="9.7109375" bestFit="1" customWidth="1"/>
  </cols>
  <sheetData>
    <row r="3" spans="1:26" ht="15" customHeight="1" x14ac:dyDescent="0.2">
      <c r="A3" s="12"/>
      <c r="B3" s="12"/>
      <c r="C3" s="12"/>
      <c r="D3" s="12"/>
      <c r="E3" s="91" t="str">
        <f>"Forecast Operating Expenditure ($m Real 2016/17)"</f>
        <v>Forecast Operating Expenditure ($m Real 2016/17)</v>
      </c>
      <c r="F3" s="91"/>
      <c r="G3" s="91"/>
      <c r="H3" s="13"/>
      <c r="I3" s="13"/>
      <c r="J3" s="14"/>
      <c r="K3" s="12"/>
      <c r="L3" s="12"/>
      <c r="M3" s="12"/>
      <c r="N3" s="12"/>
      <c r="O3" s="12"/>
      <c r="P3" s="12"/>
      <c r="Q3" s="12"/>
      <c r="R3" s="12"/>
      <c r="S3" s="15"/>
      <c r="T3" s="16"/>
      <c r="U3" s="17"/>
      <c r="V3" s="17"/>
      <c r="W3" s="17"/>
      <c r="X3" s="17"/>
      <c r="Y3" s="17"/>
      <c r="Z3" s="17"/>
    </row>
    <row r="4" spans="1:26" x14ac:dyDescent="0.2">
      <c r="A4" s="18"/>
      <c r="B4" s="18"/>
      <c r="C4" s="18"/>
      <c r="D4" s="18"/>
      <c r="E4" s="19" t="s">
        <v>18</v>
      </c>
      <c r="F4" s="17"/>
      <c r="G4" s="20">
        <f>Calc!J1</f>
        <v>2018</v>
      </c>
      <c r="H4" s="20">
        <f>Calc!K1</f>
        <v>2019</v>
      </c>
      <c r="I4" s="20">
        <f>Calc!L1</f>
        <v>2020</v>
      </c>
      <c r="J4" s="20">
        <f>Calc!M1</f>
        <v>2021</v>
      </c>
      <c r="K4" s="20">
        <f>Calc!N1</f>
        <v>2022</v>
      </c>
      <c r="L4" s="20" t="e">
        <f t="shared" ref="L4" si="0">#REF!</f>
        <v>#REF!</v>
      </c>
      <c r="M4" s="20" t="e">
        <f t="shared" ref="M4" si="1">#REF!</f>
        <v>#REF!</v>
      </c>
      <c r="N4" s="20" t="e">
        <f t="shared" ref="N4" si="2">#REF!</f>
        <v>#REF!</v>
      </c>
      <c r="O4" s="20" t="e">
        <f t="shared" ref="O4" si="3">#REF!</f>
        <v>#REF!</v>
      </c>
      <c r="P4" s="20" t="e">
        <f t="shared" ref="P4" si="4">#REF!</f>
        <v>#REF!</v>
      </c>
      <c r="Q4" s="17"/>
      <c r="R4" s="21"/>
      <c r="S4" s="15"/>
      <c r="T4" s="16"/>
      <c r="U4" s="17"/>
      <c r="V4" s="17"/>
      <c r="W4" s="17"/>
      <c r="X4" s="17"/>
      <c r="Y4" s="17"/>
      <c r="Z4" s="17"/>
    </row>
    <row r="5" spans="1:26" ht="15" customHeight="1" x14ac:dyDescent="0.2">
      <c r="A5" s="21"/>
      <c r="B5" s="21"/>
      <c r="C5" s="21"/>
      <c r="D5" s="21"/>
      <c r="E5" s="88" t="str">
        <f>Calc!A92</f>
        <v>Labour</v>
      </c>
      <c r="F5" s="89"/>
      <c r="G5" s="73">
        <f>Calc!J92</f>
        <v>7.0569743830917897</v>
      </c>
      <c r="H5" s="73">
        <f>Calc!K92</f>
        <v>7.0569743830917897</v>
      </c>
      <c r="I5" s="73">
        <f>Calc!L92</f>
        <v>7.0063363739966844</v>
      </c>
      <c r="J5" s="73">
        <f>Calc!M92</f>
        <v>6.9810173694491313</v>
      </c>
      <c r="K5" s="73">
        <f>Calc!N92</f>
        <v>6.9810173694491313</v>
      </c>
      <c r="L5" s="30">
        <v>0</v>
      </c>
      <c r="M5" s="30">
        <v>0</v>
      </c>
      <c r="N5" s="30">
        <v>0</v>
      </c>
      <c r="O5" s="30">
        <v>0</v>
      </c>
      <c r="P5" s="30">
        <v>0</v>
      </c>
      <c r="Q5" s="17"/>
      <c r="R5" s="21"/>
      <c r="S5" s="15"/>
      <c r="T5" s="16"/>
      <c r="U5" s="17"/>
      <c r="V5" s="17"/>
      <c r="W5" s="17"/>
      <c r="X5" s="17"/>
      <c r="Y5" s="17"/>
      <c r="Z5" s="17"/>
    </row>
    <row r="6" spans="1:26" ht="15" customHeight="1" x14ac:dyDescent="0.2">
      <c r="A6" s="21"/>
      <c r="B6" s="21"/>
      <c r="C6" s="21"/>
      <c r="D6" s="21"/>
      <c r="E6" s="88" t="str">
        <f>Calc!A93</f>
        <v>Contractors</v>
      </c>
      <c r="F6" s="89"/>
      <c r="G6" s="73">
        <f>Calc!J93</f>
        <v>1.5835794198121282</v>
      </c>
      <c r="H6" s="73">
        <f>Calc!K93</f>
        <v>1.5835794198121282</v>
      </c>
      <c r="I6" s="73">
        <f>Calc!L93</f>
        <v>1.5722162909823851</v>
      </c>
      <c r="J6" s="73">
        <f>Calc!M93</f>
        <v>1.5665347265675136</v>
      </c>
      <c r="K6" s="73">
        <f>Calc!N93</f>
        <v>1.5665347265675136</v>
      </c>
      <c r="L6" s="31">
        <v>0</v>
      </c>
      <c r="M6" s="31">
        <v>0</v>
      </c>
      <c r="N6" s="31">
        <v>0</v>
      </c>
      <c r="O6" s="31">
        <v>0</v>
      </c>
      <c r="P6" s="31">
        <v>0</v>
      </c>
      <c r="Q6" s="17"/>
      <c r="R6" s="21"/>
      <c r="S6" s="15"/>
      <c r="T6" s="16"/>
      <c r="U6" s="17"/>
      <c r="V6" s="17"/>
      <c r="W6" s="17"/>
      <c r="X6" s="17"/>
      <c r="Y6" s="17"/>
      <c r="Z6" s="17"/>
    </row>
    <row r="7" spans="1:26" ht="15" customHeight="1" x14ac:dyDescent="0.2">
      <c r="A7" s="21"/>
      <c r="B7" s="21"/>
      <c r="C7" s="21"/>
      <c r="D7" s="21"/>
      <c r="E7" s="88" t="str">
        <f>Calc!A94</f>
        <v xml:space="preserve">Other operating costs </v>
      </c>
      <c r="F7" s="89"/>
      <c r="G7" s="73">
        <f>Calc!J94</f>
        <v>0.91727178804302201</v>
      </c>
      <c r="H7" s="73">
        <f>Calc!K94</f>
        <v>0.91727178804302201</v>
      </c>
      <c r="I7" s="73">
        <f>Calc!L94</f>
        <v>0.91068981471789612</v>
      </c>
      <c r="J7" s="73">
        <f>Calc!M94</f>
        <v>0.90739882805533323</v>
      </c>
      <c r="K7" s="73">
        <f>Calc!N94</f>
        <v>0.90739882805533323</v>
      </c>
      <c r="L7" s="31">
        <v>0</v>
      </c>
      <c r="M7" s="31">
        <v>0</v>
      </c>
      <c r="N7" s="31">
        <v>0</v>
      </c>
      <c r="O7" s="31">
        <v>0</v>
      </c>
      <c r="P7" s="31">
        <v>0</v>
      </c>
      <c r="Q7" s="17"/>
      <c r="R7" s="21"/>
      <c r="S7" s="15"/>
      <c r="T7" s="16"/>
      <c r="U7" s="17"/>
      <c r="V7" s="17"/>
      <c r="W7" s="17"/>
      <c r="X7" s="17"/>
      <c r="Y7" s="17"/>
      <c r="Z7" s="17"/>
    </row>
    <row r="8" spans="1:26" ht="15" customHeight="1" x14ac:dyDescent="0.2">
      <c r="A8" s="21"/>
      <c r="B8" s="21"/>
      <c r="C8" s="21"/>
      <c r="D8" s="21"/>
      <c r="E8" s="88" t="str">
        <f>Calc!A95</f>
        <v xml:space="preserve">Insurance, Licences and fees </v>
      </c>
      <c r="F8" s="89"/>
      <c r="G8" s="73">
        <f>Calc!J95</f>
        <v>0.63124413407460733</v>
      </c>
      <c r="H8" s="73">
        <f>Calc!K95</f>
        <v>0.63124413407460733</v>
      </c>
      <c r="I8" s="73">
        <f>Calc!L95</f>
        <v>0.62671458012311665</v>
      </c>
      <c r="J8" s="73">
        <f>Calc!M95</f>
        <v>0.62444980314737131</v>
      </c>
      <c r="K8" s="73">
        <f>Calc!N95</f>
        <v>0.62444980314737131</v>
      </c>
      <c r="L8" s="31">
        <v>0</v>
      </c>
      <c r="M8" s="31">
        <v>0</v>
      </c>
      <c r="N8" s="31">
        <v>0</v>
      </c>
      <c r="O8" s="31">
        <v>0</v>
      </c>
      <c r="P8" s="31">
        <v>0</v>
      </c>
      <c r="Q8" s="17"/>
      <c r="R8" s="21"/>
      <c r="S8" s="15"/>
      <c r="T8" s="16"/>
      <c r="U8" s="17"/>
      <c r="V8" s="17"/>
      <c r="W8" s="17"/>
      <c r="X8" s="17"/>
      <c r="Y8" s="17"/>
      <c r="Z8" s="17"/>
    </row>
    <row r="9" spans="1:26" ht="15" customHeight="1" x14ac:dyDescent="0.2">
      <c r="A9" s="21"/>
      <c r="B9" s="21"/>
      <c r="C9" s="21"/>
      <c r="D9" s="21"/>
      <c r="E9" s="88" t="str">
        <f>Calc!A96</f>
        <v xml:space="preserve">Overheads/corporate costs </v>
      </c>
      <c r="F9" s="89"/>
      <c r="G9" s="73">
        <f>Calc!J96</f>
        <v>4.067582388500548</v>
      </c>
      <c r="H9" s="73">
        <f>Calc!K96</f>
        <v>4.067582388500548</v>
      </c>
      <c r="I9" s="73">
        <f>Calc!L96</f>
        <v>4.0383950537020139</v>
      </c>
      <c r="J9" s="73">
        <f>Calc!M96</f>
        <v>4.0238013863027469</v>
      </c>
      <c r="K9" s="73">
        <f>Calc!N96</f>
        <v>4.0238013863027469</v>
      </c>
      <c r="L9" s="31">
        <v>0</v>
      </c>
      <c r="M9" s="31">
        <v>0</v>
      </c>
      <c r="N9" s="31">
        <v>0</v>
      </c>
      <c r="O9" s="31">
        <v>0</v>
      </c>
      <c r="P9" s="31">
        <v>0</v>
      </c>
      <c r="Q9" s="17"/>
      <c r="R9" s="21"/>
      <c r="S9" s="15"/>
      <c r="T9" s="16"/>
      <c r="U9" s="17"/>
      <c r="V9" s="17"/>
      <c r="W9" s="17"/>
      <c r="X9" s="17"/>
      <c r="Y9" s="17"/>
      <c r="Z9" s="17"/>
    </row>
    <row r="10" spans="1:26" ht="15" customHeight="1" x14ac:dyDescent="0.2">
      <c r="A10" s="21"/>
      <c r="B10" s="21"/>
      <c r="C10" s="21"/>
      <c r="D10" s="21"/>
      <c r="E10" s="88" t="str">
        <f>Calc!A97</f>
        <v xml:space="preserve">General </v>
      </c>
      <c r="F10" s="89"/>
      <c r="G10" s="73">
        <f>Calc!J97</f>
        <v>0</v>
      </c>
      <c r="H10" s="73">
        <f>Calc!K97</f>
        <v>0</v>
      </c>
      <c r="I10" s="73">
        <f>Calc!L97</f>
        <v>0</v>
      </c>
      <c r="J10" s="73">
        <f>Calc!M97</f>
        <v>0</v>
      </c>
      <c r="K10" s="73">
        <f>Calc!N97</f>
        <v>0</v>
      </c>
      <c r="L10" s="31">
        <v>0</v>
      </c>
      <c r="M10" s="31">
        <v>0</v>
      </c>
      <c r="N10" s="31">
        <v>0</v>
      </c>
      <c r="O10" s="31">
        <v>0</v>
      </c>
      <c r="P10" s="31">
        <v>0</v>
      </c>
      <c r="Q10" s="17"/>
      <c r="R10" s="21"/>
      <c r="S10" s="15"/>
      <c r="T10" s="16"/>
      <c r="U10" s="17"/>
      <c r="V10" s="17"/>
      <c r="W10" s="17"/>
      <c r="X10" s="17"/>
      <c r="Y10" s="17"/>
      <c r="Z10" s="17"/>
    </row>
    <row r="11" spans="1:26" ht="15" customHeight="1" x14ac:dyDescent="0.2">
      <c r="A11" s="21"/>
      <c r="B11" s="21"/>
      <c r="C11" s="21"/>
      <c r="D11" s="21"/>
      <c r="E11" s="88" t="s">
        <v>20</v>
      </c>
      <c r="F11" s="90"/>
      <c r="G11" s="70">
        <f>Calc!J98</f>
        <v>0</v>
      </c>
      <c r="H11" s="70">
        <f>Calc!K98</f>
        <v>0</v>
      </c>
      <c r="I11" s="70">
        <f>Calc!L98</f>
        <v>0</v>
      </c>
      <c r="J11" s="70">
        <f>Calc!M98</f>
        <v>0</v>
      </c>
      <c r="K11" s="70">
        <f>Calc!N98</f>
        <v>0</v>
      </c>
      <c r="L11" s="33">
        <v>0</v>
      </c>
      <c r="M11" s="33">
        <v>0</v>
      </c>
      <c r="N11" s="33">
        <v>0</v>
      </c>
      <c r="O11" s="33">
        <v>0</v>
      </c>
      <c r="P11" s="33">
        <v>0</v>
      </c>
      <c r="Q11" s="17"/>
      <c r="R11" s="21"/>
      <c r="S11" s="15"/>
      <c r="T11" s="16"/>
      <c r="U11" s="17"/>
      <c r="V11" s="17"/>
      <c r="W11" s="17"/>
      <c r="X11" s="17"/>
      <c r="Y11" s="17"/>
      <c r="Z11" s="17"/>
    </row>
    <row r="12" spans="1:26" ht="15" customHeight="1" x14ac:dyDescent="0.2">
      <c r="A12" s="21"/>
      <c r="B12" s="21"/>
      <c r="C12" s="21"/>
      <c r="D12" s="21"/>
      <c r="E12" s="88" t="s">
        <v>21</v>
      </c>
      <c r="F12" s="90"/>
      <c r="G12" s="32"/>
      <c r="H12" s="32"/>
      <c r="I12" s="32"/>
      <c r="J12" s="32"/>
      <c r="K12" s="32"/>
      <c r="L12" s="34"/>
      <c r="M12" s="34"/>
      <c r="N12" s="34"/>
      <c r="O12" s="34"/>
      <c r="P12" s="34"/>
      <c r="Q12" s="17"/>
      <c r="R12" s="21"/>
      <c r="S12" s="15"/>
      <c r="T12" s="16"/>
      <c r="U12" s="17"/>
      <c r="V12" s="17"/>
      <c r="W12" s="17"/>
      <c r="X12" s="17"/>
      <c r="Y12" s="17"/>
      <c r="Z12" s="17"/>
    </row>
    <row r="13" spans="1:26" ht="15" customHeight="1" x14ac:dyDescent="0.2">
      <c r="A13" s="18"/>
      <c r="B13" s="18"/>
      <c r="C13" s="18"/>
      <c r="D13" s="18"/>
      <c r="E13" s="88" t="s">
        <v>17</v>
      </c>
      <c r="F13" s="88"/>
      <c r="G13" s="25">
        <f t="shared" ref="G13:P13" si="5">SUM(G5:G12)</f>
        <v>14.256652113522097</v>
      </c>
      <c r="H13" s="35">
        <f t="shared" si="5"/>
        <v>14.256652113522097</v>
      </c>
      <c r="I13" s="35">
        <f t="shared" si="5"/>
        <v>14.154352113522098</v>
      </c>
      <c r="J13" s="35">
        <f t="shared" si="5"/>
        <v>14.103202113522096</v>
      </c>
      <c r="K13" s="35">
        <f t="shared" si="5"/>
        <v>14.103202113522096</v>
      </c>
      <c r="L13" s="35">
        <f t="shared" si="5"/>
        <v>0</v>
      </c>
      <c r="M13" s="35">
        <f t="shared" si="5"/>
        <v>0</v>
      </c>
      <c r="N13" s="35">
        <f t="shared" si="5"/>
        <v>0</v>
      </c>
      <c r="O13" s="35">
        <f t="shared" si="5"/>
        <v>0</v>
      </c>
      <c r="P13" s="35">
        <f t="shared" si="5"/>
        <v>0</v>
      </c>
      <c r="Q13" s="17"/>
      <c r="R13" s="21"/>
      <c r="S13" s="15"/>
      <c r="T13" s="16"/>
      <c r="U13" s="17"/>
      <c r="V13" s="17"/>
      <c r="W13" s="17"/>
      <c r="X13" s="17"/>
      <c r="Y13" s="17"/>
      <c r="Z13" s="17"/>
    </row>
    <row r="32" spans="7:7" x14ac:dyDescent="0.2">
      <c r="G32" s="37"/>
    </row>
  </sheetData>
  <mergeCells count="10">
    <mergeCell ref="E10:F10"/>
    <mergeCell ref="E11:F11"/>
    <mergeCell ref="E12:F12"/>
    <mergeCell ref="E13:F13"/>
    <mergeCell ref="E3:G3"/>
    <mergeCell ref="E5:F5"/>
    <mergeCell ref="E6:F6"/>
    <mergeCell ref="E7:F7"/>
    <mergeCell ref="E9:F9"/>
    <mergeCell ref="E8:F8"/>
  </mergeCell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Button 1">
              <controlPr defaultSize="0" print="0" autoFill="0" autoPict="0">
                <anchor moveWithCells="1" sizeWithCells="1">
                  <from>
                    <xdr:col>16</xdr:col>
                    <xdr:colOff>342900</xdr:colOff>
                    <xdr:row>3</xdr:row>
                    <xdr:rowOff>152400</xdr:rowOff>
                  </from>
                  <to>
                    <xdr:col>18</xdr:col>
                    <xdr:colOff>0</xdr:colOff>
                    <xdr:row>5</xdr:row>
                    <xdr:rowOff>152400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AM57"/>
  <sheetViews>
    <sheetView zoomScale="160" zoomScaleNormal="160" workbookViewId="0"/>
  </sheetViews>
  <sheetFormatPr defaultRowHeight="12.75" x14ac:dyDescent="0.2"/>
  <cols>
    <col min="11" max="11" width="10.5703125" customWidth="1"/>
    <col min="12" max="12" width="18.5703125" bestFit="1" customWidth="1"/>
    <col min="13" max="13" width="14.5703125" customWidth="1"/>
  </cols>
  <sheetData>
    <row r="1" spans="1:39" x14ac:dyDescent="0.2">
      <c r="A1" s="38"/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8"/>
      <c r="AG1" s="38"/>
      <c r="AH1" s="38"/>
      <c r="AI1" s="38"/>
      <c r="AJ1" s="38"/>
      <c r="AK1" s="38"/>
      <c r="AL1" s="38"/>
      <c r="AM1" s="38"/>
    </row>
    <row r="2" spans="1:39" x14ac:dyDescent="0.2">
      <c r="A2" s="38"/>
      <c r="B2" s="38" t="s">
        <v>118</v>
      </c>
      <c r="C2" s="38"/>
      <c r="D2" s="38"/>
      <c r="E2" s="38"/>
      <c r="F2" s="38"/>
      <c r="G2" s="38"/>
      <c r="H2" s="38"/>
      <c r="I2" s="38"/>
      <c r="J2" s="38"/>
      <c r="K2" s="38"/>
      <c r="L2" s="38" t="s">
        <v>69</v>
      </c>
      <c r="M2" s="38"/>
      <c r="N2" s="38"/>
      <c r="O2" s="38"/>
      <c r="P2" s="38"/>
      <c r="Q2" s="38"/>
      <c r="R2" s="38"/>
      <c r="S2" s="38"/>
      <c r="T2" s="38"/>
      <c r="U2" s="38" t="s">
        <v>101</v>
      </c>
      <c r="V2" s="38"/>
      <c r="W2" s="38"/>
      <c r="X2" s="38"/>
      <c r="Y2" s="38"/>
      <c r="Z2" s="38"/>
      <c r="AA2" s="38"/>
      <c r="AB2" s="38"/>
      <c r="AC2" s="38"/>
      <c r="AD2" s="38"/>
      <c r="AE2" s="38" t="s">
        <v>71</v>
      </c>
      <c r="AF2" s="38"/>
      <c r="AG2" s="38"/>
      <c r="AH2" s="38"/>
      <c r="AI2" s="38"/>
      <c r="AJ2" s="38"/>
      <c r="AK2" s="38"/>
      <c r="AL2" s="38"/>
      <c r="AM2" s="38"/>
    </row>
    <row r="3" spans="1:39" x14ac:dyDescent="0.2">
      <c r="A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38"/>
      <c r="AG3" s="38"/>
      <c r="AH3" s="38"/>
      <c r="AI3" s="38"/>
      <c r="AJ3" s="38"/>
      <c r="AK3" s="38"/>
      <c r="AL3" s="38"/>
      <c r="AM3" s="38"/>
    </row>
    <row r="4" spans="1:39" x14ac:dyDescent="0.2">
      <c r="A4" s="38"/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  <c r="AA4" s="38"/>
      <c r="AB4" s="38"/>
      <c r="AC4" s="38"/>
      <c r="AD4" s="38"/>
      <c r="AE4" s="38"/>
      <c r="AF4" s="38"/>
      <c r="AG4" s="38"/>
      <c r="AH4" s="38"/>
      <c r="AI4" s="38"/>
      <c r="AJ4" s="38"/>
      <c r="AK4" s="38"/>
      <c r="AL4" s="38"/>
      <c r="AM4" s="38"/>
    </row>
    <row r="5" spans="1:39" x14ac:dyDescent="0.2">
      <c r="A5" s="38"/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  <c r="AB5" s="38"/>
      <c r="AC5" s="38"/>
      <c r="AD5" s="38"/>
      <c r="AE5" s="38"/>
      <c r="AF5" s="38"/>
      <c r="AG5" s="38"/>
      <c r="AH5" s="38"/>
      <c r="AI5" s="38"/>
      <c r="AJ5" s="38"/>
      <c r="AK5" s="38"/>
      <c r="AL5" s="38"/>
      <c r="AM5" s="38"/>
    </row>
    <row r="6" spans="1:39" x14ac:dyDescent="0.2">
      <c r="A6" s="38"/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  <c r="AA6" s="38"/>
      <c r="AB6" s="38"/>
      <c r="AC6" s="38"/>
      <c r="AD6" s="38"/>
      <c r="AE6" s="38"/>
      <c r="AF6" s="38"/>
      <c r="AG6" s="38"/>
      <c r="AH6" s="38"/>
      <c r="AI6" s="38"/>
      <c r="AJ6" s="38"/>
      <c r="AK6" s="38"/>
      <c r="AL6" s="38"/>
      <c r="AM6" s="38"/>
    </row>
    <row r="7" spans="1:39" x14ac:dyDescent="0.2">
      <c r="A7" s="38"/>
      <c r="B7" s="38"/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  <c r="X7" s="38"/>
      <c r="Y7" s="38"/>
      <c r="Z7" s="38"/>
      <c r="AA7" s="38"/>
      <c r="AB7" s="38"/>
      <c r="AC7" s="38"/>
      <c r="AD7" s="38"/>
      <c r="AE7" s="38"/>
      <c r="AF7" s="38"/>
      <c r="AG7" s="38"/>
      <c r="AH7" s="38"/>
      <c r="AI7" s="38"/>
      <c r="AJ7" s="38"/>
      <c r="AK7" s="38"/>
      <c r="AL7" s="38"/>
      <c r="AM7" s="38"/>
    </row>
    <row r="8" spans="1:39" x14ac:dyDescent="0.2">
      <c r="A8" s="38"/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</row>
    <row r="9" spans="1:39" x14ac:dyDescent="0.2">
      <c r="A9" s="38"/>
      <c r="B9" s="38"/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  <c r="AF9" s="38"/>
      <c r="AG9" s="38"/>
      <c r="AH9" s="38"/>
      <c r="AI9" s="38"/>
      <c r="AJ9" s="38"/>
      <c r="AK9" s="38"/>
      <c r="AL9" s="38"/>
      <c r="AM9" s="38"/>
    </row>
    <row r="10" spans="1:39" x14ac:dyDescent="0.2">
      <c r="A10" s="38"/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</row>
    <row r="11" spans="1:39" x14ac:dyDescent="0.2">
      <c r="A11" s="38"/>
      <c r="B11" s="38"/>
      <c r="C11" s="38"/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  <c r="AF11" s="38"/>
      <c r="AG11" s="38"/>
      <c r="AH11" s="38"/>
      <c r="AI11" s="38"/>
      <c r="AJ11" s="38"/>
      <c r="AK11" s="38"/>
      <c r="AL11" s="38"/>
      <c r="AM11" s="38"/>
    </row>
    <row r="12" spans="1:39" x14ac:dyDescent="0.2">
      <c r="A12" s="38"/>
      <c r="B12" s="38"/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  <c r="AF12" s="38"/>
      <c r="AG12" s="38"/>
      <c r="AH12" s="38"/>
      <c r="AI12" s="38"/>
      <c r="AJ12" s="38"/>
      <c r="AK12" s="38"/>
      <c r="AL12" s="38"/>
      <c r="AM12" s="38"/>
    </row>
    <row r="13" spans="1:39" x14ac:dyDescent="0.2">
      <c r="A13" s="38"/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  <c r="AF13" s="38"/>
      <c r="AG13" s="38"/>
      <c r="AH13" s="38"/>
      <c r="AI13" s="38"/>
      <c r="AJ13" s="38"/>
      <c r="AK13" s="38"/>
      <c r="AL13" s="38"/>
      <c r="AM13" s="38"/>
    </row>
    <row r="14" spans="1:39" x14ac:dyDescent="0.2">
      <c r="A14" s="38"/>
      <c r="B14" s="38"/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</row>
    <row r="15" spans="1:39" x14ac:dyDescent="0.2">
      <c r="A15" s="38"/>
      <c r="B15" s="38"/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38"/>
      <c r="AK15" s="38"/>
      <c r="AL15" s="38"/>
      <c r="AM15" s="38"/>
    </row>
    <row r="16" spans="1:39" x14ac:dyDescent="0.2">
      <c r="A16" s="38"/>
      <c r="B16" s="38"/>
      <c r="C16" s="38"/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38"/>
      <c r="AJ16" s="38"/>
      <c r="AK16" s="38"/>
      <c r="AL16" s="38"/>
      <c r="AM16" s="38"/>
    </row>
    <row r="17" spans="1:39" x14ac:dyDescent="0.2">
      <c r="A17" s="38"/>
      <c r="B17" s="38"/>
      <c r="C17" s="38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</row>
    <row r="18" spans="1:39" x14ac:dyDescent="0.2">
      <c r="A18" s="38"/>
      <c r="B18" s="38"/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38"/>
      <c r="AI18" s="38"/>
      <c r="AJ18" s="38"/>
      <c r="AK18" s="38"/>
      <c r="AL18" s="38"/>
      <c r="AM18" s="38"/>
    </row>
    <row r="19" spans="1:39" x14ac:dyDescent="0.2">
      <c r="A19" s="38"/>
      <c r="B19" s="38"/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8"/>
      <c r="AJ19" s="38"/>
      <c r="AK19" s="38"/>
      <c r="AL19" s="38"/>
      <c r="AM19" s="38"/>
    </row>
    <row r="20" spans="1:39" x14ac:dyDescent="0.2">
      <c r="A20" s="38"/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  <c r="AF20" s="38"/>
      <c r="AG20" s="38"/>
      <c r="AH20" s="38"/>
      <c r="AI20" s="38"/>
      <c r="AJ20" s="38"/>
      <c r="AK20" s="38"/>
      <c r="AL20" s="38"/>
      <c r="AM20" s="38"/>
    </row>
    <row r="21" spans="1:39" x14ac:dyDescent="0.2">
      <c r="A21" s="38"/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</row>
    <row r="22" spans="1:39" x14ac:dyDescent="0.2">
      <c r="A22" s="38"/>
      <c r="B22" s="38"/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38"/>
      <c r="AJ22" s="38"/>
      <c r="AK22" s="38"/>
      <c r="AL22" s="38"/>
      <c r="AM22" s="38"/>
    </row>
    <row r="23" spans="1:39" x14ac:dyDescent="0.2">
      <c r="A23" s="38"/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</row>
    <row r="24" spans="1:39" x14ac:dyDescent="0.2">
      <c r="A24" s="38"/>
      <c r="B24" s="38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</row>
    <row r="25" spans="1:39" x14ac:dyDescent="0.2">
      <c r="A25" s="38"/>
      <c r="B25" s="38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</row>
    <row r="26" spans="1:39" x14ac:dyDescent="0.2">
      <c r="A26" s="38"/>
      <c r="B26" s="38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  <c r="AJ26" s="38"/>
      <c r="AK26" s="38"/>
      <c r="AL26" s="38"/>
      <c r="AM26" s="38"/>
    </row>
    <row r="27" spans="1:39" x14ac:dyDescent="0.2">
      <c r="A27" s="38"/>
      <c r="B27" s="38"/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</row>
    <row r="28" spans="1:39" x14ac:dyDescent="0.2">
      <c r="A28" s="38"/>
      <c r="B28" s="38" t="s">
        <v>67</v>
      </c>
      <c r="C28" s="38"/>
      <c r="D28" s="38"/>
      <c r="E28" s="38"/>
      <c r="F28" s="38"/>
      <c r="G28" s="38"/>
      <c r="H28" s="38"/>
      <c r="I28" s="38"/>
      <c r="J28" s="38"/>
      <c r="K28" s="38"/>
      <c r="L28" s="38" t="s">
        <v>70</v>
      </c>
      <c r="M28" s="38"/>
      <c r="N28" s="38"/>
      <c r="O28" s="38"/>
      <c r="P28" s="38"/>
      <c r="Q28" s="38"/>
      <c r="R28" s="38"/>
      <c r="S28" s="38"/>
      <c r="T28" s="38"/>
      <c r="U28" s="38" t="s">
        <v>73</v>
      </c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38"/>
      <c r="AI28" s="38"/>
      <c r="AJ28" s="38"/>
      <c r="AK28" s="38"/>
      <c r="AL28" s="38"/>
      <c r="AM28" s="38"/>
    </row>
    <row r="29" spans="1:39" x14ac:dyDescent="0.2">
      <c r="A29" s="38"/>
      <c r="B29" s="38"/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  <c r="AF29" s="38"/>
      <c r="AG29" s="38"/>
      <c r="AH29" s="38"/>
      <c r="AI29" s="38"/>
      <c r="AJ29" s="38"/>
      <c r="AK29" s="38"/>
      <c r="AL29" s="38"/>
      <c r="AM29" s="38"/>
    </row>
    <row r="30" spans="1:39" x14ac:dyDescent="0.2">
      <c r="A30" s="38"/>
      <c r="B30" s="38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38"/>
      <c r="AK30" s="38"/>
      <c r="AL30" s="38"/>
      <c r="AM30" s="38"/>
    </row>
    <row r="31" spans="1:39" x14ac:dyDescent="0.2">
      <c r="A31" s="38"/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  <c r="AF31" s="38"/>
      <c r="AG31" s="38"/>
      <c r="AH31" s="38"/>
      <c r="AI31" s="38"/>
      <c r="AJ31" s="38"/>
      <c r="AK31" s="38"/>
      <c r="AL31" s="38"/>
      <c r="AM31" s="38"/>
    </row>
    <row r="32" spans="1:39" x14ac:dyDescent="0.2">
      <c r="A32" s="38"/>
      <c r="B32" s="38"/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38"/>
      <c r="AI32" s="38"/>
    </row>
    <row r="33" spans="1:35" x14ac:dyDescent="0.2">
      <c r="A33" s="38"/>
      <c r="B33" s="38"/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  <c r="AF33" s="38"/>
      <c r="AG33" s="38"/>
      <c r="AH33" s="38"/>
      <c r="AI33" s="38"/>
    </row>
    <row r="34" spans="1:35" x14ac:dyDescent="0.2">
      <c r="A34" s="38"/>
      <c r="B34" s="38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38"/>
      <c r="AI34" s="38"/>
    </row>
    <row r="35" spans="1:35" x14ac:dyDescent="0.2">
      <c r="A35" s="38"/>
      <c r="B35" s="38"/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  <c r="AF35" s="38"/>
      <c r="AG35" s="38"/>
      <c r="AH35" s="38"/>
      <c r="AI35" s="38"/>
    </row>
    <row r="36" spans="1:35" x14ac:dyDescent="0.2">
      <c r="A36" s="38"/>
      <c r="B36" s="38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  <c r="AF36" s="38"/>
      <c r="AG36" s="38"/>
      <c r="AH36" s="38"/>
      <c r="AI36" s="38"/>
    </row>
    <row r="37" spans="1:35" x14ac:dyDescent="0.2">
      <c r="A37" s="38"/>
      <c r="B37" s="38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</row>
    <row r="38" spans="1:35" x14ac:dyDescent="0.2">
      <c r="A38" s="38"/>
      <c r="B38" s="38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38"/>
      <c r="AI38" s="38"/>
    </row>
    <row r="39" spans="1:35" x14ac:dyDescent="0.2">
      <c r="A39" s="38"/>
      <c r="B39" s="38"/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  <c r="AF39" s="38"/>
      <c r="AG39" s="38"/>
      <c r="AH39" s="38"/>
      <c r="AI39" s="38"/>
    </row>
    <row r="40" spans="1:35" x14ac:dyDescent="0.2">
      <c r="A40" s="38"/>
      <c r="B40" s="38"/>
      <c r="C40" s="38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  <c r="AF40" s="38"/>
      <c r="AG40" s="38"/>
      <c r="AH40" s="38"/>
      <c r="AI40" s="38"/>
    </row>
    <row r="41" spans="1:35" x14ac:dyDescent="0.2">
      <c r="A41" s="38"/>
      <c r="B41" s="38"/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38"/>
      <c r="AF41" s="38"/>
      <c r="AG41" s="38"/>
      <c r="AH41" s="38"/>
      <c r="AI41" s="38"/>
    </row>
    <row r="42" spans="1:35" x14ac:dyDescent="0.2">
      <c r="A42" s="38"/>
      <c r="B42" s="38"/>
      <c r="C42" s="38"/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  <c r="AF42" s="38"/>
      <c r="AG42" s="38"/>
      <c r="AH42" s="38"/>
      <c r="AI42" s="38"/>
    </row>
    <row r="43" spans="1:35" x14ac:dyDescent="0.2">
      <c r="A43" s="38"/>
      <c r="B43" s="38"/>
      <c r="C43" s="38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  <c r="AE43" s="38"/>
      <c r="AF43" s="38"/>
      <c r="AG43" s="38"/>
      <c r="AH43" s="38"/>
      <c r="AI43" s="38"/>
    </row>
    <row r="44" spans="1:35" x14ac:dyDescent="0.2">
      <c r="A44" s="38"/>
      <c r="B44" s="38"/>
      <c r="C44" s="38"/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  <c r="AF44" s="38"/>
      <c r="AG44" s="38"/>
      <c r="AH44" s="38"/>
      <c r="AI44" s="38"/>
    </row>
    <row r="45" spans="1:35" x14ac:dyDescent="0.2">
      <c r="A45" s="38"/>
      <c r="B45" s="38"/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38"/>
      <c r="AE45" s="38"/>
      <c r="AF45" s="38"/>
      <c r="AG45" s="38"/>
      <c r="AH45" s="38"/>
      <c r="AI45" s="38"/>
    </row>
    <row r="46" spans="1:35" x14ac:dyDescent="0.2">
      <c r="A46" s="38"/>
      <c r="B46" s="38"/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  <c r="AF46" s="38"/>
      <c r="AG46" s="38"/>
      <c r="AH46" s="38"/>
      <c r="AI46" s="38"/>
    </row>
    <row r="47" spans="1:35" x14ac:dyDescent="0.2">
      <c r="A47" s="38"/>
      <c r="B47" s="38"/>
      <c r="C47" s="38"/>
      <c r="D47" s="38"/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  <c r="AF47" s="38"/>
      <c r="AG47" s="38"/>
      <c r="AH47" s="38"/>
      <c r="AI47" s="38"/>
    </row>
    <row r="48" spans="1:35" x14ac:dyDescent="0.2">
      <c r="A48" s="38"/>
      <c r="B48" s="38"/>
      <c r="C48" s="38"/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  <c r="AF48" s="38"/>
      <c r="AG48" s="38"/>
      <c r="AH48" s="38"/>
      <c r="AI48" s="38"/>
    </row>
    <row r="49" spans="1:35" x14ac:dyDescent="0.2">
      <c r="A49" s="38"/>
      <c r="B49" s="38"/>
      <c r="C49" s="38"/>
      <c r="D49" s="38"/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8"/>
      <c r="AI49" s="38"/>
    </row>
    <row r="50" spans="1:35" x14ac:dyDescent="0.2">
      <c r="A50" s="38"/>
      <c r="B50" s="38"/>
      <c r="C50" s="38"/>
      <c r="D50" s="38"/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  <c r="AF50" s="38"/>
      <c r="AG50" s="38"/>
      <c r="AH50" s="38"/>
      <c r="AI50" s="38"/>
    </row>
    <row r="51" spans="1:35" x14ac:dyDescent="0.2">
      <c r="A51" s="38"/>
      <c r="B51" s="38"/>
      <c r="C51" s="38"/>
      <c r="D51" s="38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  <c r="AF51" s="38"/>
      <c r="AG51" s="38"/>
      <c r="AH51" s="38"/>
      <c r="AI51" s="38"/>
    </row>
    <row r="52" spans="1:35" x14ac:dyDescent="0.2">
      <c r="A52" s="38"/>
      <c r="B52" s="38"/>
      <c r="C52" s="38"/>
      <c r="D52" s="38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  <c r="AF52" s="38"/>
      <c r="AG52" s="38"/>
      <c r="AH52" s="38"/>
      <c r="AI52" s="38"/>
    </row>
    <row r="53" spans="1:35" x14ac:dyDescent="0.2">
      <c r="A53" s="38"/>
      <c r="B53" s="38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  <c r="AF53" s="38"/>
      <c r="AG53" s="38"/>
      <c r="AH53" s="38"/>
      <c r="AI53" s="38"/>
    </row>
    <row r="54" spans="1:35" x14ac:dyDescent="0.2">
      <c r="A54" s="38"/>
      <c r="B54" s="38"/>
      <c r="C54" s="38"/>
      <c r="D54" s="38"/>
      <c r="E54" s="38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8"/>
      <c r="AD54" s="38"/>
      <c r="AE54" s="38"/>
      <c r="AF54" s="38"/>
      <c r="AG54" s="38"/>
      <c r="AH54" s="38"/>
      <c r="AI54" s="38"/>
    </row>
    <row r="55" spans="1:35" x14ac:dyDescent="0.2">
      <c r="A55" s="38"/>
      <c r="B55" s="38"/>
      <c r="C55" s="38"/>
      <c r="D55" s="38"/>
      <c r="E55" s="38"/>
      <c r="F55" s="38"/>
      <c r="G55" s="38"/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38"/>
      <c r="S55" s="38"/>
      <c r="T55" s="38"/>
      <c r="U55" s="38"/>
      <c r="V55" s="38"/>
      <c r="W55" s="38"/>
      <c r="X55" s="38"/>
      <c r="Y55" s="38"/>
      <c r="Z55" s="38"/>
      <c r="AA55" s="38"/>
      <c r="AB55" s="38"/>
      <c r="AC55" s="38"/>
      <c r="AD55" s="38"/>
      <c r="AE55" s="38"/>
      <c r="AF55" s="38"/>
      <c r="AG55" s="38"/>
      <c r="AH55" s="38"/>
      <c r="AI55" s="38"/>
    </row>
    <row r="56" spans="1:35" x14ac:dyDescent="0.2">
      <c r="A56" s="38"/>
      <c r="B56" s="38"/>
      <c r="C56" s="38"/>
      <c r="D56" s="38"/>
      <c r="E56" s="38"/>
      <c r="F56" s="38"/>
      <c r="G56" s="38"/>
      <c r="H56" s="38"/>
      <c r="I56" s="38"/>
      <c r="J56" s="38"/>
      <c r="K56" s="38"/>
      <c r="L56" s="38"/>
      <c r="M56" s="38"/>
      <c r="N56" s="38"/>
      <c r="O56" s="38"/>
      <c r="P56" s="38"/>
      <c r="Q56" s="38"/>
      <c r="R56" s="38"/>
      <c r="S56" s="38"/>
      <c r="T56" s="38"/>
      <c r="U56" s="38"/>
      <c r="V56" s="38"/>
      <c r="W56" s="38"/>
      <c r="X56" s="38"/>
      <c r="Y56" s="38"/>
      <c r="Z56" s="38"/>
      <c r="AA56" s="38"/>
      <c r="AB56" s="38"/>
      <c r="AC56" s="38"/>
      <c r="AD56" s="38"/>
      <c r="AE56" s="38"/>
      <c r="AF56" s="38"/>
      <c r="AG56" s="38"/>
      <c r="AH56" s="38"/>
      <c r="AI56" s="38"/>
    </row>
    <row r="57" spans="1:35" x14ac:dyDescent="0.2">
      <c r="A57" s="38"/>
      <c r="V57" s="38"/>
      <c r="W57" s="38"/>
      <c r="X57" s="38"/>
      <c r="Y57" s="38"/>
      <c r="Z57" s="38"/>
      <c r="AA57" s="38"/>
      <c r="AB57" s="38"/>
      <c r="AC57" s="38"/>
      <c r="AD57" s="38"/>
      <c r="AE57" s="38"/>
      <c r="AF57" s="38"/>
      <c r="AG57" s="38"/>
      <c r="AH57" s="38"/>
      <c r="AI57" s="38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V72"/>
  <sheetViews>
    <sheetView zoomScale="175" zoomScaleNormal="175" workbookViewId="0"/>
  </sheetViews>
  <sheetFormatPr defaultRowHeight="12.75" x14ac:dyDescent="0.2"/>
  <cols>
    <col min="2" max="2" width="31.5703125" customWidth="1"/>
    <col min="3" max="3" width="11.42578125" bestFit="1" customWidth="1"/>
    <col min="10" max="10" width="1.42578125" customWidth="1"/>
    <col min="12" max="12" width="33.85546875" customWidth="1"/>
  </cols>
  <sheetData>
    <row r="1" spans="1:19" x14ac:dyDescent="0.2">
      <c r="A1" s="38"/>
      <c r="B1" s="87" t="s">
        <v>119</v>
      </c>
      <c r="C1" s="38"/>
      <c r="D1" s="38"/>
      <c r="E1" s="38"/>
      <c r="F1" s="38"/>
      <c r="G1" s="38"/>
      <c r="H1" s="38"/>
      <c r="I1" s="38"/>
      <c r="J1" s="55"/>
      <c r="K1" s="38"/>
      <c r="L1" s="38" t="s">
        <v>99</v>
      </c>
      <c r="M1" s="38"/>
      <c r="N1" s="38"/>
      <c r="O1" s="38"/>
      <c r="P1" s="38"/>
      <c r="Q1" s="38"/>
      <c r="R1" s="38"/>
      <c r="S1" s="38"/>
    </row>
    <row r="2" spans="1:19" ht="13.5" thickBot="1" x14ac:dyDescent="0.25">
      <c r="A2" s="38"/>
      <c r="B2" s="38"/>
      <c r="C2" s="38"/>
      <c r="D2" s="38"/>
      <c r="E2" s="38"/>
      <c r="F2" s="38"/>
      <c r="G2" s="38"/>
      <c r="H2" s="38"/>
      <c r="I2" s="38"/>
      <c r="J2" s="55"/>
      <c r="K2" s="38"/>
      <c r="L2" s="38"/>
      <c r="M2" s="38"/>
      <c r="N2" s="38"/>
      <c r="O2" s="38"/>
      <c r="P2" s="38"/>
      <c r="Q2" s="38"/>
      <c r="R2" s="38"/>
      <c r="S2" s="38"/>
    </row>
    <row r="3" spans="1:19" ht="14.25" thickBot="1" x14ac:dyDescent="0.25">
      <c r="A3" s="38"/>
      <c r="B3" s="47"/>
      <c r="C3" s="86" t="s">
        <v>24</v>
      </c>
      <c r="D3" s="86" t="s">
        <v>25</v>
      </c>
      <c r="E3" s="86" t="s">
        <v>26</v>
      </c>
      <c r="F3" s="86" t="s">
        <v>27</v>
      </c>
      <c r="G3" s="86" t="s">
        <v>122</v>
      </c>
      <c r="H3" s="86" t="s">
        <v>17</v>
      </c>
      <c r="I3" s="38"/>
      <c r="J3" s="55"/>
      <c r="K3" s="38"/>
      <c r="L3" s="47"/>
      <c r="M3" s="48" t="str">
        <f>C3</f>
        <v>2012/13</v>
      </c>
      <c r="N3" s="48" t="str">
        <f t="shared" ref="N3:P3" si="0">D3</f>
        <v>2013/14</v>
      </c>
      <c r="O3" s="48" t="str">
        <f t="shared" si="0"/>
        <v>2014/15</v>
      </c>
      <c r="P3" s="48" t="str">
        <f t="shared" si="0"/>
        <v>2015/16</v>
      </c>
      <c r="Q3" s="38"/>
      <c r="R3" s="38"/>
      <c r="S3" s="38"/>
    </row>
    <row r="4" spans="1:19" ht="15" thickBot="1" x14ac:dyDescent="0.25">
      <c r="A4" s="38"/>
      <c r="B4" s="39" t="s">
        <v>66</v>
      </c>
      <c r="C4" s="74">
        <f>Calc!E127</f>
        <v>12.816844670000002</v>
      </c>
      <c r="D4" s="74">
        <f>Calc!F127</f>
        <v>13.376711079999948</v>
      </c>
      <c r="E4" s="74">
        <f>Calc!G127</f>
        <v>13.206980759999997</v>
      </c>
      <c r="F4" s="74">
        <f>Calc!H127</f>
        <v>13.802136468741056</v>
      </c>
      <c r="G4" s="74">
        <f>Calc!I127</f>
        <v>14.103202113522096</v>
      </c>
      <c r="H4" s="74">
        <f>SUM(C4:G4)</f>
        <v>67.305875092263108</v>
      </c>
      <c r="I4" s="38"/>
      <c r="J4" s="55"/>
      <c r="K4" s="38"/>
      <c r="L4" s="39" t="s">
        <v>49</v>
      </c>
      <c r="M4" s="53">
        <f>Calc!E130</f>
        <v>13.854283134177365</v>
      </c>
      <c r="N4" s="53">
        <f>Calc!F130</f>
        <v>13.893540540951122</v>
      </c>
      <c r="O4" s="53">
        <f>Calc!G130</f>
        <v>13.592362208581344</v>
      </c>
      <c r="P4" s="53">
        <f>Calc!H130</f>
        <v>13.966158113522097</v>
      </c>
      <c r="Q4" s="53"/>
      <c r="R4" s="38"/>
      <c r="S4" s="38"/>
    </row>
    <row r="5" spans="1:19" ht="15" thickBot="1" x14ac:dyDescent="0.25">
      <c r="A5" s="38"/>
      <c r="B5" s="39" t="s">
        <v>64</v>
      </c>
      <c r="C5" s="74">
        <f>Calc!E125</f>
        <v>12.828835809200063</v>
      </c>
      <c r="D5" s="74">
        <f>Calc!F125</f>
        <v>13.277177753610919</v>
      </c>
      <c r="E5" s="74">
        <f>Calc!G125</f>
        <v>13.556292774563003</v>
      </c>
      <c r="F5" s="74">
        <f>Calc!H125</f>
        <v>13.947822952431665</v>
      </c>
      <c r="G5" s="74">
        <f>Calc!I125</f>
        <v>14.911063702880517</v>
      </c>
      <c r="H5" s="74">
        <f>SUM(C5:G5)</f>
        <v>68.521192992686167</v>
      </c>
      <c r="I5" s="38"/>
      <c r="J5" s="55"/>
      <c r="K5" s="38"/>
      <c r="L5" s="38"/>
      <c r="M5" s="38"/>
      <c r="N5" s="38"/>
      <c r="O5" s="38"/>
      <c r="P5" s="38"/>
      <c r="Q5" s="38"/>
      <c r="R5" s="38"/>
      <c r="S5" s="38"/>
    </row>
    <row r="6" spans="1:19" ht="15" thickBot="1" x14ac:dyDescent="0.25">
      <c r="A6" s="38"/>
      <c r="B6" s="39" t="s">
        <v>65</v>
      </c>
      <c r="C6" s="75">
        <f t="shared" ref="C6:H6" si="1">C4-C5</f>
        <v>-1.199113920006134E-2</v>
      </c>
      <c r="D6" s="75">
        <f t="shared" si="1"/>
        <v>9.9533326389028787E-2</v>
      </c>
      <c r="E6" s="75">
        <f t="shared" si="1"/>
        <v>-0.3493120145630062</v>
      </c>
      <c r="F6" s="75">
        <f t="shared" si="1"/>
        <v>-0.14568648369060888</v>
      </c>
      <c r="G6" s="75">
        <f t="shared" si="1"/>
        <v>-0.80786158935842067</v>
      </c>
      <c r="H6" s="75">
        <f t="shared" si="1"/>
        <v>-1.2153179004230594</v>
      </c>
      <c r="I6" s="38"/>
      <c r="J6" s="55"/>
      <c r="K6" s="38"/>
      <c r="L6" s="38" t="s">
        <v>69</v>
      </c>
      <c r="M6" s="38"/>
      <c r="N6" s="38"/>
      <c r="O6" s="38"/>
      <c r="P6" s="38"/>
      <c r="Q6" s="38"/>
      <c r="R6" s="38"/>
      <c r="S6" s="38"/>
    </row>
    <row r="7" spans="1:19" ht="13.5" thickBot="1" x14ac:dyDescent="0.25">
      <c r="A7" s="38"/>
      <c r="B7" s="38"/>
      <c r="C7" s="38"/>
      <c r="D7" s="38"/>
      <c r="E7" s="38"/>
      <c r="F7" s="38"/>
      <c r="G7" s="38"/>
      <c r="H7" s="38"/>
      <c r="I7" s="38"/>
      <c r="J7" s="55"/>
      <c r="K7" s="38"/>
      <c r="L7" s="38"/>
      <c r="M7" s="38"/>
      <c r="N7" s="38"/>
      <c r="O7" s="38"/>
      <c r="P7" s="38"/>
      <c r="Q7" s="38"/>
      <c r="R7" s="38"/>
      <c r="S7" s="38"/>
    </row>
    <row r="8" spans="1:19" ht="15" thickBot="1" x14ac:dyDescent="0.25">
      <c r="A8" s="38"/>
      <c r="B8" s="51" t="s">
        <v>104</v>
      </c>
      <c r="C8" s="50"/>
      <c r="D8" s="50"/>
      <c r="E8" s="50"/>
      <c r="F8" s="50"/>
      <c r="G8" s="38"/>
      <c r="H8" s="50"/>
      <c r="I8" s="50"/>
      <c r="J8" s="55"/>
      <c r="K8" s="38"/>
      <c r="L8" s="47"/>
      <c r="M8" s="48" t="s">
        <v>24</v>
      </c>
      <c r="N8" s="48" t="s">
        <v>25</v>
      </c>
      <c r="O8" s="48" t="s">
        <v>26</v>
      </c>
      <c r="P8" s="48" t="s">
        <v>27</v>
      </c>
      <c r="Q8" s="47" t="s">
        <v>122</v>
      </c>
      <c r="R8" s="48" t="s">
        <v>17</v>
      </c>
      <c r="S8" s="38"/>
    </row>
    <row r="9" spans="1:19" ht="15" thickBot="1" x14ac:dyDescent="0.25">
      <c r="A9" s="38"/>
      <c r="B9" s="38"/>
      <c r="C9" s="38"/>
      <c r="D9" s="38"/>
      <c r="E9" s="38"/>
      <c r="F9" s="38"/>
      <c r="G9" s="38"/>
      <c r="H9" s="38"/>
      <c r="I9" s="38"/>
      <c r="J9" s="55"/>
      <c r="K9" s="38"/>
      <c r="L9" s="39" t="s">
        <v>28</v>
      </c>
      <c r="M9" s="42">
        <f>Calc!E134</f>
        <v>8.4288900851525401</v>
      </c>
      <c r="N9" s="42">
        <f>Calc!F134</f>
        <v>8.6556735258477158</v>
      </c>
      <c r="O9" s="42">
        <f>Calc!G134</f>
        <v>8.084156358921069</v>
      </c>
      <c r="P9" s="42">
        <f>Calc!H134</f>
        <v>9.4659346092299987</v>
      </c>
      <c r="Q9" s="42">
        <f>Calc!I134</f>
        <v>9.5588198201837056</v>
      </c>
      <c r="R9" s="42">
        <f>SUM(M9:Q9)</f>
        <v>44.193474399335031</v>
      </c>
      <c r="S9" s="38"/>
    </row>
    <row r="10" spans="1:19" ht="15" thickBot="1" x14ac:dyDescent="0.25">
      <c r="A10" s="38"/>
      <c r="B10" s="47"/>
      <c r="C10" s="48" t="s">
        <v>24</v>
      </c>
      <c r="D10" s="48" t="s">
        <v>25</v>
      </c>
      <c r="E10" s="48" t="s">
        <v>26</v>
      </c>
      <c r="F10" s="48" t="s">
        <v>27</v>
      </c>
      <c r="G10" s="38"/>
      <c r="H10" s="38"/>
      <c r="I10" s="38"/>
      <c r="J10" s="55"/>
      <c r="K10" s="38"/>
      <c r="L10" s="39" t="s">
        <v>120</v>
      </c>
      <c r="M10" s="42">
        <f>Calc!E135</f>
        <v>5.4253930490248266</v>
      </c>
      <c r="N10" s="42">
        <f>Calc!F135</f>
        <v>5.3922337042251769</v>
      </c>
      <c r="O10" s="42">
        <f>Calc!G135</f>
        <v>5.6036920544809554</v>
      </c>
      <c r="P10" s="42">
        <f>Calc!H135</f>
        <v>4.6536509982920995</v>
      </c>
      <c r="Q10" s="42">
        <f>Calc!I135</f>
        <v>4.6993153064164979</v>
      </c>
      <c r="R10" s="42">
        <f>SUM(M10:Q10)</f>
        <v>25.774285112439557</v>
      </c>
      <c r="S10" s="38"/>
    </row>
    <row r="11" spans="1:19" ht="15" thickBot="1" x14ac:dyDescent="0.25">
      <c r="A11" s="38"/>
      <c r="B11" s="49" t="s">
        <v>52</v>
      </c>
      <c r="C11" s="67">
        <f>Calc!E130</f>
        <v>13.854283134177365</v>
      </c>
      <c r="D11" s="67">
        <f>Calc!F130</f>
        <v>13.893540540951122</v>
      </c>
      <c r="E11" s="67">
        <f>Calc!G130</f>
        <v>13.592362208581344</v>
      </c>
      <c r="F11" s="67">
        <f>Calc!H130</f>
        <v>13.966158113522097</v>
      </c>
      <c r="G11" s="38"/>
      <c r="H11" s="38"/>
      <c r="I11" s="38"/>
      <c r="J11" s="55"/>
      <c r="K11" s="38"/>
      <c r="L11" s="39" t="s">
        <v>39</v>
      </c>
      <c r="M11" s="43">
        <f>SUM(M9:M10)</f>
        <v>13.854283134177367</v>
      </c>
      <c r="N11" s="43">
        <f t="shared" ref="N11:P11" si="2">SUM(N9:N10)</f>
        <v>14.047907230072893</v>
      </c>
      <c r="O11" s="43">
        <f t="shared" si="2"/>
        <v>13.687848413402024</v>
      </c>
      <c r="P11" s="43">
        <f t="shared" si="2"/>
        <v>14.119585607522097</v>
      </c>
      <c r="Q11" s="43">
        <f>SUM(Q9:Q10)</f>
        <v>14.258135126600203</v>
      </c>
      <c r="R11" s="43">
        <f>SUM(R9:R10)</f>
        <v>69.967759511774588</v>
      </c>
      <c r="S11" s="38"/>
    </row>
    <row r="12" spans="1:19" x14ac:dyDescent="0.2">
      <c r="A12" s="38"/>
      <c r="B12" s="38"/>
      <c r="C12" s="38"/>
      <c r="D12" s="38"/>
      <c r="E12" s="38"/>
      <c r="F12" s="38"/>
      <c r="G12" s="38"/>
      <c r="H12" s="38"/>
      <c r="I12" s="38"/>
      <c r="J12" s="55"/>
      <c r="K12" s="38"/>
      <c r="L12" s="38" t="s">
        <v>117</v>
      </c>
      <c r="M12" s="38"/>
      <c r="N12" s="38"/>
      <c r="O12" s="38"/>
      <c r="P12" s="38"/>
      <c r="Q12" s="38"/>
      <c r="R12" s="38"/>
      <c r="S12" s="38"/>
    </row>
    <row r="13" spans="1:19" ht="13.5" thickBot="1" x14ac:dyDescent="0.25">
      <c r="A13" s="38"/>
      <c r="B13" s="38" t="s">
        <v>63</v>
      </c>
      <c r="C13" s="38"/>
      <c r="D13" s="38"/>
      <c r="E13" s="38"/>
      <c r="F13" s="38"/>
      <c r="G13" s="38"/>
      <c r="H13" s="38"/>
      <c r="I13" s="38"/>
      <c r="J13" s="55"/>
      <c r="K13" s="38"/>
      <c r="L13" s="38"/>
      <c r="M13" s="38"/>
      <c r="N13" s="38"/>
      <c r="O13" s="38"/>
      <c r="P13" s="38"/>
      <c r="Q13" s="38"/>
      <c r="R13" s="38"/>
      <c r="S13" s="38"/>
    </row>
    <row r="14" spans="1:19" ht="14.25" thickBot="1" x14ac:dyDescent="0.25">
      <c r="A14" s="38"/>
      <c r="B14" s="38"/>
      <c r="C14" s="38"/>
      <c r="D14" s="38"/>
      <c r="E14" s="38"/>
      <c r="F14" s="38"/>
      <c r="G14" s="38"/>
      <c r="H14" s="38"/>
      <c r="I14" s="38"/>
      <c r="J14" s="55"/>
      <c r="K14" s="38"/>
      <c r="L14" s="47"/>
      <c r="M14" s="48" t="str">
        <f>M8</f>
        <v>2012/13</v>
      </c>
      <c r="N14" s="48" t="str">
        <f t="shared" ref="N14:P14" si="3">N8</f>
        <v>2013/14</v>
      </c>
      <c r="O14" s="48" t="str">
        <f t="shared" si="3"/>
        <v>2014/15</v>
      </c>
      <c r="P14" s="48" t="str">
        <f t="shared" si="3"/>
        <v>2015/16</v>
      </c>
      <c r="Q14" s="38"/>
      <c r="R14" s="38"/>
      <c r="S14" s="38"/>
    </row>
    <row r="15" spans="1:19" ht="15" thickBot="1" x14ac:dyDescent="0.25">
      <c r="A15" s="38"/>
      <c r="B15" s="47"/>
      <c r="C15" s="48" t="s">
        <v>53</v>
      </c>
      <c r="D15" s="48" t="s">
        <v>54</v>
      </c>
      <c r="E15" s="48" t="s">
        <v>55</v>
      </c>
      <c r="F15" s="48" t="s">
        <v>56</v>
      </c>
      <c r="G15" s="48" t="s">
        <v>57</v>
      </c>
      <c r="H15" s="48" t="s">
        <v>17</v>
      </c>
      <c r="I15" s="38"/>
      <c r="J15" s="55"/>
      <c r="K15" s="38"/>
      <c r="L15" s="39" t="s">
        <v>116</v>
      </c>
      <c r="M15" s="53">
        <f>Calc!E138</f>
        <v>4.2334622500000032</v>
      </c>
      <c r="N15" s="53">
        <f>Calc!F138</f>
        <v>4.3437374600000007</v>
      </c>
      <c r="O15" s="53">
        <f>Calc!G138</f>
        <v>4.3650634700000008</v>
      </c>
      <c r="P15" s="53">
        <f>Calc!H138</f>
        <v>3.9379039887410561</v>
      </c>
      <c r="Q15" s="38"/>
      <c r="R15" s="38"/>
      <c r="S15" s="38"/>
    </row>
    <row r="16" spans="1:19" ht="29.25" thickBot="1" x14ac:dyDescent="0.25">
      <c r="A16" s="38"/>
      <c r="B16" s="49" t="s">
        <v>58</v>
      </c>
      <c r="C16" s="74">
        <f>Calc!J141/1000000</f>
        <v>0.10229999999999999</v>
      </c>
      <c r="D16" s="74">
        <f>Calc!K141/1000000</f>
        <v>0.10229999999999999</v>
      </c>
      <c r="E16" s="74">
        <f>Calc!L141/1000000</f>
        <v>5.1149999999999994E-2</v>
      </c>
      <c r="F16" s="74">
        <f>Calc!M141/1000000</f>
        <v>0</v>
      </c>
      <c r="G16" s="74">
        <f>Calc!N141/1000000</f>
        <v>0</v>
      </c>
      <c r="H16" s="74">
        <f>SUM(C16:G16)</f>
        <v>0.25574999999999998</v>
      </c>
      <c r="I16" s="38"/>
      <c r="J16" s="55"/>
      <c r="K16" s="38"/>
      <c r="L16" s="38"/>
      <c r="M16" s="38"/>
      <c r="N16" s="38"/>
      <c r="O16" s="38"/>
      <c r="P16" s="38"/>
      <c r="Q16" s="38"/>
      <c r="R16" s="38"/>
      <c r="S16" s="38"/>
    </row>
    <row r="17" spans="1:22" ht="29.25" thickBot="1" x14ac:dyDescent="0.25">
      <c r="A17" s="38"/>
      <c r="B17" s="49" t="s">
        <v>59</v>
      </c>
      <c r="C17" s="74">
        <f>Calc!J142/1000000</f>
        <v>5.1149999999999994E-2</v>
      </c>
      <c r="D17" s="74">
        <f>Calc!K142/1000000</f>
        <v>5.1149999999999994E-2</v>
      </c>
      <c r="E17" s="74">
        <f>Calc!L142/1000000</f>
        <v>0</v>
      </c>
      <c r="F17" s="74">
        <f>Calc!M142/1000000</f>
        <v>0</v>
      </c>
      <c r="G17" s="74">
        <f>Calc!N142/1000000</f>
        <v>0</v>
      </c>
      <c r="H17" s="74">
        <f>SUM(C17:G17)</f>
        <v>0.10229999999999999</v>
      </c>
      <c r="I17" s="38"/>
      <c r="J17" s="55"/>
      <c r="K17" s="38"/>
      <c r="L17" s="38" t="s">
        <v>112</v>
      </c>
      <c r="M17" s="38"/>
      <c r="N17" s="38"/>
      <c r="O17" s="38"/>
      <c r="P17" s="38"/>
      <c r="Q17" s="38"/>
      <c r="R17" s="38"/>
      <c r="S17" s="38"/>
    </row>
    <row r="18" spans="1:22" ht="14.25" thickBot="1" x14ac:dyDescent="0.25">
      <c r="A18" s="38"/>
      <c r="B18" s="52" t="s">
        <v>17</v>
      </c>
      <c r="C18" s="76">
        <f t="shared" ref="C18:H18" si="4">SUM(C16:C17)</f>
        <v>0.15344999999999998</v>
      </c>
      <c r="D18" s="75">
        <f t="shared" si="4"/>
        <v>0.15344999999999998</v>
      </c>
      <c r="E18" s="75">
        <f t="shared" si="4"/>
        <v>5.1149999999999994E-2</v>
      </c>
      <c r="F18" s="75">
        <f t="shared" si="4"/>
        <v>0</v>
      </c>
      <c r="G18" s="75">
        <f t="shared" si="4"/>
        <v>0</v>
      </c>
      <c r="H18" s="75">
        <f t="shared" si="4"/>
        <v>0.35804999999999998</v>
      </c>
      <c r="I18" s="38"/>
      <c r="J18" s="55"/>
      <c r="K18" s="38"/>
      <c r="L18" s="47"/>
      <c r="M18" s="48" t="str">
        <f>M8</f>
        <v>2012/13</v>
      </c>
      <c r="N18" s="48" t="str">
        <f t="shared" ref="N18:P18" si="5">N8</f>
        <v>2013/14</v>
      </c>
      <c r="O18" s="48" t="str">
        <f t="shared" si="5"/>
        <v>2014/15</v>
      </c>
      <c r="P18" s="48" t="str">
        <f t="shared" si="5"/>
        <v>2015/16</v>
      </c>
      <c r="Q18" s="48" t="s">
        <v>31</v>
      </c>
      <c r="R18" s="48" t="str">
        <f>C22</f>
        <v>2017/18</v>
      </c>
      <c r="S18" s="48" t="str">
        <f>D22</f>
        <v>2018/19</v>
      </c>
      <c r="T18" s="48" t="str">
        <f>E22</f>
        <v>2019/20</v>
      </c>
      <c r="U18" s="48" t="str">
        <f>F22</f>
        <v>2020/21</v>
      </c>
      <c r="V18" s="48" t="str">
        <f>G22</f>
        <v>2021/22</v>
      </c>
    </row>
    <row r="19" spans="1:22" ht="15" thickBot="1" x14ac:dyDescent="0.25">
      <c r="A19" s="38"/>
      <c r="B19" s="77"/>
      <c r="C19" s="78"/>
      <c r="D19" s="69"/>
      <c r="E19" s="69"/>
      <c r="F19" s="69"/>
      <c r="G19" s="69"/>
      <c r="H19" s="69"/>
      <c r="I19" s="38"/>
      <c r="J19" s="55"/>
      <c r="K19" s="38"/>
      <c r="L19" s="39" t="s">
        <v>113</v>
      </c>
      <c r="M19" s="75">
        <f>Calc!E67</f>
        <v>13.854283134177365</v>
      </c>
      <c r="N19" s="75">
        <f>Calc!F67</f>
        <v>14.033508626426952</v>
      </c>
      <c r="O19" s="75">
        <f>Calc!G67</f>
        <v>13.681257211535577</v>
      </c>
      <c r="P19" s="75">
        <f>Calc!H67</f>
        <v>14.112764174128158</v>
      </c>
      <c r="Q19" s="75"/>
      <c r="R19" s="75"/>
      <c r="S19" s="75"/>
      <c r="T19" s="75"/>
      <c r="U19" s="75"/>
      <c r="V19" s="75"/>
    </row>
    <row r="20" spans="1:22" ht="15" thickBot="1" x14ac:dyDescent="0.25">
      <c r="A20" s="38"/>
      <c r="B20" s="38" t="s">
        <v>111</v>
      </c>
      <c r="C20" s="38"/>
      <c r="D20" s="38"/>
      <c r="E20" s="38"/>
      <c r="F20" s="38"/>
      <c r="G20" s="38"/>
      <c r="H20" s="38"/>
      <c r="I20" s="38"/>
      <c r="J20" s="55"/>
      <c r="K20" s="38"/>
      <c r="L20" s="39" t="s">
        <v>114</v>
      </c>
      <c r="M20" s="75"/>
      <c r="N20" s="75"/>
      <c r="O20" s="75"/>
      <c r="P20" s="75"/>
      <c r="Q20" s="75">
        <f>Calc!I67</f>
        <v>14.103202113522096</v>
      </c>
      <c r="R20" s="75"/>
      <c r="S20" s="75"/>
      <c r="T20" s="75"/>
      <c r="U20" s="75"/>
      <c r="V20" s="75"/>
    </row>
    <row r="21" spans="1:22" ht="29.25" thickBot="1" x14ac:dyDescent="0.25">
      <c r="A21" s="38"/>
      <c r="B21" s="38"/>
      <c r="C21" s="38"/>
      <c r="D21" s="38"/>
      <c r="E21" s="38"/>
      <c r="F21" s="38"/>
      <c r="G21" s="38"/>
      <c r="H21" s="38"/>
      <c r="I21" s="38"/>
      <c r="J21" s="55"/>
      <c r="K21" s="38"/>
      <c r="L21" s="39" t="s">
        <v>115</v>
      </c>
      <c r="M21" s="75"/>
      <c r="N21" s="75"/>
      <c r="O21" s="75"/>
      <c r="P21" s="75"/>
      <c r="Q21" s="75"/>
      <c r="R21" s="75">
        <f>Calc!J67</f>
        <v>14.256652113522096</v>
      </c>
      <c r="S21" s="75">
        <f>Calc!K67</f>
        <v>14.256652113522096</v>
      </c>
      <c r="T21" s="75">
        <f>Calc!L67</f>
        <v>14.154352113522096</v>
      </c>
      <c r="U21" s="75">
        <f>Calc!M67</f>
        <v>14.103202113522096</v>
      </c>
      <c r="V21" s="75">
        <f>Calc!N67</f>
        <v>14.103202113522096</v>
      </c>
    </row>
    <row r="22" spans="1:22" ht="14.25" thickBot="1" x14ac:dyDescent="0.25">
      <c r="A22" s="38"/>
      <c r="B22" s="47"/>
      <c r="C22" s="48" t="str">
        <f>C15</f>
        <v>2017/18</v>
      </c>
      <c r="D22" s="48" t="str">
        <f>D15</f>
        <v>2018/19</v>
      </c>
      <c r="E22" s="48" t="str">
        <f>E15</f>
        <v>2019/20</v>
      </c>
      <c r="F22" s="48" t="str">
        <f>F15</f>
        <v>2020/21</v>
      </c>
      <c r="G22" s="48" t="str">
        <f>G15</f>
        <v>2021/22</v>
      </c>
      <c r="H22" s="38"/>
      <c r="I22" s="38"/>
      <c r="J22" s="55"/>
      <c r="K22" s="38"/>
      <c r="L22" s="38"/>
      <c r="M22" s="38"/>
      <c r="N22" s="38"/>
      <c r="O22" s="38"/>
      <c r="P22" s="38"/>
      <c r="Q22" s="38"/>
      <c r="R22" s="38"/>
      <c r="S22" s="38"/>
    </row>
    <row r="23" spans="1:22" ht="15" thickBot="1" x14ac:dyDescent="0.25">
      <c r="A23" s="38"/>
      <c r="B23" s="49" t="s">
        <v>52</v>
      </c>
      <c r="C23" s="67">
        <f>Calc!J67</f>
        <v>14.256652113522096</v>
      </c>
      <c r="D23" s="67">
        <f>Calc!K67</f>
        <v>14.256652113522096</v>
      </c>
      <c r="E23" s="67">
        <f>Calc!L67</f>
        <v>14.154352113522096</v>
      </c>
      <c r="F23" s="67">
        <f>Calc!M67</f>
        <v>14.103202113522096</v>
      </c>
      <c r="G23" s="67">
        <f>Calc!N67</f>
        <v>14.103202113522096</v>
      </c>
      <c r="H23" s="38"/>
      <c r="I23" s="38"/>
      <c r="J23" s="55"/>
      <c r="K23" s="38"/>
      <c r="L23" s="38"/>
      <c r="M23" s="38"/>
      <c r="N23" s="38"/>
      <c r="O23" s="38"/>
      <c r="P23" s="38"/>
      <c r="Q23" s="38"/>
      <c r="R23" s="38"/>
      <c r="S23" s="38"/>
    </row>
    <row r="24" spans="1:22" x14ac:dyDescent="0.2">
      <c r="A24" s="38"/>
      <c r="B24" s="38"/>
      <c r="C24" s="38"/>
      <c r="D24" s="38"/>
      <c r="E24" s="38"/>
      <c r="F24" s="38"/>
      <c r="G24" s="38"/>
      <c r="H24" s="38"/>
      <c r="I24" s="38"/>
      <c r="J24" s="55"/>
      <c r="K24" s="38"/>
      <c r="L24" s="38" t="s">
        <v>30</v>
      </c>
      <c r="M24" s="38"/>
      <c r="N24" s="38"/>
      <c r="O24" s="38"/>
      <c r="P24" s="38"/>
      <c r="Q24" s="38"/>
      <c r="R24" s="38"/>
      <c r="S24" s="38"/>
    </row>
    <row r="25" spans="1:22" ht="13.5" thickBot="1" x14ac:dyDescent="0.25">
      <c r="A25" s="38"/>
      <c r="B25" s="38" t="s">
        <v>139</v>
      </c>
      <c r="C25" s="38"/>
      <c r="D25" s="38"/>
      <c r="E25" s="38"/>
      <c r="F25" s="38"/>
      <c r="G25" s="38"/>
      <c r="H25" s="38"/>
      <c r="I25" s="38"/>
      <c r="J25" s="55"/>
      <c r="K25" s="38"/>
      <c r="L25" s="38"/>
      <c r="M25" s="38"/>
      <c r="N25" s="38"/>
      <c r="O25" s="38"/>
      <c r="P25" s="38"/>
      <c r="Q25" s="38"/>
      <c r="R25" s="38"/>
      <c r="S25" s="38"/>
    </row>
    <row r="26" spans="1:22" ht="14.25" thickBot="1" x14ac:dyDescent="0.25">
      <c r="A26" s="38"/>
      <c r="B26" s="38"/>
      <c r="C26" s="38"/>
      <c r="D26" s="38"/>
      <c r="E26" s="38"/>
      <c r="F26" s="38"/>
      <c r="G26" s="38"/>
      <c r="H26" s="38"/>
      <c r="I26" s="38"/>
      <c r="J26" s="55"/>
      <c r="K26" s="38"/>
      <c r="L26" s="47"/>
      <c r="M26" s="48" t="s">
        <v>24</v>
      </c>
      <c r="N26" s="48" t="s">
        <v>25</v>
      </c>
      <c r="O26" s="48" t="s">
        <v>26</v>
      </c>
      <c r="P26" s="48" t="s">
        <v>27</v>
      </c>
      <c r="Q26" s="38"/>
      <c r="R26" s="38"/>
      <c r="S26" s="38"/>
    </row>
    <row r="27" spans="1:22" ht="15" thickBot="1" x14ac:dyDescent="0.25">
      <c r="A27" s="38"/>
      <c r="B27" s="47"/>
      <c r="C27" s="48" t="s">
        <v>24</v>
      </c>
      <c r="D27" s="48" t="s">
        <v>25</v>
      </c>
      <c r="E27" s="48" t="s">
        <v>26</v>
      </c>
      <c r="F27" s="48" t="s">
        <v>27</v>
      </c>
      <c r="G27" s="48" t="s">
        <v>140</v>
      </c>
      <c r="H27" s="38"/>
      <c r="I27" s="38"/>
      <c r="J27" s="55"/>
      <c r="K27" s="38"/>
      <c r="L27" s="39" t="str">
        <f>Calc!A27</f>
        <v>Labour</v>
      </c>
      <c r="M27" s="42">
        <f>Calc!E27/1000</f>
        <v>4977.0735800000011</v>
      </c>
      <c r="N27" s="42">
        <f>Calc!F27/1000</f>
        <v>5023.1043755718601</v>
      </c>
      <c r="O27" s="42">
        <f>Calc!G27/1000</f>
        <v>5288.2237500000001</v>
      </c>
      <c r="P27" s="42">
        <f>Calc!H27/1000</f>
        <v>6831.9913199999992</v>
      </c>
      <c r="Q27" s="38"/>
      <c r="R27" s="38"/>
      <c r="S27" s="38"/>
    </row>
    <row r="28" spans="1:22" ht="17.25" thickBot="1" x14ac:dyDescent="0.25">
      <c r="A28" s="38"/>
      <c r="B28" s="82" t="str">
        <f>Calc!A27</f>
        <v>Labour</v>
      </c>
      <c r="C28" s="83">
        <f>Calc!E27/1000000</f>
        <v>4.9770735800000008</v>
      </c>
      <c r="D28" s="83">
        <f>Calc!F27/1000000</f>
        <v>5.0231043755718598</v>
      </c>
      <c r="E28" s="83">
        <f>Calc!G27/1000000</f>
        <v>5.2882237500000002</v>
      </c>
      <c r="F28" s="83">
        <f>Calc!H27/1000000</f>
        <v>6.8319913199999993</v>
      </c>
      <c r="G28" s="83">
        <f>Calc!I92</f>
        <v>6.9810173694491313</v>
      </c>
      <c r="H28" s="38"/>
      <c r="I28" s="38"/>
      <c r="J28" s="55"/>
      <c r="K28" s="38"/>
      <c r="L28" s="39" t="str">
        <f>Calc!A28</f>
        <v>Contractors</v>
      </c>
      <c r="M28" s="42">
        <f>Calc!E28/1000</f>
        <v>1490.5324599999999</v>
      </c>
      <c r="N28" s="42">
        <f>Calc!F28/1000</f>
        <v>1320.8292568889281</v>
      </c>
      <c r="O28" s="42">
        <f>Calc!G28/1000</f>
        <v>945.95629000000042</v>
      </c>
      <c r="P28" s="42">
        <f>Calc!H28/1000</f>
        <v>1533.0934000000002</v>
      </c>
      <c r="Q28" s="38"/>
      <c r="R28" s="38"/>
      <c r="S28" s="38"/>
    </row>
    <row r="29" spans="1:22" ht="17.25" thickBot="1" x14ac:dyDescent="0.25">
      <c r="A29" s="38"/>
      <c r="B29" s="82" t="str">
        <f>Calc!A28</f>
        <v>Contractors</v>
      </c>
      <c r="C29" s="83">
        <f>Calc!E28/1000000</f>
        <v>1.4905324600000001</v>
      </c>
      <c r="D29" s="83">
        <f>Calc!F28/1000000</f>
        <v>1.3208292568889282</v>
      </c>
      <c r="E29" s="83">
        <f>Calc!G28/1000000</f>
        <v>0.94595629000000037</v>
      </c>
      <c r="F29" s="83">
        <f>Calc!H28/1000000</f>
        <v>1.5330934000000001</v>
      </c>
      <c r="G29" s="83">
        <f>Calc!I93</f>
        <v>1.5665347265675136</v>
      </c>
      <c r="H29" s="38"/>
      <c r="I29" s="38"/>
      <c r="J29" s="55"/>
      <c r="K29" s="38"/>
      <c r="L29" s="39" t="str">
        <f>Calc!A29</f>
        <v xml:space="preserve">Other operating costs </v>
      </c>
      <c r="M29" s="42">
        <f>Calc!E29/1000</f>
        <v>1330.1106600000001</v>
      </c>
      <c r="N29" s="42">
        <f>Calc!F29/1000</f>
        <v>1898.1797344473605</v>
      </c>
      <c r="O29" s="42">
        <f>Calc!G29/1000</f>
        <v>1565.9719100000007</v>
      </c>
      <c r="P29" s="42">
        <f>Calc!H29/1000</f>
        <v>888.02828999999986</v>
      </c>
      <c r="Q29" s="38"/>
      <c r="R29" s="38"/>
      <c r="S29" s="38"/>
    </row>
    <row r="30" spans="1:22" ht="17.25" thickBot="1" x14ac:dyDescent="0.25">
      <c r="A30" s="38"/>
      <c r="B30" s="82" t="str">
        <f>Calc!A29</f>
        <v xml:space="preserve">Other operating costs </v>
      </c>
      <c r="C30" s="83">
        <f>Calc!E29/1000000</f>
        <v>1.3301106600000001</v>
      </c>
      <c r="D30" s="83">
        <f>Calc!F29/1000000</f>
        <v>1.8981797344473605</v>
      </c>
      <c r="E30" s="83">
        <f>Calc!G29/1000000</f>
        <v>1.5659719100000007</v>
      </c>
      <c r="F30" s="83">
        <f>Calc!H29/1000000</f>
        <v>0.88802828999999983</v>
      </c>
      <c r="G30" s="83">
        <f>Calc!I94</f>
        <v>0.90739882805533323</v>
      </c>
      <c r="H30" s="38"/>
      <c r="I30" s="38"/>
      <c r="J30" s="55"/>
      <c r="K30" s="38"/>
      <c r="L30" s="39" t="str">
        <f>Calc!A30</f>
        <v xml:space="preserve">Insurance, Licences and fees </v>
      </c>
      <c r="M30" s="42">
        <f>Calc!E30/1000</f>
        <v>785.66571999999996</v>
      </c>
      <c r="N30" s="42">
        <f>Calc!F30/1000</f>
        <v>790.86025309180457</v>
      </c>
      <c r="O30" s="42">
        <f>Calc!G30/1000</f>
        <v>1041.7653399999999</v>
      </c>
      <c r="P30" s="42">
        <f>Calc!H30/1000</f>
        <v>611.11947000000009</v>
      </c>
      <c r="Q30" s="38"/>
      <c r="R30" s="38"/>
      <c r="S30" s="38"/>
    </row>
    <row r="31" spans="1:22" ht="16.5" customHeight="1" thickBot="1" x14ac:dyDescent="0.25">
      <c r="A31" s="38"/>
      <c r="B31" s="82" t="str">
        <f>Calc!A30</f>
        <v xml:space="preserve">Insurance, Licences and fees </v>
      </c>
      <c r="C31" s="83">
        <f>Calc!E30/1000000</f>
        <v>0.78566572000000001</v>
      </c>
      <c r="D31" s="83">
        <f>Calc!F30/1000000</f>
        <v>0.79086025309180452</v>
      </c>
      <c r="E31" s="83">
        <f>Calc!G30/1000000</f>
        <v>1.04176534</v>
      </c>
      <c r="F31" s="83">
        <f>Calc!H30/1000000</f>
        <v>0.61111947000000011</v>
      </c>
      <c r="G31" s="83">
        <f>Calc!I95</f>
        <v>0.62444980314737131</v>
      </c>
      <c r="H31" s="38"/>
      <c r="I31" s="38"/>
      <c r="J31" s="55"/>
      <c r="K31" s="38"/>
      <c r="L31" s="39" t="str">
        <f>Calc!A31</f>
        <v xml:space="preserve">Overheads/corporate costs </v>
      </c>
      <c r="M31" s="42">
        <f>Calc!E31/1000</f>
        <v>4233.4622500000032</v>
      </c>
      <c r="N31" s="42">
        <f>Calc!F31/1000</f>
        <v>4343.7374600000012</v>
      </c>
      <c r="O31" s="42">
        <f>Calc!G31/1000</f>
        <v>4365.063470000001</v>
      </c>
      <c r="P31" s="42">
        <f>Calc!H31/1000</f>
        <v>3937.9039887410559</v>
      </c>
      <c r="Q31" s="38"/>
      <c r="R31" s="38"/>
      <c r="S31" s="38"/>
    </row>
    <row r="32" spans="1:22" ht="17.25" thickBot="1" x14ac:dyDescent="0.25">
      <c r="A32" s="38"/>
      <c r="B32" s="82" t="str">
        <f>Calc!A31</f>
        <v xml:space="preserve">Overheads/corporate costs </v>
      </c>
      <c r="C32" s="83">
        <f>Calc!E31/1000000</f>
        <v>4.2334622500000032</v>
      </c>
      <c r="D32" s="83">
        <f>Calc!F31/1000000</f>
        <v>4.3437374600000007</v>
      </c>
      <c r="E32" s="83">
        <f>Calc!G31/1000000</f>
        <v>4.3650634700000008</v>
      </c>
      <c r="F32" s="83">
        <f>Calc!H31/1000000</f>
        <v>3.9379039887410561</v>
      </c>
      <c r="G32" s="83">
        <f>Calc!I96</f>
        <v>4.0238013863027469</v>
      </c>
      <c r="H32" s="38"/>
      <c r="I32" s="38"/>
      <c r="J32" s="55"/>
      <c r="K32" s="38"/>
      <c r="L32" s="39" t="str">
        <f>Calc!A32</f>
        <v xml:space="preserve">General </v>
      </c>
      <c r="M32" s="42">
        <f>Calc!E32/1000</f>
        <v>0</v>
      </c>
      <c r="N32" s="42">
        <f>Calc!F32/1000</f>
        <v>0</v>
      </c>
      <c r="O32" s="42">
        <f>Calc!G32/1000</f>
        <v>0</v>
      </c>
      <c r="P32" s="42">
        <f>Calc!H32/1000</f>
        <v>0</v>
      </c>
      <c r="Q32" s="38"/>
      <c r="R32" s="38"/>
      <c r="S32" s="38"/>
    </row>
    <row r="33" spans="1:19" ht="17.25" thickBot="1" x14ac:dyDescent="0.25">
      <c r="A33" s="38"/>
      <c r="B33" s="82" t="str">
        <f>Calc!A32</f>
        <v xml:space="preserve">General </v>
      </c>
      <c r="C33" s="83">
        <f>Calc!E32/1000000</f>
        <v>0</v>
      </c>
      <c r="D33" s="83">
        <f>Calc!F32/1000000</f>
        <v>0</v>
      </c>
      <c r="E33" s="83">
        <f>Calc!G32/1000000</f>
        <v>0</v>
      </c>
      <c r="F33" s="83">
        <f>Calc!H32/1000000</f>
        <v>0</v>
      </c>
      <c r="G33" s="83">
        <f>Calc!I97</f>
        <v>0</v>
      </c>
      <c r="H33" s="38"/>
      <c r="I33" s="38"/>
      <c r="J33" s="55"/>
      <c r="K33" s="38"/>
      <c r="L33" s="39" t="str">
        <f>Calc!A33</f>
        <v xml:space="preserve">Management services fees </v>
      </c>
      <c r="M33" s="42">
        <f>Calc!E33/1000</f>
        <v>0</v>
      </c>
      <c r="N33" s="42">
        <f>Calc!F33/1000</f>
        <v>0</v>
      </c>
      <c r="O33" s="42">
        <f>Calc!G33/1000</f>
        <v>0</v>
      </c>
      <c r="P33" s="42">
        <f>Calc!H33/1000</f>
        <v>0</v>
      </c>
      <c r="Q33" s="38"/>
      <c r="R33" s="38"/>
      <c r="S33" s="38"/>
    </row>
    <row r="34" spans="1:19" ht="17.25" thickBot="1" x14ac:dyDescent="0.25">
      <c r="A34" s="38"/>
      <c r="B34" s="82" t="str">
        <f>Calc!A33</f>
        <v xml:space="preserve">Management services fees </v>
      </c>
      <c r="C34" s="83">
        <f>Calc!E33/1000000</f>
        <v>0</v>
      </c>
      <c r="D34" s="83">
        <f>Calc!F33/1000000</f>
        <v>0</v>
      </c>
      <c r="E34" s="83">
        <f>Calc!G33/1000000</f>
        <v>0</v>
      </c>
      <c r="F34" s="83">
        <f>Calc!H33/1000000</f>
        <v>0</v>
      </c>
      <c r="G34" s="83">
        <f>Calc!I98</f>
        <v>0</v>
      </c>
      <c r="H34" s="38"/>
      <c r="I34" s="38"/>
      <c r="J34" s="55"/>
      <c r="K34" s="38"/>
      <c r="L34" s="39" t="str">
        <f>Calc!A34</f>
        <v xml:space="preserve">Treasury/financing costs </v>
      </c>
      <c r="M34" s="42">
        <f>Calc!E34/1000</f>
        <v>0</v>
      </c>
      <c r="N34" s="42">
        <f>Calc!F34/1000</f>
        <v>0</v>
      </c>
      <c r="O34" s="42">
        <f>Calc!G34/1000</f>
        <v>0</v>
      </c>
      <c r="P34" s="42">
        <f>Calc!H34/1000</f>
        <v>0</v>
      </c>
      <c r="Q34" s="38"/>
      <c r="R34" s="38"/>
      <c r="S34" s="38"/>
    </row>
    <row r="35" spans="1:19" ht="17.25" thickBot="1" x14ac:dyDescent="0.25">
      <c r="A35" s="38"/>
      <c r="B35" s="82" t="str">
        <f>Calc!A34</f>
        <v xml:space="preserve">Treasury/financing costs </v>
      </c>
      <c r="C35" s="83">
        <f>Calc!E34/1000000</f>
        <v>0</v>
      </c>
      <c r="D35" s="83">
        <f>Calc!F34/1000000</f>
        <v>0</v>
      </c>
      <c r="E35" s="83">
        <f>Calc!G34/1000000</f>
        <v>0</v>
      </c>
      <c r="F35" s="83">
        <f>Calc!H34/1000000</f>
        <v>0</v>
      </c>
      <c r="G35" s="83">
        <f>Calc!I99</f>
        <v>0</v>
      </c>
      <c r="H35" s="38"/>
      <c r="I35" s="38"/>
      <c r="J35" s="55"/>
      <c r="K35" s="38"/>
      <c r="L35" s="40" t="s">
        <v>29</v>
      </c>
      <c r="M35" s="43">
        <f>SUM(M27:M34)</f>
        <v>12816.844670000006</v>
      </c>
      <c r="N35" s="43">
        <f>SUM(N27:N34)</f>
        <v>13376.711079999954</v>
      </c>
      <c r="O35" s="43">
        <f>SUM(O27:O34)</f>
        <v>13206.980760000002</v>
      </c>
      <c r="P35" s="43">
        <f>SUM(P27:P34)</f>
        <v>13802.136468741055</v>
      </c>
      <c r="Q35" s="38"/>
      <c r="R35" s="38"/>
      <c r="S35" s="38"/>
    </row>
    <row r="36" spans="1:19" ht="15" thickBot="1" x14ac:dyDescent="0.25">
      <c r="A36" s="38"/>
      <c r="B36" s="84" t="s">
        <v>29</v>
      </c>
      <c r="C36" s="85">
        <f>SUM(C28:C35)</f>
        <v>12.816844670000005</v>
      </c>
      <c r="D36" s="85">
        <f t="shared" ref="D36:G36" si="6">SUM(D28:D35)</f>
        <v>13.376711079999954</v>
      </c>
      <c r="E36" s="85">
        <f t="shared" si="6"/>
        <v>13.206980760000002</v>
      </c>
      <c r="F36" s="85">
        <f t="shared" si="6"/>
        <v>13.802136468741054</v>
      </c>
      <c r="G36" s="85">
        <f t="shared" si="6"/>
        <v>14.103202113522096</v>
      </c>
      <c r="H36" s="38"/>
      <c r="I36" s="38"/>
      <c r="J36" s="55"/>
      <c r="K36" s="38"/>
      <c r="L36" s="38"/>
      <c r="M36" s="38"/>
      <c r="N36" s="38"/>
      <c r="O36" s="38"/>
      <c r="P36" s="38"/>
      <c r="Q36" s="38"/>
      <c r="R36" s="38"/>
      <c r="S36" s="38"/>
    </row>
    <row r="37" spans="1:19" x14ac:dyDescent="0.2">
      <c r="A37" s="38"/>
      <c r="B37" s="38"/>
      <c r="C37" s="38"/>
      <c r="D37" s="38"/>
      <c r="E37" s="38"/>
      <c r="F37" s="38"/>
      <c r="G37" s="38"/>
      <c r="H37" s="38"/>
      <c r="I37" s="38"/>
      <c r="J37" s="55"/>
      <c r="K37" s="38"/>
      <c r="L37" s="38"/>
      <c r="M37" s="38"/>
      <c r="N37" s="38"/>
      <c r="O37" s="38"/>
      <c r="P37" s="38"/>
      <c r="Q37" s="38"/>
      <c r="R37" s="38"/>
      <c r="S37" s="38"/>
    </row>
    <row r="38" spans="1:19" x14ac:dyDescent="0.2">
      <c r="A38" s="38"/>
      <c r="B38" s="38"/>
      <c r="C38" s="38"/>
      <c r="D38" s="38"/>
      <c r="E38" s="38"/>
      <c r="F38" s="38"/>
      <c r="G38" s="38"/>
      <c r="H38" s="38"/>
      <c r="I38" s="38"/>
      <c r="J38" s="55"/>
      <c r="K38" s="38"/>
      <c r="L38" s="38"/>
      <c r="M38" s="38"/>
      <c r="N38" s="38"/>
      <c r="O38" s="38"/>
      <c r="P38" s="38"/>
      <c r="Q38" s="38"/>
      <c r="R38" s="38"/>
      <c r="S38" s="38"/>
    </row>
    <row r="39" spans="1:19" ht="14.25" x14ac:dyDescent="0.2">
      <c r="A39" s="38"/>
      <c r="B39" s="38"/>
      <c r="C39" s="38"/>
      <c r="D39" s="38"/>
      <c r="E39" s="38"/>
      <c r="F39" s="38"/>
      <c r="G39" s="38"/>
      <c r="H39" s="38"/>
      <c r="I39" s="38"/>
      <c r="J39" s="55"/>
      <c r="K39" s="38"/>
      <c r="L39" s="51" t="s">
        <v>72</v>
      </c>
      <c r="M39" s="50"/>
      <c r="N39" s="50"/>
      <c r="O39" s="50"/>
      <c r="P39" s="50"/>
      <c r="Q39" s="38"/>
      <c r="R39" s="38"/>
      <c r="S39" s="38"/>
    </row>
    <row r="40" spans="1:19" ht="13.5" thickBot="1" x14ac:dyDescent="0.25">
      <c r="A40" s="38"/>
      <c r="B40" s="38"/>
      <c r="C40" s="38"/>
      <c r="D40" s="38"/>
      <c r="E40" s="38"/>
      <c r="F40" s="38"/>
      <c r="G40" s="38"/>
      <c r="H40" s="38"/>
      <c r="I40" s="38"/>
      <c r="J40" s="55"/>
      <c r="K40" s="38"/>
      <c r="L40" s="38"/>
      <c r="M40" s="38"/>
      <c r="N40" s="38"/>
      <c r="O40" s="38"/>
      <c r="P40" s="38"/>
      <c r="Q40" s="38"/>
      <c r="R40" s="38"/>
      <c r="S40" s="38"/>
    </row>
    <row r="41" spans="1:19" ht="14.25" thickBot="1" x14ac:dyDescent="0.25">
      <c r="A41" s="38"/>
      <c r="B41" s="38"/>
      <c r="C41" s="38"/>
      <c r="D41" s="38"/>
      <c r="E41" s="38"/>
      <c r="F41" s="38"/>
      <c r="G41" s="38"/>
      <c r="H41" s="38"/>
      <c r="I41" s="38"/>
      <c r="J41" s="55"/>
      <c r="K41" s="38"/>
      <c r="L41" s="47"/>
      <c r="M41" s="48" t="s">
        <v>24</v>
      </c>
      <c r="N41" s="48" t="s">
        <v>25</v>
      </c>
      <c r="O41" s="48" t="s">
        <v>26</v>
      </c>
      <c r="P41" s="48" t="s">
        <v>27</v>
      </c>
      <c r="Q41" s="38"/>
      <c r="R41" s="38"/>
      <c r="S41" s="38"/>
    </row>
    <row r="42" spans="1:19" ht="15" thickBot="1" x14ac:dyDescent="0.25">
      <c r="A42" s="38"/>
      <c r="B42" s="38"/>
      <c r="C42" s="38"/>
      <c r="D42" s="38"/>
      <c r="E42" s="38"/>
      <c r="F42" s="38"/>
      <c r="G42" s="38"/>
      <c r="H42" s="38"/>
      <c r="I42" s="38"/>
      <c r="J42" s="55"/>
      <c r="K42" s="38"/>
      <c r="L42" s="49" t="s">
        <v>52</v>
      </c>
      <c r="M42" s="54">
        <f>Calc!E138</f>
        <v>4.2334622500000032</v>
      </c>
      <c r="N42" s="54">
        <f>Calc!F138</f>
        <v>4.3437374600000007</v>
      </c>
      <c r="O42" s="54">
        <f>Calc!G138</f>
        <v>4.3650634700000008</v>
      </c>
      <c r="P42" s="54">
        <f>Calc!H138</f>
        <v>3.9379039887410561</v>
      </c>
      <c r="Q42" s="38"/>
      <c r="R42" s="38"/>
      <c r="S42" s="38"/>
    </row>
    <row r="43" spans="1:19" x14ac:dyDescent="0.2">
      <c r="A43" s="38"/>
      <c r="B43" s="38"/>
      <c r="C43" s="38"/>
      <c r="D43" s="38"/>
      <c r="E43" s="38"/>
      <c r="F43" s="38"/>
      <c r="G43" s="38"/>
      <c r="H43" s="38"/>
      <c r="I43" s="38"/>
      <c r="J43" s="55"/>
      <c r="K43" s="38"/>
      <c r="L43" s="38"/>
      <c r="M43" s="38"/>
      <c r="N43" s="38"/>
      <c r="O43" s="38"/>
      <c r="P43" s="38"/>
      <c r="Q43" s="38"/>
      <c r="R43" s="38"/>
      <c r="S43" s="38"/>
    </row>
    <row r="44" spans="1:19" x14ac:dyDescent="0.2">
      <c r="A44" s="38"/>
      <c r="B44" s="38"/>
      <c r="C44" s="38"/>
      <c r="D44" s="38"/>
      <c r="E44" s="38"/>
      <c r="F44" s="38"/>
      <c r="G44" s="38"/>
      <c r="H44" s="38"/>
      <c r="I44" s="38"/>
      <c r="J44" s="55"/>
      <c r="K44" s="38"/>
      <c r="L44" s="38"/>
      <c r="M44" s="38"/>
      <c r="N44" s="38"/>
      <c r="O44" s="38"/>
      <c r="P44" s="38"/>
      <c r="Q44" s="38"/>
      <c r="R44" s="41"/>
      <c r="S44" s="38"/>
    </row>
    <row r="45" spans="1:19" x14ac:dyDescent="0.2">
      <c r="A45" s="38"/>
      <c r="B45" s="38"/>
      <c r="C45" s="38"/>
      <c r="D45" s="38"/>
      <c r="E45" s="38"/>
      <c r="F45" s="38"/>
      <c r="G45" s="38"/>
      <c r="H45" s="38"/>
      <c r="I45" s="38"/>
      <c r="J45" s="55"/>
      <c r="K45" s="38"/>
      <c r="L45" s="38"/>
      <c r="M45" s="38"/>
      <c r="N45" s="38"/>
      <c r="O45" s="38"/>
      <c r="P45" s="38"/>
      <c r="Q45" s="38"/>
      <c r="R45" s="38"/>
      <c r="S45" s="38"/>
    </row>
    <row r="46" spans="1:19" x14ac:dyDescent="0.2">
      <c r="A46" s="38"/>
      <c r="B46" s="38"/>
      <c r="C46" s="38"/>
      <c r="D46" s="38"/>
      <c r="E46" s="38"/>
      <c r="F46" s="38"/>
      <c r="G46" s="38"/>
      <c r="H46" s="38"/>
      <c r="I46" s="38"/>
      <c r="J46" s="55"/>
      <c r="L46" s="38"/>
      <c r="M46" s="38"/>
      <c r="N46" s="38"/>
      <c r="O46" s="38"/>
      <c r="P46" s="38"/>
      <c r="Q46" s="38"/>
      <c r="R46" s="38"/>
      <c r="S46" s="38"/>
    </row>
    <row r="47" spans="1:19" x14ac:dyDescent="0.2">
      <c r="A47" s="38"/>
      <c r="B47" s="38"/>
      <c r="C47" s="38"/>
      <c r="D47" s="38"/>
      <c r="E47" s="38"/>
      <c r="F47" s="38"/>
      <c r="G47" s="38"/>
      <c r="H47" s="38"/>
      <c r="I47" s="38"/>
      <c r="J47" s="55"/>
      <c r="R47" s="38"/>
      <c r="S47" s="38"/>
    </row>
    <row r="48" spans="1:19" x14ac:dyDescent="0.2">
      <c r="A48" s="38"/>
      <c r="B48" s="38"/>
      <c r="C48" s="38"/>
      <c r="D48" s="38"/>
      <c r="E48" s="38"/>
      <c r="F48" s="38"/>
      <c r="G48" s="38"/>
      <c r="H48" s="38"/>
      <c r="I48" s="38"/>
      <c r="J48" s="55"/>
      <c r="R48" s="38"/>
      <c r="S48" s="38"/>
    </row>
    <row r="49" spans="1:19" x14ac:dyDescent="0.2">
      <c r="A49" s="38"/>
      <c r="B49" s="38"/>
      <c r="C49" s="38"/>
      <c r="D49" s="38"/>
      <c r="E49" s="38"/>
      <c r="F49" s="38"/>
      <c r="G49" s="38"/>
      <c r="H49" s="38"/>
      <c r="I49" s="38"/>
      <c r="J49" s="55"/>
      <c r="R49" s="38"/>
      <c r="S49" s="38"/>
    </row>
    <row r="50" spans="1:19" x14ac:dyDescent="0.2">
      <c r="A50" s="38"/>
      <c r="B50" s="38"/>
      <c r="C50" s="38"/>
      <c r="D50" s="38"/>
      <c r="E50" s="38"/>
      <c r="F50" s="38"/>
      <c r="G50" s="38"/>
      <c r="H50" s="38"/>
      <c r="I50" s="38"/>
      <c r="J50" s="55"/>
      <c r="R50" s="38"/>
      <c r="S50" s="38"/>
    </row>
    <row r="51" spans="1:19" x14ac:dyDescent="0.2">
      <c r="A51" s="38"/>
      <c r="B51" s="38"/>
      <c r="C51" s="38"/>
      <c r="D51" s="38"/>
      <c r="E51" s="38"/>
      <c r="F51" s="38"/>
      <c r="G51" s="38"/>
      <c r="H51" s="38"/>
      <c r="I51" s="38"/>
      <c r="J51" s="55"/>
      <c r="R51" s="38"/>
    </row>
    <row r="52" spans="1:19" x14ac:dyDescent="0.2">
      <c r="A52" s="38"/>
      <c r="B52" s="38"/>
      <c r="C52" s="38"/>
      <c r="D52" s="38"/>
      <c r="E52" s="38"/>
      <c r="F52" s="38"/>
      <c r="G52" s="38"/>
      <c r="H52" s="38"/>
      <c r="I52" s="38"/>
      <c r="J52" s="55"/>
      <c r="R52" s="38"/>
    </row>
    <row r="53" spans="1:19" x14ac:dyDescent="0.2">
      <c r="A53" s="38"/>
      <c r="B53" s="38"/>
      <c r="C53" s="38"/>
      <c r="D53" s="38"/>
      <c r="E53" s="38"/>
      <c r="F53" s="38"/>
      <c r="G53" s="38"/>
      <c r="H53" s="38"/>
      <c r="I53" s="38"/>
      <c r="J53" s="55"/>
      <c r="R53" s="38"/>
    </row>
    <row r="54" spans="1:19" x14ac:dyDescent="0.2">
      <c r="A54" s="38"/>
      <c r="B54" s="38"/>
      <c r="C54" s="38"/>
      <c r="D54" s="38"/>
      <c r="E54" s="38"/>
      <c r="F54" s="38"/>
      <c r="G54" s="38"/>
      <c r="H54" s="38"/>
      <c r="I54" s="38"/>
      <c r="J54" s="55"/>
      <c r="R54" s="38"/>
    </row>
    <row r="55" spans="1:19" x14ac:dyDescent="0.2">
      <c r="A55" s="38"/>
      <c r="B55" s="38"/>
      <c r="C55" s="38"/>
      <c r="D55" s="38"/>
      <c r="E55" s="38"/>
      <c r="F55" s="38"/>
      <c r="G55" s="38"/>
      <c r="H55" s="38"/>
      <c r="I55" s="38"/>
      <c r="J55" s="55"/>
      <c r="R55" s="38"/>
    </row>
    <row r="56" spans="1:19" x14ac:dyDescent="0.2">
      <c r="A56" s="38"/>
      <c r="B56" s="38"/>
      <c r="C56" s="38"/>
      <c r="D56" s="38"/>
      <c r="E56" s="38"/>
      <c r="F56" s="38"/>
      <c r="G56" s="38"/>
      <c r="H56" s="38"/>
      <c r="I56" s="38"/>
      <c r="J56" s="55"/>
    </row>
    <row r="57" spans="1:19" x14ac:dyDescent="0.2">
      <c r="A57" s="38"/>
      <c r="B57" s="38"/>
      <c r="C57" s="38"/>
      <c r="D57" s="38"/>
      <c r="E57" s="38"/>
      <c r="F57" s="38"/>
      <c r="G57" s="38"/>
      <c r="H57" s="38"/>
      <c r="I57" s="38"/>
      <c r="J57" s="55"/>
    </row>
    <row r="58" spans="1:19" x14ac:dyDescent="0.2">
      <c r="A58" s="38"/>
      <c r="B58" s="38"/>
      <c r="C58" s="38"/>
      <c r="D58" s="38"/>
      <c r="E58" s="38"/>
      <c r="F58" s="38"/>
      <c r="G58" s="38"/>
      <c r="H58" s="38"/>
      <c r="I58" s="38"/>
      <c r="J58" s="55"/>
    </row>
    <row r="59" spans="1:19" x14ac:dyDescent="0.2">
      <c r="A59" s="38"/>
      <c r="I59" s="38"/>
      <c r="J59" s="55"/>
    </row>
    <row r="60" spans="1:19" x14ac:dyDescent="0.2">
      <c r="I60" s="38"/>
      <c r="J60" s="55"/>
    </row>
    <row r="61" spans="1:19" x14ac:dyDescent="0.2">
      <c r="I61" s="38"/>
      <c r="J61" s="55"/>
    </row>
    <row r="62" spans="1:19" x14ac:dyDescent="0.2">
      <c r="I62" s="38"/>
      <c r="J62" s="55"/>
    </row>
    <row r="63" spans="1:19" x14ac:dyDescent="0.2">
      <c r="I63" s="38"/>
      <c r="J63" s="55"/>
    </row>
    <row r="64" spans="1:19" x14ac:dyDescent="0.2">
      <c r="I64" s="38"/>
      <c r="J64" s="55"/>
    </row>
    <row r="65" spans="9:10" x14ac:dyDescent="0.2">
      <c r="I65" s="38"/>
      <c r="J65" s="55"/>
    </row>
    <row r="66" spans="9:10" x14ac:dyDescent="0.2">
      <c r="I66" s="38"/>
      <c r="J66" s="55"/>
    </row>
    <row r="67" spans="9:10" x14ac:dyDescent="0.2">
      <c r="I67" s="38"/>
      <c r="J67" s="55"/>
    </row>
    <row r="68" spans="9:10" x14ac:dyDescent="0.2">
      <c r="I68" s="38"/>
      <c r="J68" s="55"/>
    </row>
    <row r="69" spans="9:10" x14ac:dyDescent="0.2">
      <c r="I69" s="38"/>
      <c r="J69" s="55"/>
    </row>
    <row r="70" spans="9:10" x14ac:dyDescent="0.2">
      <c r="I70" s="38"/>
    </row>
    <row r="71" spans="9:10" x14ac:dyDescent="0.2">
      <c r="I71" s="38"/>
    </row>
    <row r="72" spans="9:10" x14ac:dyDescent="0.2">
      <c r="I72" s="38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9"/>
  <sheetViews>
    <sheetView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2" sqref="B2"/>
    </sheetView>
  </sheetViews>
  <sheetFormatPr defaultRowHeight="12.75" x14ac:dyDescent="0.2"/>
  <cols>
    <col min="1" max="1" width="40.85546875" customWidth="1"/>
    <col min="2" max="2" width="13.7109375" bestFit="1" customWidth="1"/>
    <col min="3" max="6" width="14" bestFit="1" customWidth="1"/>
    <col min="7" max="7" width="14.7109375" bestFit="1" customWidth="1"/>
    <col min="8" max="8" width="14" bestFit="1" customWidth="1"/>
    <col min="9" max="9" width="12.85546875" bestFit="1" customWidth="1"/>
    <col min="10" max="14" width="11.28515625" bestFit="1" customWidth="1"/>
  </cols>
  <sheetData>
    <row r="1" spans="1:14" x14ac:dyDescent="0.2">
      <c r="B1" s="4" t="s">
        <v>7</v>
      </c>
      <c r="C1" s="4">
        <v>2011</v>
      </c>
      <c r="D1" s="4">
        <v>2012</v>
      </c>
      <c r="E1" s="4">
        <v>2013</v>
      </c>
      <c r="F1" s="4">
        <v>2014</v>
      </c>
      <c r="G1" s="4">
        <v>2015</v>
      </c>
      <c r="H1" s="4">
        <v>2016</v>
      </c>
      <c r="I1" s="4">
        <v>2017</v>
      </c>
      <c r="J1" s="4">
        <v>2018</v>
      </c>
      <c r="K1" s="4">
        <v>2019</v>
      </c>
      <c r="L1" s="4">
        <v>2020</v>
      </c>
      <c r="M1" s="4">
        <v>2021</v>
      </c>
      <c r="N1" s="4">
        <v>2022</v>
      </c>
    </row>
    <row r="2" spans="1:14" ht="21" thickBot="1" x14ac:dyDescent="0.35">
      <c r="A2" s="58" t="s">
        <v>0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pans="1:14" ht="15" thickTop="1" x14ac:dyDescent="0.2">
      <c r="A3" s="28" t="s">
        <v>68</v>
      </c>
      <c r="B3" s="4"/>
    </row>
    <row r="4" spans="1:14" x14ac:dyDescent="0.2">
      <c r="A4" s="1" t="s">
        <v>10</v>
      </c>
      <c r="B4" s="1" t="s">
        <v>83</v>
      </c>
      <c r="C4" s="8"/>
      <c r="D4" s="8"/>
      <c r="E4" s="8">
        <v>0</v>
      </c>
      <c r="F4" s="8">
        <v>146991.19</v>
      </c>
      <c r="G4" s="8">
        <v>92131.68</v>
      </c>
      <c r="H4" s="8">
        <v>149978</v>
      </c>
      <c r="I4" s="6"/>
      <c r="J4" s="6"/>
      <c r="K4" s="6"/>
      <c r="L4" s="6"/>
      <c r="M4" s="6"/>
      <c r="N4" s="6"/>
    </row>
    <row r="5" spans="1:14" x14ac:dyDescent="0.2">
      <c r="A5" s="1" t="s">
        <v>5</v>
      </c>
      <c r="B5" s="1" t="s">
        <v>83</v>
      </c>
      <c r="C5" s="9"/>
      <c r="D5" s="9"/>
      <c r="E5" s="9">
        <v>8230024.8099999987</v>
      </c>
      <c r="F5" s="9">
        <v>8610638.8399999477</v>
      </c>
      <c r="G5" s="9">
        <v>8326661.4399999948</v>
      </c>
      <c r="H5" s="9">
        <v>9281686.4400000013</v>
      </c>
      <c r="I5" s="6"/>
      <c r="J5" s="6"/>
      <c r="K5" s="6"/>
      <c r="L5" s="6"/>
      <c r="M5" s="6"/>
      <c r="N5" s="6"/>
    </row>
    <row r="6" spans="1:14" x14ac:dyDescent="0.2">
      <c r="A6" s="1" t="s">
        <v>4</v>
      </c>
      <c r="B6" s="1" t="s">
        <v>83</v>
      </c>
      <c r="C6" s="9"/>
      <c r="D6" s="9"/>
      <c r="E6" s="9">
        <v>353357.61</v>
      </c>
      <c r="F6" s="9">
        <v>275343.58999999997</v>
      </c>
      <c r="G6" s="9">
        <v>423124.17000000004</v>
      </c>
      <c r="H6" s="9">
        <v>432568.04000000004</v>
      </c>
      <c r="I6" s="6"/>
      <c r="J6" s="6"/>
      <c r="K6" s="6"/>
      <c r="L6" s="6"/>
      <c r="M6" s="6"/>
      <c r="N6" s="6"/>
    </row>
    <row r="7" spans="1:14" x14ac:dyDescent="0.2">
      <c r="A7" s="1" t="s">
        <v>6</v>
      </c>
      <c r="B7" s="1" t="s">
        <v>83</v>
      </c>
      <c r="C7" s="9"/>
      <c r="D7" s="9"/>
      <c r="E7" s="9">
        <v>4233462.2500000028</v>
      </c>
      <c r="F7" s="9">
        <v>4343737.4600000009</v>
      </c>
      <c r="G7" s="9">
        <v>4365063.4700000007</v>
      </c>
      <c r="H7" s="9">
        <v>3937903.9887410561</v>
      </c>
      <c r="I7" s="6"/>
      <c r="J7" s="6"/>
      <c r="K7" s="6"/>
      <c r="L7" s="6"/>
      <c r="M7" s="6"/>
      <c r="N7" s="6"/>
    </row>
    <row r="8" spans="1:14" x14ac:dyDescent="0.2">
      <c r="A8" s="79" t="s">
        <v>141</v>
      </c>
    </row>
    <row r="9" spans="1:14" x14ac:dyDescent="0.2">
      <c r="A9" s="6" t="s">
        <v>74</v>
      </c>
      <c r="B9" s="2" t="s">
        <v>83</v>
      </c>
      <c r="C9" s="5"/>
      <c r="D9" s="5"/>
      <c r="E9" s="5">
        <f t="shared" ref="E9:H9" si="0">SUM(E5:E7)</f>
        <v>12816844.670000002</v>
      </c>
      <c r="F9" s="5">
        <f t="shared" si="0"/>
        <v>13229719.889999948</v>
      </c>
      <c r="G9" s="5">
        <f t="shared" si="0"/>
        <v>13114849.079999996</v>
      </c>
      <c r="H9" s="5">
        <f t="shared" si="0"/>
        <v>13652158.468741056</v>
      </c>
      <c r="I9" s="6"/>
      <c r="J9" s="6"/>
      <c r="K9" s="6"/>
      <c r="L9" s="6"/>
      <c r="M9" s="6"/>
      <c r="N9" s="6"/>
    </row>
    <row r="11" spans="1:14" ht="14.25" x14ac:dyDescent="0.2">
      <c r="A11" s="28" t="s">
        <v>8</v>
      </c>
    </row>
    <row r="12" spans="1:14" x14ac:dyDescent="0.2">
      <c r="A12" s="1" t="s">
        <v>3</v>
      </c>
      <c r="B12" s="1" t="s">
        <v>9</v>
      </c>
      <c r="C12" s="36">
        <v>1.5846066779853007E-2</v>
      </c>
      <c r="D12" s="36">
        <v>2.5025025025025016E-2</v>
      </c>
      <c r="E12" s="36">
        <v>2.9296875E-2</v>
      </c>
      <c r="F12" s="36">
        <v>1.3282732447817747E-2</v>
      </c>
      <c r="G12" s="1"/>
      <c r="H12" s="1"/>
      <c r="I12" s="1"/>
      <c r="J12" s="1"/>
      <c r="K12" s="1"/>
      <c r="L12" s="1"/>
      <c r="M12" s="1"/>
      <c r="N12" s="1"/>
    </row>
    <row r="13" spans="1:14" x14ac:dyDescent="0.2">
      <c r="A13" s="1" t="s">
        <v>1</v>
      </c>
      <c r="B13" s="1" t="s">
        <v>9</v>
      </c>
      <c r="C13" s="1"/>
      <c r="D13" s="1"/>
      <c r="E13" s="1"/>
      <c r="F13" s="1"/>
      <c r="G13" s="36">
        <v>1.3108614232209881E-2</v>
      </c>
      <c r="H13" s="1"/>
      <c r="I13" s="1"/>
      <c r="J13" s="1"/>
      <c r="K13" s="1"/>
      <c r="L13" s="1"/>
      <c r="M13" s="1"/>
      <c r="N13" s="1"/>
    </row>
    <row r="14" spans="1:14" x14ac:dyDescent="0.2">
      <c r="A14" s="1" t="s">
        <v>142</v>
      </c>
      <c r="B14" s="1" t="s">
        <v>9</v>
      </c>
      <c r="C14" s="1"/>
      <c r="D14" s="1"/>
      <c r="E14" s="1"/>
      <c r="F14" s="1"/>
      <c r="G14" s="1"/>
      <c r="H14" s="36">
        <v>2.3E-2</v>
      </c>
      <c r="I14" s="1"/>
      <c r="J14" s="1"/>
      <c r="K14" s="1"/>
      <c r="L14" s="1"/>
      <c r="M14" s="1"/>
      <c r="N14" s="1"/>
    </row>
    <row r="16" spans="1:14" ht="14.25" x14ac:dyDescent="0.2">
      <c r="A16" s="28" t="s">
        <v>12</v>
      </c>
    </row>
    <row r="17" spans="1:14" ht="17.25" thickBot="1" x14ac:dyDescent="0.3">
      <c r="A17" s="27" t="s">
        <v>60</v>
      </c>
    </row>
    <row r="18" spans="1:14" ht="13.5" thickTop="1" x14ac:dyDescent="0.2">
      <c r="A18" s="1" t="s">
        <v>61</v>
      </c>
      <c r="B18" s="1" t="s">
        <v>86</v>
      </c>
      <c r="C18" s="1"/>
      <c r="D18" s="1"/>
      <c r="E18" s="1"/>
      <c r="F18" s="1"/>
      <c r="G18" s="1"/>
      <c r="H18" s="1"/>
      <c r="I18" s="9">
        <v>0</v>
      </c>
      <c r="J18" s="9">
        <v>100000</v>
      </c>
      <c r="K18" s="9">
        <v>100000</v>
      </c>
      <c r="L18" s="9">
        <v>50000</v>
      </c>
      <c r="M18" s="9">
        <v>0</v>
      </c>
      <c r="N18" s="9">
        <v>0</v>
      </c>
    </row>
    <row r="19" spans="1:14" x14ac:dyDescent="0.2">
      <c r="A19" s="1" t="s">
        <v>62</v>
      </c>
      <c r="B19" s="1" t="s">
        <v>86</v>
      </c>
      <c r="C19" s="9"/>
      <c r="D19" s="9"/>
      <c r="E19" s="9"/>
      <c r="F19" s="9"/>
      <c r="G19" s="9"/>
      <c r="H19" s="9"/>
      <c r="I19" s="9">
        <v>0</v>
      </c>
      <c r="J19" s="9">
        <v>50000</v>
      </c>
      <c r="K19" s="9">
        <v>50000</v>
      </c>
      <c r="L19" s="9">
        <v>0</v>
      </c>
      <c r="M19" s="9">
        <v>0</v>
      </c>
      <c r="N19" s="9">
        <v>0</v>
      </c>
    </row>
    <row r="20" spans="1:14" x14ac:dyDescent="0.2">
      <c r="A20" s="71" t="s">
        <v>12</v>
      </c>
      <c r="B20" s="71" t="s">
        <v>86</v>
      </c>
      <c r="C20" s="71"/>
      <c r="D20" s="71"/>
      <c r="E20" s="71"/>
      <c r="F20" s="71"/>
      <c r="G20" s="71"/>
      <c r="H20" s="71"/>
      <c r="I20" s="72">
        <f t="shared" ref="I20:N20" si="1">SUM(I18:I19)</f>
        <v>0</v>
      </c>
      <c r="J20" s="72">
        <f t="shared" si="1"/>
        <v>150000</v>
      </c>
      <c r="K20" s="72">
        <f t="shared" si="1"/>
        <v>150000</v>
      </c>
      <c r="L20" s="72">
        <f t="shared" si="1"/>
        <v>50000</v>
      </c>
      <c r="M20" s="72">
        <f t="shared" si="1"/>
        <v>0</v>
      </c>
      <c r="N20" s="72">
        <f t="shared" si="1"/>
        <v>0</v>
      </c>
    </row>
    <row r="21" spans="1:14" ht="13.5" customHeight="1" x14ac:dyDescent="0.2"/>
    <row r="22" spans="1:14" ht="14.25" x14ac:dyDescent="0.2">
      <c r="A22" s="28" t="s">
        <v>46</v>
      </c>
    </row>
    <row r="23" spans="1:14" x14ac:dyDescent="0.2">
      <c r="A23" s="1" t="s">
        <v>23</v>
      </c>
      <c r="B23" s="1" t="s">
        <v>14</v>
      </c>
      <c r="C23" s="1"/>
      <c r="D23" s="1"/>
      <c r="E23" s="1"/>
      <c r="F23" s="1"/>
      <c r="G23" s="1"/>
      <c r="H23" s="1"/>
      <c r="I23" s="1">
        <v>70</v>
      </c>
      <c r="J23" s="1">
        <v>70</v>
      </c>
      <c r="K23" s="1">
        <v>70</v>
      </c>
      <c r="L23" s="1">
        <v>70</v>
      </c>
      <c r="M23" s="1">
        <v>70</v>
      </c>
      <c r="N23" s="1">
        <v>70</v>
      </c>
    </row>
    <row r="24" spans="1:14" x14ac:dyDescent="0.2">
      <c r="A24" s="1" t="s">
        <v>107</v>
      </c>
      <c r="B24" s="1" t="s">
        <v>108</v>
      </c>
      <c r="C24" s="1"/>
      <c r="D24" s="1"/>
      <c r="E24" s="1"/>
      <c r="F24" s="1"/>
      <c r="G24" s="1"/>
      <c r="H24" s="1"/>
      <c r="I24" s="1">
        <f t="shared" ref="I24:N24" si="2">126876-61442</f>
        <v>65434</v>
      </c>
      <c r="J24" s="1">
        <f t="shared" si="2"/>
        <v>65434</v>
      </c>
      <c r="K24" s="1">
        <f t="shared" si="2"/>
        <v>65434</v>
      </c>
      <c r="L24" s="1">
        <f t="shared" si="2"/>
        <v>65434</v>
      </c>
      <c r="M24" s="1">
        <f t="shared" si="2"/>
        <v>65434</v>
      </c>
      <c r="N24" s="1">
        <f t="shared" si="2"/>
        <v>65434</v>
      </c>
    </row>
    <row r="26" spans="1:14" ht="17.25" thickBot="1" x14ac:dyDescent="0.3">
      <c r="A26" s="27" t="s">
        <v>76</v>
      </c>
    </row>
    <row r="27" spans="1:14" ht="13.5" thickTop="1" x14ac:dyDescent="0.2">
      <c r="A27" s="1" t="s">
        <v>19</v>
      </c>
      <c r="B27" s="1" t="s">
        <v>15</v>
      </c>
      <c r="C27" s="8"/>
      <c r="D27" s="8"/>
      <c r="E27" s="8">
        <v>4977073.580000001</v>
      </c>
      <c r="F27" s="8">
        <v>5023104.37557186</v>
      </c>
      <c r="G27" s="8">
        <v>5288223.75</v>
      </c>
      <c r="H27" s="8">
        <v>6831991.3199999994</v>
      </c>
    </row>
    <row r="28" spans="1:14" x14ac:dyDescent="0.2">
      <c r="A28" s="1" t="s">
        <v>16</v>
      </c>
      <c r="B28" s="1" t="s">
        <v>15</v>
      </c>
      <c r="C28" s="8"/>
      <c r="D28" s="8"/>
      <c r="E28" s="8">
        <v>1490532.46</v>
      </c>
      <c r="F28" s="8">
        <v>1320829.2568889281</v>
      </c>
      <c r="G28" s="8">
        <v>945956.29000000039</v>
      </c>
      <c r="H28" s="8">
        <v>1533093.4000000001</v>
      </c>
    </row>
    <row r="29" spans="1:14" x14ac:dyDescent="0.2">
      <c r="A29" s="1" t="s">
        <v>40</v>
      </c>
      <c r="B29" s="1" t="s">
        <v>15</v>
      </c>
      <c r="C29" s="8"/>
      <c r="D29" s="8"/>
      <c r="E29" s="8">
        <v>1330110.6600000001</v>
      </c>
      <c r="F29" s="8">
        <v>1898179.7344473605</v>
      </c>
      <c r="G29" s="8">
        <v>1565971.9100000006</v>
      </c>
      <c r="H29" s="8">
        <v>888028.2899999998</v>
      </c>
    </row>
    <row r="30" spans="1:14" x14ac:dyDescent="0.2">
      <c r="A30" s="1" t="s">
        <v>41</v>
      </c>
      <c r="B30" s="1" t="s">
        <v>15</v>
      </c>
      <c r="C30" s="8"/>
      <c r="D30" s="8"/>
      <c r="E30" s="8">
        <v>785665.72</v>
      </c>
      <c r="F30" s="8">
        <v>790860.25309180457</v>
      </c>
      <c r="G30" s="8">
        <v>1041765.34</v>
      </c>
      <c r="H30" s="8">
        <v>611119.47000000009</v>
      </c>
    </row>
    <row r="31" spans="1:14" x14ac:dyDescent="0.2">
      <c r="A31" s="1" t="s">
        <v>42</v>
      </c>
      <c r="B31" s="1" t="s">
        <v>15</v>
      </c>
      <c r="C31" s="8"/>
      <c r="D31" s="8"/>
      <c r="E31" s="8">
        <v>4233462.2500000028</v>
      </c>
      <c r="F31" s="8">
        <v>4343737.4600000009</v>
      </c>
      <c r="G31" s="8">
        <v>4365063.4700000007</v>
      </c>
      <c r="H31" s="8">
        <v>3937903.9887410561</v>
      </c>
    </row>
    <row r="32" spans="1:14" x14ac:dyDescent="0.2">
      <c r="A32" s="1" t="s">
        <v>43</v>
      </c>
      <c r="B32" s="1" t="s">
        <v>15</v>
      </c>
      <c r="C32" s="8"/>
      <c r="D32" s="8"/>
      <c r="E32" s="8">
        <v>0</v>
      </c>
      <c r="F32" s="8">
        <v>0</v>
      </c>
      <c r="G32" s="8">
        <v>0</v>
      </c>
      <c r="H32" s="8">
        <v>0</v>
      </c>
    </row>
    <row r="33" spans="1:14" x14ac:dyDescent="0.2">
      <c r="A33" s="1" t="s">
        <v>44</v>
      </c>
      <c r="B33" s="1" t="s">
        <v>15</v>
      </c>
      <c r="C33" s="8"/>
      <c r="D33" s="8"/>
      <c r="E33" s="8">
        <v>0</v>
      </c>
      <c r="F33" s="8">
        <v>0</v>
      </c>
      <c r="G33" s="8">
        <v>0</v>
      </c>
      <c r="H33" s="8">
        <v>0</v>
      </c>
    </row>
    <row r="34" spans="1:14" x14ac:dyDescent="0.2">
      <c r="A34" s="1" t="s">
        <v>45</v>
      </c>
      <c r="B34" s="1" t="s">
        <v>15</v>
      </c>
      <c r="C34" s="8"/>
      <c r="D34" s="8"/>
      <c r="E34" s="8">
        <v>0</v>
      </c>
      <c r="F34" s="8">
        <v>0</v>
      </c>
      <c r="G34" s="8">
        <v>0</v>
      </c>
      <c r="H34" s="8">
        <v>0</v>
      </c>
    </row>
    <row r="35" spans="1:14" x14ac:dyDescent="0.2">
      <c r="A35" s="71" t="s">
        <v>17</v>
      </c>
      <c r="B35" s="71" t="s">
        <v>15</v>
      </c>
      <c r="C35" s="72"/>
      <c r="D35" s="72"/>
      <c r="E35" s="72">
        <f t="shared" ref="E35:H35" si="3">SUM(E27:E34)</f>
        <v>12816844.670000006</v>
      </c>
      <c r="F35" s="72">
        <f t="shared" si="3"/>
        <v>13376711.079999954</v>
      </c>
      <c r="G35" s="72">
        <f t="shared" si="3"/>
        <v>13206980.760000002</v>
      </c>
      <c r="H35" s="72">
        <f t="shared" si="3"/>
        <v>13802136.468741056</v>
      </c>
    </row>
    <row r="37" spans="1:14" x14ac:dyDescent="0.2">
      <c r="A37" s="65" t="s">
        <v>93</v>
      </c>
      <c r="B37" s="45"/>
      <c r="C37" s="81">
        <f t="shared" ref="C37:D37" si="4">C35-C9</f>
        <v>0</v>
      </c>
      <c r="D37" s="81">
        <f t="shared" si="4"/>
        <v>0</v>
      </c>
      <c r="E37" s="81">
        <f>E35-E9-E4</f>
        <v>3.7252902984619141E-9</v>
      </c>
      <c r="F37" s="81">
        <f>F35-F9-F4</f>
        <v>5.0640664994716644E-9</v>
      </c>
      <c r="G37" s="81">
        <f>G35-G9-G4</f>
        <v>5.2968971431255341E-9</v>
      </c>
      <c r="H37" s="81">
        <f>H35-H9-H4</f>
        <v>0</v>
      </c>
    </row>
    <row r="39" spans="1:14" ht="17.25" thickBot="1" x14ac:dyDescent="0.3">
      <c r="A39" s="27" t="s">
        <v>47</v>
      </c>
    </row>
    <row r="40" spans="1:14" ht="13.5" thickTop="1" x14ac:dyDescent="0.2">
      <c r="A40" s="1" t="s">
        <v>21</v>
      </c>
      <c r="B40" s="1" t="s">
        <v>50</v>
      </c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4" x14ac:dyDescent="0.2">
      <c r="A41" s="45" t="s">
        <v>48</v>
      </c>
    </row>
    <row r="43" spans="1:14" ht="20.25" x14ac:dyDescent="0.3">
      <c r="A43" s="64" t="s">
        <v>2</v>
      </c>
    </row>
    <row r="44" spans="1:14" x14ac:dyDescent="0.2">
      <c r="A44" s="2" t="s">
        <v>84</v>
      </c>
      <c r="B44" s="2" t="s">
        <v>11</v>
      </c>
      <c r="C44" s="5">
        <f>D44/(1+C12)</f>
        <v>0.88845347496663785</v>
      </c>
      <c r="D44" s="5">
        <f>E44/(1+D12)</f>
        <v>0.90253196806175162</v>
      </c>
      <c r="E44" s="5">
        <f>F44/(1+E12)</f>
        <v>0.92511785314838202</v>
      </c>
      <c r="F44" s="5">
        <f>G44/(1+F12)</f>
        <v>0.95222091525233854</v>
      </c>
      <c r="G44" s="5">
        <f>H44/(1+G13)</f>
        <v>0.96486901090085153</v>
      </c>
      <c r="H44" s="5">
        <f>I44/(1+H14)</f>
        <v>0.97751710654936474</v>
      </c>
      <c r="I44" s="5">
        <v>1</v>
      </c>
      <c r="J44" s="5">
        <f>I44*(1+$H$14)</f>
        <v>1.0229999999999999</v>
      </c>
      <c r="K44" s="5">
        <f>J44*(1+$H$14)</f>
        <v>1.0465289999999998</v>
      </c>
      <c r="L44" s="5">
        <f>K44*(1+$H$14)</f>
        <v>1.0705991669999997</v>
      </c>
      <c r="M44" s="5">
        <f>L44*(1+$H$14)</f>
        <v>1.0952229478409996</v>
      </c>
      <c r="N44" s="5">
        <f>M44*(1+$H$14)</f>
        <v>1.1204130756413424</v>
      </c>
    </row>
    <row r="45" spans="1:14" x14ac:dyDescent="0.2">
      <c r="A45" s="2" t="s">
        <v>92</v>
      </c>
      <c r="B45" s="2" t="s">
        <v>11</v>
      </c>
      <c r="C45" s="5">
        <f>D45/(1+C12)</f>
        <v>0.98440111420612797</v>
      </c>
      <c r="D45" s="5">
        <v>1</v>
      </c>
      <c r="E45" s="5">
        <f>D45*(1+D12)</f>
        <v>1.025025025025025</v>
      </c>
      <c r="F45" s="5">
        <f>E45*(1+E12)</f>
        <v>1.055055055055055</v>
      </c>
      <c r="G45" s="5">
        <f>F45*(1+F12)</f>
        <v>1.069069069069069</v>
      </c>
      <c r="H45" s="5">
        <f>G45*(1+G13)</f>
        <v>1.0830830830830831</v>
      </c>
      <c r="I45" s="5">
        <f>H45*(1+$H$14)</f>
        <v>1.107993993993994</v>
      </c>
      <c r="J45" s="5">
        <f t="shared" ref="J45:N45" si="5">I45*(1+$H$14)</f>
        <v>1.1334778558558558</v>
      </c>
      <c r="K45" s="5">
        <f t="shared" si="5"/>
        <v>1.1595478465405404</v>
      </c>
      <c r="L45" s="5">
        <f t="shared" si="5"/>
        <v>1.1862174470109728</v>
      </c>
      <c r="M45" s="5">
        <f t="shared" si="5"/>
        <v>1.2135004482922249</v>
      </c>
      <c r="N45" s="5">
        <f t="shared" si="5"/>
        <v>1.241410958602946</v>
      </c>
    </row>
    <row r="47" spans="1:14" ht="20.25" x14ac:dyDescent="0.3">
      <c r="A47" s="57" t="s">
        <v>80</v>
      </c>
    </row>
    <row r="48" spans="1:14" ht="14.25" x14ac:dyDescent="0.2">
      <c r="A48" s="28" t="s">
        <v>81</v>
      </c>
    </row>
    <row r="49" spans="1:14" x14ac:dyDescent="0.2">
      <c r="A49" s="2" t="s">
        <v>85</v>
      </c>
      <c r="B49" s="2" t="s">
        <v>78</v>
      </c>
      <c r="C49" s="5">
        <f t="shared" ref="C49:N49" si="6">C9/1000000</f>
        <v>0</v>
      </c>
      <c r="D49" s="5">
        <f t="shared" si="6"/>
        <v>0</v>
      </c>
      <c r="E49" s="5">
        <f t="shared" si="6"/>
        <v>12.816844670000002</v>
      </c>
      <c r="F49" s="5">
        <f t="shared" si="6"/>
        <v>13.229719889999949</v>
      </c>
      <c r="G49" s="5">
        <f t="shared" si="6"/>
        <v>13.114849079999995</v>
      </c>
      <c r="H49" s="5">
        <f t="shared" si="6"/>
        <v>13.652158468741055</v>
      </c>
      <c r="I49" s="5">
        <f t="shared" si="6"/>
        <v>0</v>
      </c>
      <c r="J49" s="5">
        <f t="shared" si="6"/>
        <v>0</v>
      </c>
      <c r="K49" s="5">
        <f t="shared" si="6"/>
        <v>0</v>
      </c>
      <c r="L49" s="5">
        <f t="shared" si="6"/>
        <v>0</v>
      </c>
      <c r="M49" s="5">
        <f t="shared" si="6"/>
        <v>0</v>
      </c>
      <c r="N49" s="5">
        <f t="shared" si="6"/>
        <v>0</v>
      </c>
    </row>
    <row r="50" spans="1:14" ht="14.25" customHeight="1" x14ac:dyDescent="0.3">
      <c r="A50" s="57"/>
    </row>
    <row r="51" spans="1:14" x14ac:dyDescent="0.2">
      <c r="A51" s="2" t="s">
        <v>85</v>
      </c>
      <c r="B51" s="2" t="s">
        <v>82</v>
      </c>
      <c r="C51" s="5">
        <f t="shared" ref="C51:N51" si="7">C49/C44</f>
        <v>0</v>
      </c>
      <c r="D51" s="5">
        <f t="shared" si="7"/>
        <v>0</v>
      </c>
      <c r="E51" s="5">
        <f t="shared" si="7"/>
        <v>13.854283134177365</v>
      </c>
      <c r="F51" s="5">
        <f t="shared" si="7"/>
        <v>13.893540540951122</v>
      </c>
      <c r="G51" s="5">
        <f t="shared" si="7"/>
        <v>13.592362208581344</v>
      </c>
      <c r="H51" s="5">
        <f t="shared" si="7"/>
        <v>13.966158113522097</v>
      </c>
      <c r="I51" s="5">
        <f t="shared" si="7"/>
        <v>0</v>
      </c>
      <c r="J51" s="5">
        <f t="shared" si="7"/>
        <v>0</v>
      </c>
      <c r="K51" s="5">
        <f t="shared" si="7"/>
        <v>0</v>
      </c>
      <c r="L51" s="5">
        <f t="shared" si="7"/>
        <v>0</v>
      </c>
      <c r="M51" s="5">
        <f t="shared" si="7"/>
        <v>0</v>
      </c>
      <c r="N51" s="5">
        <f t="shared" si="7"/>
        <v>0</v>
      </c>
    </row>
    <row r="53" spans="1:14" ht="14.25" x14ac:dyDescent="0.2">
      <c r="A53" s="28" t="s">
        <v>88</v>
      </c>
    </row>
    <row r="54" spans="1:14" x14ac:dyDescent="0.2">
      <c r="A54" s="2" t="s">
        <v>85</v>
      </c>
      <c r="B54" s="2" t="str">
        <f t="shared" ref="B54:H54" si="8">B51</f>
        <v>$m 2016/17</v>
      </c>
      <c r="C54" s="5">
        <f t="shared" si="8"/>
        <v>0</v>
      </c>
      <c r="D54" s="5">
        <f t="shared" si="8"/>
        <v>0</v>
      </c>
      <c r="E54" s="5">
        <f t="shared" si="8"/>
        <v>13.854283134177365</v>
      </c>
      <c r="F54" s="5">
        <f t="shared" si="8"/>
        <v>13.893540540951122</v>
      </c>
      <c r="G54" s="5">
        <f t="shared" si="8"/>
        <v>13.592362208581344</v>
      </c>
      <c r="H54" s="5">
        <f t="shared" si="8"/>
        <v>13.966158113522097</v>
      </c>
      <c r="I54" s="5">
        <f>H54</f>
        <v>13.966158113522097</v>
      </c>
      <c r="J54" s="5">
        <f t="shared" ref="J54:N54" si="9">I54</f>
        <v>13.966158113522097</v>
      </c>
      <c r="K54" s="5">
        <f t="shared" si="9"/>
        <v>13.966158113522097</v>
      </c>
      <c r="L54" s="5">
        <f t="shared" si="9"/>
        <v>13.966158113522097</v>
      </c>
      <c r="M54" s="5">
        <f t="shared" si="9"/>
        <v>13.966158113522097</v>
      </c>
      <c r="N54" s="5">
        <f t="shared" si="9"/>
        <v>13.966158113522097</v>
      </c>
    </row>
    <row r="56" spans="1:14" ht="14.25" x14ac:dyDescent="0.2">
      <c r="A56" s="28" t="s">
        <v>46</v>
      </c>
    </row>
    <row r="57" spans="1:14" x14ac:dyDescent="0.2">
      <c r="A57" s="2" t="str">
        <f>A23</f>
        <v>DEWS levy</v>
      </c>
      <c r="B57" s="2" t="str">
        <f>B54</f>
        <v>$m 2016/17</v>
      </c>
      <c r="C57" s="7">
        <f t="shared" ref="C57:H57" si="10">C23/$H$44</f>
        <v>0</v>
      </c>
      <c r="D57" s="7">
        <f t="shared" si="10"/>
        <v>0</v>
      </c>
      <c r="E57" s="7">
        <f t="shared" si="10"/>
        <v>0</v>
      </c>
      <c r="F57" s="7">
        <f t="shared" si="10"/>
        <v>0</v>
      </c>
      <c r="G57" s="7">
        <f t="shared" si="10"/>
        <v>0</v>
      </c>
      <c r="H57" s="7">
        <f t="shared" si="10"/>
        <v>0</v>
      </c>
      <c r="I57" s="62">
        <f t="shared" ref="I57:N57" si="11">I23/$H$44/1000</f>
        <v>7.1609999999999979E-2</v>
      </c>
      <c r="J57" s="62">
        <f t="shared" si="11"/>
        <v>7.1609999999999979E-2</v>
      </c>
      <c r="K57" s="62">
        <f t="shared" si="11"/>
        <v>7.1609999999999979E-2</v>
      </c>
      <c r="L57" s="62">
        <f t="shared" si="11"/>
        <v>7.1609999999999979E-2</v>
      </c>
      <c r="M57" s="62">
        <f t="shared" si="11"/>
        <v>7.1609999999999979E-2</v>
      </c>
      <c r="N57" s="62">
        <f t="shared" si="11"/>
        <v>7.1609999999999979E-2</v>
      </c>
    </row>
    <row r="58" spans="1:14" x14ac:dyDescent="0.2">
      <c r="A58" s="2" t="str">
        <f>A24</f>
        <v>DRM levy</v>
      </c>
      <c r="B58" s="2" t="str">
        <f>B57</f>
        <v>$m 2016/17</v>
      </c>
      <c r="C58" s="7"/>
      <c r="D58" s="7"/>
      <c r="E58" s="7"/>
      <c r="F58" s="7"/>
      <c r="G58" s="7"/>
      <c r="H58" s="7"/>
      <c r="I58" s="62">
        <f t="shared" ref="I58:N58" si="12">I24/1000000</f>
        <v>6.5434000000000006E-2</v>
      </c>
      <c r="J58" s="62">
        <f t="shared" si="12"/>
        <v>6.5434000000000006E-2</v>
      </c>
      <c r="K58" s="62">
        <f t="shared" si="12"/>
        <v>6.5434000000000006E-2</v>
      </c>
      <c r="L58" s="62">
        <f t="shared" si="12"/>
        <v>6.5434000000000006E-2</v>
      </c>
      <c r="M58" s="62">
        <f t="shared" si="12"/>
        <v>6.5434000000000006E-2</v>
      </c>
      <c r="N58" s="62">
        <f t="shared" si="12"/>
        <v>6.5434000000000006E-2</v>
      </c>
    </row>
    <row r="60" spans="1:14" ht="14.25" x14ac:dyDescent="0.2">
      <c r="A60" s="61" t="s">
        <v>89</v>
      </c>
    </row>
    <row r="61" spans="1:14" x14ac:dyDescent="0.2">
      <c r="A61" s="2" t="s">
        <v>85</v>
      </c>
      <c r="B61" s="2" t="str">
        <f>B57</f>
        <v>$m 2016/17</v>
      </c>
      <c r="C61" s="5">
        <f t="shared" ref="C61:H61" si="13">C54+SUM(C57:C58)</f>
        <v>0</v>
      </c>
      <c r="D61" s="5">
        <f t="shared" si="13"/>
        <v>0</v>
      </c>
      <c r="E61" s="5">
        <f t="shared" si="13"/>
        <v>13.854283134177365</v>
      </c>
      <c r="F61" s="5">
        <f t="shared" si="13"/>
        <v>13.893540540951122</v>
      </c>
      <c r="G61" s="5">
        <f t="shared" si="13"/>
        <v>13.592362208581344</v>
      </c>
      <c r="H61" s="5">
        <f t="shared" si="13"/>
        <v>13.966158113522097</v>
      </c>
      <c r="I61" s="5">
        <f>I54+SUM(I57:I58)</f>
        <v>14.103202113522096</v>
      </c>
      <c r="J61" s="5">
        <f t="shared" ref="J61:N61" si="14">J54+SUM(J57:J58)</f>
        <v>14.103202113522096</v>
      </c>
      <c r="K61" s="5">
        <f t="shared" si="14"/>
        <v>14.103202113522096</v>
      </c>
      <c r="L61" s="5">
        <f t="shared" si="14"/>
        <v>14.103202113522096</v>
      </c>
      <c r="M61" s="5">
        <f t="shared" si="14"/>
        <v>14.103202113522096</v>
      </c>
      <c r="N61" s="5">
        <f t="shared" si="14"/>
        <v>14.103202113522096</v>
      </c>
    </row>
    <row r="63" spans="1:14" ht="14.25" x14ac:dyDescent="0.2">
      <c r="A63" s="28" t="s">
        <v>12</v>
      </c>
    </row>
    <row r="64" spans="1:14" x14ac:dyDescent="0.2">
      <c r="A64" s="2" t="s">
        <v>12</v>
      </c>
      <c r="B64" s="2" t="str">
        <f>B61</f>
        <v>$m 2016/17</v>
      </c>
      <c r="C64" s="62">
        <f t="shared" ref="C64:H64" si="15">C4/1000000*C44</f>
        <v>0</v>
      </c>
      <c r="D64" s="62">
        <f t="shared" si="15"/>
        <v>0</v>
      </c>
      <c r="E64" s="62">
        <f t="shared" si="15"/>
        <v>0</v>
      </c>
      <c r="F64" s="62">
        <f t="shared" si="15"/>
        <v>0.13996808547583039</v>
      </c>
      <c r="G64" s="62">
        <f t="shared" si="15"/>
        <v>8.8895002954233762E-2</v>
      </c>
      <c r="H64" s="62">
        <f t="shared" si="15"/>
        <v>0.14660606060606063</v>
      </c>
      <c r="I64" s="62">
        <f t="shared" ref="I64:N64" si="16">I20/$H$44/1000000</f>
        <v>0</v>
      </c>
      <c r="J64" s="62">
        <f t="shared" si="16"/>
        <v>0.15344999999999998</v>
      </c>
      <c r="K64" s="62">
        <f t="shared" si="16"/>
        <v>0.15344999999999998</v>
      </c>
      <c r="L64" s="62">
        <f t="shared" si="16"/>
        <v>5.1149999999999994E-2</v>
      </c>
      <c r="M64" s="62">
        <f t="shared" si="16"/>
        <v>0</v>
      </c>
      <c r="N64" s="62">
        <f t="shared" si="16"/>
        <v>0</v>
      </c>
    </row>
    <row r="66" spans="1:14" ht="14.25" x14ac:dyDescent="0.2">
      <c r="A66" s="28" t="s">
        <v>90</v>
      </c>
    </row>
    <row r="67" spans="1:14" x14ac:dyDescent="0.2">
      <c r="A67" s="3" t="s">
        <v>85</v>
      </c>
      <c r="B67" s="3" t="str">
        <f>B64</f>
        <v>$m 2016/17</v>
      </c>
      <c r="C67" s="46">
        <f t="shared" ref="C67:N67" si="17">C64+C61</f>
        <v>0</v>
      </c>
      <c r="D67" s="46">
        <f t="shared" si="17"/>
        <v>0</v>
      </c>
      <c r="E67" s="46">
        <f t="shared" si="17"/>
        <v>13.854283134177365</v>
      </c>
      <c r="F67" s="46">
        <f t="shared" si="17"/>
        <v>14.033508626426952</v>
      </c>
      <c r="G67" s="46">
        <f t="shared" si="17"/>
        <v>13.681257211535577</v>
      </c>
      <c r="H67" s="46">
        <f t="shared" si="17"/>
        <v>14.112764174128158</v>
      </c>
      <c r="I67" s="46">
        <f t="shared" si="17"/>
        <v>14.103202113522096</v>
      </c>
      <c r="J67" s="46">
        <f t="shared" si="17"/>
        <v>14.256652113522096</v>
      </c>
      <c r="K67" s="46">
        <f t="shared" si="17"/>
        <v>14.256652113522096</v>
      </c>
      <c r="L67" s="46">
        <f t="shared" si="17"/>
        <v>14.154352113522096</v>
      </c>
      <c r="M67" s="46">
        <f t="shared" si="17"/>
        <v>14.103202113522096</v>
      </c>
      <c r="N67" s="46">
        <f t="shared" si="17"/>
        <v>14.103202113522096</v>
      </c>
    </row>
    <row r="69" spans="1:14" ht="14.25" x14ac:dyDescent="0.2">
      <c r="A69" s="28" t="str">
        <f>A26</f>
        <v>Actual opex incurred by PTRM category (includes MEJs, excluding provisions)</v>
      </c>
    </row>
    <row r="70" spans="1:14" x14ac:dyDescent="0.2">
      <c r="A70" s="2" t="str">
        <f>A27</f>
        <v>Labour</v>
      </c>
      <c r="B70" s="2" t="str">
        <f>B67</f>
        <v>$m 2016/17</v>
      </c>
      <c r="C70" s="62">
        <f>C27/C$44/1000000</f>
        <v>0</v>
      </c>
      <c r="D70" s="62">
        <f t="shared" ref="D70:H70" si="18">D27/D$44/1000000</f>
        <v>0</v>
      </c>
      <c r="E70" s="62">
        <f t="shared" si="18"/>
        <v>5.3799346354217592</v>
      </c>
      <c r="F70" s="62">
        <f t="shared" si="18"/>
        <v>5.2751460245343775</v>
      </c>
      <c r="G70" s="62">
        <f t="shared" si="18"/>
        <v>5.4807685709199436</v>
      </c>
      <c r="H70" s="62">
        <f t="shared" si="18"/>
        <v>6.9891271203599983</v>
      </c>
      <c r="I70" s="62"/>
      <c r="J70" s="2"/>
      <c r="K70" s="2"/>
      <c r="L70" s="2"/>
      <c r="M70" s="2"/>
      <c r="N70" s="2"/>
    </row>
    <row r="71" spans="1:14" x14ac:dyDescent="0.2">
      <c r="A71" s="2" t="str">
        <f t="shared" ref="A71:A78" si="19">A28</f>
        <v>Contractors</v>
      </c>
      <c r="B71" s="2" t="str">
        <f>B70</f>
        <v>$m 2016/17</v>
      </c>
      <c r="C71" s="62">
        <f t="shared" ref="C71:H77" si="20">C28/C$44/1000000</f>
        <v>0</v>
      </c>
      <c r="D71" s="62">
        <f t="shared" si="20"/>
        <v>0</v>
      </c>
      <c r="E71" s="62">
        <f t="shared" si="20"/>
        <v>1.6111811645698828</v>
      </c>
      <c r="F71" s="62">
        <f t="shared" si="20"/>
        <v>1.3871038072492963</v>
      </c>
      <c r="G71" s="62">
        <f t="shared" si="20"/>
        <v>0.98039866480612403</v>
      </c>
      <c r="H71" s="62">
        <f t="shared" si="20"/>
        <v>1.5683545481999999</v>
      </c>
      <c r="I71" s="62"/>
      <c r="J71" s="2"/>
      <c r="K71" s="2"/>
      <c r="L71" s="2"/>
      <c r="M71" s="2"/>
      <c r="N71" s="2"/>
    </row>
    <row r="72" spans="1:14" x14ac:dyDescent="0.2">
      <c r="A72" s="2" t="str">
        <f t="shared" si="19"/>
        <v xml:space="preserve">Other operating costs </v>
      </c>
      <c r="B72" s="2" t="str">
        <f t="shared" ref="B72:B77" si="21">B71</f>
        <v>$m 2016/17</v>
      </c>
      <c r="C72" s="62">
        <f t="shared" si="20"/>
        <v>0</v>
      </c>
      <c r="D72" s="62">
        <f t="shared" si="20"/>
        <v>0</v>
      </c>
      <c r="E72" s="62">
        <f t="shared" si="20"/>
        <v>1.4377742851608988</v>
      </c>
      <c r="F72" s="62">
        <f t="shared" si="20"/>
        <v>1.9934236940640429</v>
      </c>
      <c r="G72" s="62">
        <f t="shared" si="20"/>
        <v>1.6229891231950007</v>
      </c>
      <c r="H72" s="62">
        <f t="shared" si="20"/>
        <v>0.90845294066999971</v>
      </c>
      <c r="I72" s="62"/>
      <c r="J72" s="2"/>
      <c r="K72" s="2"/>
      <c r="L72" s="2"/>
      <c r="M72" s="2"/>
      <c r="N72" s="2"/>
    </row>
    <row r="73" spans="1:14" x14ac:dyDescent="0.2">
      <c r="A73" s="2" t="str">
        <f t="shared" si="19"/>
        <v xml:space="preserve">Insurance, Licences and fees </v>
      </c>
      <c r="B73" s="2" t="str">
        <f t="shared" si="21"/>
        <v>$m 2016/17</v>
      </c>
      <c r="C73" s="62">
        <f t="shared" si="20"/>
        <v>0</v>
      </c>
      <c r="D73" s="62">
        <f t="shared" si="20"/>
        <v>0</v>
      </c>
      <c r="E73" s="62">
        <f t="shared" si="20"/>
        <v>0.8492601427225781</v>
      </c>
      <c r="F73" s="62">
        <f t="shared" si="20"/>
        <v>0.83054282932046986</v>
      </c>
      <c r="G73" s="62">
        <f t="shared" si="20"/>
        <v>1.0796961330816854</v>
      </c>
      <c r="H73" s="62">
        <f t="shared" si="20"/>
        <v>0.62517521781000007</v>
      </c>
      <c r="I73" s="62"/>
      <c r="J73" s="2"/>
      <c r="K73" s="2"/>
      <c r="L73" s="2"/>
      <c r="M73" s="2"/>
      <c r="N73" s="2"/>
    </row>
    <row r="74" spans="1:14" x14ac:dyDescent="0.2">
      <c r="A74" s="2" t="str">
        <f t="shared" si="19"/>
        <v xml:space="preserve">Overheads/corporate costs </v>
      </c>
      <c r="B74" s="2" t="str">
        <f t="shared" si="21"/>
        <v>$m 2016/17</v>
      </c>
      <c r="C74" s="62">
        <f t="shared" si="20"/>
        <v>0</v>
      </c>
      <c r="D74" s="62">
        <f t="shared" si="20"/>
        <v>0</v>
      </c>
      <c r="E74" s="62">
        <f t="shared" si="20"/>
        <v>4.5761329063022487</v>
      </c>
      <c r="F74" s="62">
        <f t="shared" si="20"/>
        <v>4.5616908749047074</v>
      </c>
      <c r="G74" s="62">
        <f t="shared" si="20"/>
        <v>4.52399592139927</v>
      </c>
      <c r="H74" s="62">
        <f t="shared" si="20"/>
        <v>4.0284757804820996</v>
      </c>
      <c r="I74" s="62"/>
      <c r="J74" s="2"/>
      <c r="K74" s="2"/>
      <c r="L74" s="2"/>
      <c r="M74" s="2"/>
      <c r="N74" s="2"/>
    </row>
    <row r="75" spans="1:14" x14ac:dyDescent="0.2">
      <c r="A75" s="2" t="str">
        <f t="shared" si="19"/>
        <v xml:space="preserve">General </v>
      </c>
      <c r="B75" s="2" t="str">
        <f t="shared" si="21"/>
        <v>$m 2016/17</v>
      </c>
      <c r="C75" s="62">
        <f t="shared" si="20"/>
        <v>0</v>
      </c>
      <c r="D75" s="62">
        <f t="shared" si="20"/>
        <v>0</v>
      </c>
      <c r="E75" s="62">
        <f t="shared" si="20"/>
        <v>0</v>
      </c>
      <c r="F75" s="62">
        <f t="shared" si="20"/>
        <v>0</v>
      </c>
      <c r="G75" s="62">
        <f t="shared" si="20"/>
        <v>0</v>
      </c>
      <c r="H75" s="62">
        <f t="shared" si="20"/>
        <v>0</v>
      </c>
      <c r="I75" s="62"/>
      <c r="J75" s="2"/>
      <c r="K75" s="2"/>
      <c r="L75" s="2"/>
      <c r="M75" s="2"/>
      <c r="N75" s="2"/>
    </row>
    <row r="76" spans="1:14" x14ac:dyDescent="0.2">
      <c r="A76" s="2" t="str">
        <f t="shared" si="19"/>
        <v xml:space="preserve">Management services fees </v>
      </c>
      <c r="B76" s="2" t="str">
        <f t="shared" si="21"/>
        <v>$m 2016/17</v>
      </c>
      <c r="C76" s="62">
        <f t="shared" si="20"/>
        <v>0</v>
      </c>
      <c r="D76" s="62">
        <f t="shared" si="20"/>
        <v>0</v>
      </c>
      <c r="E76" s="62">
        <f t="shared" si="20"/>
        <v>0</v>
      </c>
      <c r="F76" s="62">
        <f t="shared" si="20"/>
        <v>0</v>
      </c>
      <c r="G76" s="62">
        <f t="shared" si="20"/>
        <v>0</v>
      </c>
      <c r="H76" s="62">
        <f t="shared" si="20"/>
        <v>0</v>
      </c>
      <c r="I76" s="62"/>
      <c r="J76" s="2"/>
      <c r="K76" s="2"/>
      <c r="L76" s="2"/>
      <c r="M76" s="2"/>
      <c r="N76" s="2"/>
    </row>
    <row r="77" spans="1:14" x14ac:dyDescent="0.2">
      <c r="A77" s="2" t="str">
        <f t="shared" si="19"/>
        <v xml:space="preserve">Treasury/financing costs </v>
      </c>
      <c r="B77" s="2" t="str">
        <f t="shared" si="21"/>
        <v>$m 2016/17</v>
      </c>
      <c r="C77" s="62">
        <f t="shared" si="20"/>
        <v>0</v>
      </c>
      <c r="D77" s="62">
        <f t="shared" si="20"/>
        <v>0</v>
      </c>
      <c r="E77" s="62">
        <f t="shared" si="20"/>
        <v>0</v>
      </c>
      <c r="F77" s="62">
        <f t="shared" si="20"/>
        <v>0</v>
      </c>
      <c r="G77" s="62">
        <f t="shared" si="20"/>
        <v>0</v>
      </c>
      <c r="H77" s="62">
        <f t="shared" si="20"/>
        <v>0</v>
      </c>
      <c r="I77" s="62"/>
      <c r="J77" s="2"/>
      <c r="K77" s="2"/>
      <c r="L77" s="2"/>
      <c r="M77" s="2"/>
      <c r="N77" s="2"/>
    </row>
    <row r="78" spans="1:14" x14ac:dyDescent="0.2">
      <c r="A78" s="2" t="str">
        <f t="shared" si="19"/>
        <v>Total</v>
      </c>
      <c r="B78" s="2" t="str">
        <f>B77</f>
        <v>$m 2016/17</v>
      </c>
      <c r="C78" s="5">
        <f t="shared" ref="C78:N78" si="22">SUM(C70:C77)</f>
        <v>0</v>
      </c>
      <c r="D78" s="5">
        <f t="shared" si="22"/>
        <v>0</v>
      </c>
      <c r="E78" s="5">
        <f t="shared" si="22"/>
        <v>13.854283134177367</v>
      </c>
      <c r="F78" s="5">
        <f t="shared" si="22"/>
        <v>14.047907230072894</v>
      </c>
      <c r="G78" s="5">
        <f t="shared" si="22"/>
        <v>13.687848413402023</v>
      </c>
      <c r="H78" s="5">
        <f t="shared" si="22"/>
        <v>14.119585607522097</v>
      </c>
      <c r="I78" s="5">
        <f t="shared" si="22"/>
        <v>0</v>
      </c>
      <c r="J78" s="5">
        <f t="shared" si="22"/>
        <v>0</v>
      </c>
      <c r="K78" s="5">
        <f t="shared" si="22"/>
        <v>0</v>
      </c>
      <c r="L78" s="5">
        <f t="shared" si="22"/>
        <v>0</v>
      </c>
      <c r="M78" s="5">
        <f t="shared" si="22"/>
        <v>0</v>
      </c>
      <c r="N78" s="5">
        <f t="shared" si="22"/>
        <v>0</v>
      </c>
    </row>
    <row r="80" spans="1:14" ht="14.25" x14ac:dyDescent="0.2">
      <c r="A80" s="28" t="s">
        <v>109</v>
      </c>
    </row>
    <row r="81" spans="1:14" x14ac:dyDescent="0.2">
      <c r="A81" s="2" t="str">
        <f>A70</f>
        <v>Labour</v>
      </c>
      <c r="B81" s="2" t="s">
        <v>9</v>
      </c>
      <c r="C81" s="2"/>
      <c r="D81" s="2"/>
      <c r="E81" s="2"/>
      <c r="F81" s="2"/>
      <c r="G81" s="2"/>
      <c r="H81" s="2"/>
      <c r="I81" s="68">
        <f t="shared" ref="I81:I88" si="23">H70/H$78</f>
        <v>0.49499520132068153</v>
      </c>
      <c r="J81" s="68">
        <f>I81</f>
        <v>0.49499520132068153</v>
      </c>
      <c r="K81" s="68">
        <f t="shared" ref="K81:N81" si="24">J81</f>
        <v>0.49499520132068153</v>
      </c>
      <c r="L81" s="68">
        <f t="shared" si="24"/>
        <v>0.49499520132068153</v>
      </c>
      <c r="M81" s="68">
        <f t="shared" si="24"/>
        <v>0.49499520132068153</v>
      </c>
      <c r="N81" s="68">
        <f t="shared" si="24"/>
        <v>0.49499520132068153</v>
      </c>
    </row>
    <row r="82" spans="1:14" x14ac:dyDescent="0.2">
      <c r="A82" s="2" t="str">
        <f t="shared" ref="A82:A89" si="25">A71</f>
        <v>Contractors</v>
      </c>
      <c r="B82" s="2" t="str">
        <f t="shared" ref="B82:B89" si="26">B81</f>
        <v>percent</v>
      </c>
      <c r="C82" s="2"/>
      <c r="D82" s="2"/>
      <c r="E82" s="2"/>
      <c r="F82" s="2"/>
      <c r="G82" s="2"/>
      <c r="H82" s="2"/>
      <c r="I82" s="68">
        <f t="shared" si="23"/>
        <v>0.11107652814998135</v>
      </c>
      <c r="J82" s="68">
        <f t="shared" ref="J82:N88" si="27">I82</f>
        <v>0.11107652814998135</v>
      </c>
      <c r="K82" s="68">
        <f t="shared" si="27"/>
        <v>0.11107652814998135</v>
      </c>
      <c r="L82" s="68">
        <f t="shared" si="27"/>
        <v>0.11107652814998135</v>
      </c>
      <c r="M82" s="68">
        <f t="shared" si="27"/>
        <v>0.11107652814998135</v>
      </c>
      <c r="N82" s="68">
        <f t="shared" si="27"/>
        <v>0.11107652814998135</v>
      </c>
    </row>
    <row r="83" spans="1:14" x14ac:dyDescent="0.2">
      <c r="A83" s="2" t="str">
        <f t="shared" si="25"/>
        <v xml:space="preserve">Other operating costs </v>
      </c>
      <c r="B83" s="2" t="str">
        <f t="shared" si="26"/>
        <v>percent</v>
      </c>
      <c r="C83" s="2"/>
      <c r="D83" s="2"/>
      <c r="E83" s="2"/>
      <c r="F83" s="2"/>
      <c r="G83" s="2"/>
      <c r="H83" s="2"/>
      <c r="I83" s="68">
        <f t="shared" si="23"/>
        <v>6.4339915201620967E-2</v>
      </c>
      <c r="J83" s="68">
        <f t="shared" si="27"/>
        <v>6.4339915201620967E-2</v>
      </c>
      <c r="K83" s="68">
        <f t="shared" si="27"/>
        <v>6.4339915201620967E-2</v>
      </c>
      <c r="L83" s="68">
        <f t="shared" si="27"/>
        <v>6.4339915201620967E-2</v>
      </c>
      <c r="M83" s="68">
        <f t="shared" si="27"/>
        <v>6.4339915201620967E-2</v>
      </c>
      <c r="N83" s="68">
        <f t="shared" si="27"/>
        <v>6.4339915201620967E-2</v>
      </c>
    </row>
    <row r="84" spans="1:14" x14ac:dyDescent="0.2">
      <c r="A84" s="2" t="str">
        <f t="shared" si="25"/>
        <v xml:space="preserve">Insurance, Licences and fees </v>
      </c>
      <c r="B84" s="2" t="str">
        <f t="shared" si="26"/>
        <v>percent</v>
      </c>
      <c r="C84" s="2"/>
      <c r="D84" s="2"/>
      <c r="E84" s="2"/>
      <c r="F84" s="2"/>
      <c r="G84" s="2"/>
      <c r="H84" s="2"/>
      <c r="I84" s="68">
        <f t="shared" si="23"/>
        <v>4.4277164726204354E-2</v>
      </c>
      <c r="J84" s="68">
        <f t="shared" si="27"/>
        <v>4.4277164726204354E-2</v>
      </c>
      <c r="K84" s="68">
        <f t="shared" si="27"/>
        <v>4.4277164726204354E-2</v>
      </c>
      <c r="L84" s="68">
        <f t="shared" si="27"/>
        <v>4.4277164726204354E-2</v>
      </c>
      <c r="M84" s="68">
        <f t="shared" si="27"/>
        <v>4.4277164726204354E-2</v>
      </c>
      <c r="N84" s="68">
        <f t="shared" si="27"/>
        <v>4.4277164726204354E-2</v>
      </c>
    </row>
    <row r="85" spans="1:14" x14ac:dyDescent="0.2">
      <c r="A85" s="2" t="str">
        <f t="shared" si="25"/>
        <v xml:space="preserve">Overheads/corporate costs </v>
      </c>
      <c r="B85" s="2" t="str">
        <f t="shared" si="26"/>
        <v>percent</v>
      </c>
      <c r="C85" s="2"/>
      <c r="D85" s="2"/>
      <c r="E85" s="2"/>
      <c r="F85" s="2"/>
      <c r="G85" s="2"/>
      <c r="H85" s="2"/>
      <c r="I85" s="68">
        <f t="shared" si="23"/>
        <v>0.28531119060151178</v>
      </c>
      <c r="J85" s="68">
        <f t="shared" si="27"/>
        <v>0.28531119060151178</v>
      </c>
      <c r="K85" s="68">
        <f t="shared" si="27"/>
        <v>0.28531119060151178</v>
      </c>
      <c r="L85" s="68">
        <f t="shared" si="27"/>
        <v>0.28531119060151178</v>
      </c>
      <c r="M85" s="68">
        <f t="shared" si="27"/>
        <v>0.28531119060151178</v>
      </c>
      <c r="N85" s="68">
        <f t="shared" si="27"/>
        <v>0.28531119060151178</v>
      </c>
    </row>
    <row r="86" spans="1:14" x14ac:dyDescent="0.2">
      <c r="A86" s="2" t="str">
        <f t="shared" si="25"/>
        <v xml:space="preserve">General </v>
      </c>
      <c r="B86" s="2" t="str">
        <f t="shared" si="26"/>
        <v>percent</v>
      </c>
      <c r="C86" s="2"/>
      <c r="D86" s="2"/>
      <c r="E86" s="2"/>
      <c r="F86" s="2"/>
      <c r="G86" s="2"/>
      <c r="H86" s="2"/>
      <c r="I86" s="68">
        <f t="shared" si="23"/>
        <v>0</v>
      </c>
      <c r="J86" s="68">
        <f t="shared" si="27"/>
        <v>0</v>
      </c>
      <c r="K86" s="68">
        <f t="shared" si="27"/>
        <v>0</v>
      </c>
      <c r="L86" s="68">
        <f t="shared" si="27"/>
        <v>0</v>
      </c>
      <c r="M86" s="68">
        <f t="shared" si="27"/>
        <v>0</v>
      </c>
      <c r="N86" s="68">
        <f t="shared" si="27"/>
        <v>0</v>
      </c>
    </row>
    <row r="87" spans="1:14" x14ac:dyDescent="0.2">
      <c r="A87" s="2" t="str">
        <f t="shared" si="25"/>
        <v xml:space="preserve">Management services fees </v>
      </c>
      <c r="B87" s="2" t="str">
        <f t="shared" si="26"/>
        <v>percent</v>
      </c>
      <c r="C87" s="2"/>
      <c r="D87" s="2"/>
      <c r="E87" s="2"/>
      <c r="F87" s="2"/>
      <c r="G87" s="2"/>
      <c r="H87" s="2"/>
      <c r="I87" s="68">
        <f t="shared" si="23"/>
        <v>0</v>
      </c>
      <c r="J87" s="68">
        <f t="shared" si="27"/>
        <v>0</v>
      </c>
      <c r="K87" s="68">
        <f t="shared" si="27"/>
        <v>0</v>
      </c>
      <c r="L87" s="68">
        <f t="shared" si="27"/>
        <v>0</v>
      </c>
      <c r="M87" s="68">
        <f t="shared" si="27"/>
        <v>0</v>
      </c>
      <c r="N87" s="68">
        <f t="shared" si="27"/>
        <v>0</v>
      </c>
    </row>
    <row r="88" spans="1:14" x14ac:dyDescent="0.2">
      <c r="A88" s="2" t="str">
        <f t="shared" si="25"/>
        <v xml:space="preserve">Treasury/financing costs </v>
      </c>
      <c r="B88" s="2" t="str">
        <f t="shared" si="26"/>
        <v>percent</v>
      </c>
      <c r="C88" s="2"/>
      <c r="D88" s="2"/>
      <c r="E88" s="2"/>
      <c r="F88" s="2"/>
      <c r="G88" s="2"/>
      <c r="H88" s="2"/>
      <c r="I88" s="68">
        <f t="shared" si="23"/>
        <v>0</v>
      </c>
      <c r="J88" s="68">
        <f t="shared" si="27"/>
        <v>0</v>
      </c>
      <c r="K88" s="68">
        <f t="shared" si="27"/>
        <v>0</v>
      </c>
      <c r="L88" s="68">
        <f t="shared" si="27"/>
        <v>0</v>
      </c>
      <c r="M88" s="68">
        <f t="shared" si="27"/>
        <v>0</v>
      </c>
      <c r="N88" s="68">
        <f t="shared" si="27"/>
        <v>0</v>
      </c>
    </row>
    <row r="89" spans="1:14" x14ac:dyDescent="0.2">
      <c r="A89" s="2" t="str">
        <f t="shared" si="25"/>
        <v>Total</v>
      </c>
      <c r="B89" s="2" t="str">
        <f t="shared" si="26"/>
        <v>percent</v>
      </c>
      <c r="C89" s="2"/>
      <c r="D89" s="2"/>
      <c r="E89" s="2"/>
      <c r="F89" s="2"/>
      <c r="G89" s="2"/>
      <c r="H89" s="2"/>
      <c r="I89" s="68">
        <f>SUM(I81:I88)</f>
        <v>1</v>
      </c>
      <c r="J89" s="68">
        <f>SUM(J81:J88)</f>
        <v>1</v>
      </c>
      <c r="K89" s="68">
        <f t="shared" ref="K89:N89" si="28">SUM(K81:K88)</f>
        <v>1</v>
      </c>
      <c r="L89" s="68">
        <f t="shared" si="28"/>
        <v>1</v>
      </c>
      <c r="M89" s="68">
        <f t="shared" si="28"/>
        <v>1</v>
      </c>
      <c r="N89" s="68">
        <f t="shared" si="28"/>
        <v>1</v>
      </c>
    </row>
    <row r="91" spans="1:14" ht="14.25" x14ac:dyDescent="0.2">
      <c r="A91" s="28" t="s">
        <v>110</v>
      </c>
    </row>
    <row r="92" spans="1:14" x14ac:dyDescent="0.2">
      <c r="A92" s="3" t="str">
        <f>A81</f>
        <v>Labour</v>
      </c>
      <c r="B92" s="3" t="s">
        <v>82</v>
      </c>
      <c r="C92" s="3"/>
      <c r="D92" s="3"/>
      <c r="E92" s="3"/>
      <c r="F92" s="3"/>
      <c r="G92" s="3"/>
      <c r="H92" s="3"/>
      <c r="I92" s="46">
        <f>I81*I$67</f>
        <v>6.9810173694491313</v>
      </c>
      <c r="J92" s="46">
        <f t="shared" ref="J92:N92" si="29">J81*J$67</f>
        <v>7.0569743830917897</v>
      </c>
      <c r="K92" s="46">
        <f t="shared" si="29"/>
        <v>7.0569743830917897</v>
      </c>
      <c r="L92" s="46">
        <f t="shared" si="29"/>
        <v>7.0063363739966844</v>
      </c>
      <c r="M92" s="46">
        <f t="shared" si="29"/>
        <v>6.9810173694491313</v>
      </c>
      <c r="N92" s="46">
        <f t="shared" si="29"/>
        <v>6.9810173694491313</v>
      </c>
    </row>
    <row r="93" spans="1:14" x14ac:dyDescent="0.2">
      <c r="A93" s="3" t="str">
        <f t="shared" ref="A93:A100" si="30">A82</f>
        <v>Contractors</v>
      </c>
      <c r="B93" s="3" t="str">
        <f t="shared" ref="B93:B100" si="31">B92</f>
        <v>$m 2016/17</v>
      </c>
      <c r="C93" s="3"/>
      <c r="D93" s="3"/>
      <c r="E93" s="3"/>
      <c r="F93" s="3"/>
      <c r="G93" s="3"/>
      <c r="H93" s="3"/>
      <c r="I93" s="46">
        <f t="shared" ref="I93:N99" si="32">I82*I$67</f>
        <v>1.5665347265675136</v>
      </c>
      <c r="J93" s="46">
        <f t="shared" si="32"/>
        <v>1.5835794198121282</v>
      </c>
      <c r="K93" s="46">
        <f t="shared" si="32"/>
        <v>1.5835794198121282</v>
      </c>
      <c r="L93" s="46">
        <f t="shared" si="32"/>
        <v>1.5722162909823851</v>
      </c>
      <c r="M93" s="46">
        <f t="shared" si="32"/>
        <v>1.5665347265675136</v>
      </c>
      <c r="N93" s="46">
        <f t="shared" si="32"/>
        <v>1.5665347265675136</v>
      </c>
    </row>
    <row r="94" spans="1:14" x14ac:dyDescent="0.2">
      <c r="A94" s="3" t="str">
        <f t="shared" si="30"/>
        <v xml:space="preserve">Other operating costs </v>
      </c>
      <c r="B94" s="3" t="str">
        <f t="shared" si="31"/>
        <v>$m 2016/17</v>
      </c>
      <c r="C94" s="3"/>
      <c r="D94" s="3"/>
      <c r="E94" s="3"/>
      <c r="F94" s="3"/>
      <c r="G94" s="3"/>
      <c r="H94" s="3"/>
      <c r="I94" s="46">
        <f t="shared" si="32"/>
        <v>0.90739882805533323</v>
      </c>
      <c r="J94" s="46">
        <f t="shared" si="32"/>
        <v>0.91727178804302201</v>
      </c>
      <c r="K94" s="46">
        <f t="shared" si="32"/>
        <v>0.91727178804302201</v>
      </c>
      <c r="L94" s="46">
        <f t="shared" si="32"/>
        <v>0.91068981471789612</v>
      </c>
      <c r="M94" s="46">
        <f t="shared" si="32"/>
        <v>0.90739882805533323</v>
      </c>
      <c r="N94" s="46">
        <f t="shared" si="32"/>
        <v>0.90739882805533323</v>
      </c>
    </row>
    <row r="95" spans="1:14" x14ac:dyDescent="0.2">
      <c r="A95" s="3" t="str">
        <f t="shared" si="30"/>
        <v xml:space="preserve">Insurance, Licences and fees </v>
      </c>
      <c r="B95" s="3" t="str">
        <f t="shared" si="31"/>
        <v>$m 2016/17</v>
      </c>
      <c r="C95" s="3"/>
      <c r="D95" s="3"/>
      <c r="E95" s="3"/>
      <c r="F95" s="3"/>
      <c r="G95" s="3"/>
      <c r="H95" s="3"/>
      <c r="I95" s="46">
        <f t="shared" si="32"/>
        <v>0.62444980314737131</v>
      </c>
      <c r="J95" s="46">
        <f t="shared" si="32"/>
        <v>0.63124413407460733</v>
      </c>
      <c r="K95" s="46">
        <f t="shared" si="32"/>
        <v>0.63124413407460733</v>
      </c>
      <c r="L95" s="46">
        <f t="shared" si="32"/>
        <v>0.62671458012311665</v>
      </c>
      <c r="M95" s="46">
        <f t="shared" si="32"/>
        <v>0.62444980314737131</v>
      </c>
      <c r="N95" s="46">
        <f t="shared" si="32"/>
        <v>0.62444980314737131</v>
      </c>
    </row>
    <row r="96" spans="1:14" x14ac:dyDescent="0.2">
      <c r="A96" s="3" t="str">
        <f t="shared" si="30"/>
        <v xml:space="preserve">Overheads/corporate costs </v>
      </c>
      <c r="B96" s="3" t="str">
        <f t="shared" si="31"/>
        <v>$m 2016/17</v>
      </c>
      <c r="C96" s="3"/>
      <c r="D96" s="3"/>
      <c r="E96" s="3"/>
      <c r="F96" s="3"/>
      <c r="G96" s="3"/>
      <c r="H96" s="3"/>
      <c r="I96" s="46">
        <f t="shared" si="32"/>
        <v>4.0238013863027469</v>
      </c>
      <c r="J96" s="46">
        <f t="shared" si="32"/>
        <v>4.067582388500548</v>
      </c>
      <c r="K96" s="46">
        <f t="shared" si="32"/>
        <v>4.067582388500548</v>
      </c>
      <c r="L96" s="46">
        <f t="shared" si="32"/>
        <v>4.0383950537020139</v>
      </c>
      <c r="M96" s="46">
        <f t="shared" si="32"/>
        <v>4.0238013863027469</v>
      </c>
      <c r="N96" s="46">
        <f t="shared" si="32"/>
        <v>4.0238013863027469</v>
      </c>
    </row>
    <row r="97" spans="1:14" x14ac:dyDescent="0.2">
      <c r="A97" s="3" t="str">
        <f t="shared" si="30"/>
        <v xml:space="preserve">General </v>
      </c>
      <c r="B97" s="3" t="str">
        <f t="shared" si="31"/>
        <v>$m 2016/17</v>
      </c>
      <c r="C97" s="3"/>
      <c r="D97" s="3"/>
      <c r="E97" s="3"/>
      <c r="F97" s="3"/>
      <c r="G97" s="3"/>
      <c r="H97" s="3"/>
      <c r="I97" s="46">
        <f t="shared" si="32"/>
        <v>0</v>
      </c>
      <c r="J97" s="46">
        <f t="shared" si="32"/>
        <v>0</v>
      </c>
      <c r="K97" s="46">
        <f t="shared" si="32"/>
        <v>0</v>
      </c>
      <c r="L97" s="46">
        <f t="shared" si="32"/>
        <v>0</v>
      </c>
      <c r="M97" s="46">
        <f t="shared" si="32"/>
        <v>0</v>
      </c>
      <c r="N97" s="46">
        <f t="shared" si="32"/>
        <v>0</v>
      </c>
    </row>
    <row r="98" spans="1:14" x14ac:dyDescent="0.2">
      <c r="A98" s="3" t="str">
        <f t="shared" si="30"/>
        <v xml:space="preserve">Management services fees </v>
      </c>
      <c r="B98" s="3" t="str">
        <f t="shared" si="31"/>
        <v>$m 2016/17</v>
      </c>
      <c r="C98" s="3"/>
      <c r="D98" s="3"/>
      <c r="E98" s="3"/>
      <c r="F98" s="3"/>
      <c r="G98" s="3"/>
      <c r="H98" s="3"/>
      <c r="I98" s="46">
        <f t="shared" si="32"/>
        <v>0</v>
      </c>
      <c r="J98" s="46">
        <f t="shared" si="32"/>
        <v>0</v>
      </c>
      <c r="K98" s="46">
        <f t="shared" si="32"/>
        <v>0</v>
      </c>
      <c r="L98" s="46">
        <f t="shared" si="32"/>
        <v>0</v>
      </c>
      <c r="M98" s="46">
        <f t="shared" si="32"/>
        <v>0</v>
      </c>
      <c r="N98" s="46">
        <f t="shared" si="32"/>
        <v>0</v>
      </c>
    </row>
    <row r="99" spans="1:14" x14ac:dyDescent="0.2">
      <c r="A99" s="3" t="str">
        <f t="shared" si="30"/>
        <v xml:space="preserve">Treasury/financing costs </v>
      </c>
      <c r="B99" s="3" t="str">
        <f t="shared" si="31"/>
        <v>$m 2016/17</v>
      </c>
      <c r="C99" s="3"/>
      <c r="D99" s="3"/>
      <c r="E99" s="3"/>
      <c r="F99" s="3"/>
      <c r="G99" s="3"/>
      <c r="H99" s="3"/>
      <c r="I99" s="46">
        <f t="shared" si="32"/>
        <v>0</v>
      </c>
      <c r="J99" s="46">
        <f t="shared" si="32"/>
        <v>0</v>
      </c>
      <c r="K99" s="46">
        <f t="shared" si="32"/>
        <v>0</v>
      </c>
      <c r="L99" s="46">
        <f t="shared" si="32"/>
        <v>0</v>
      </c>
      <c r="M99" s="46">
        <f t="shared" si="32"/>
        <v>0</v>
      </c>
      <c r="N99" s="46">
        <f t="shared" si="32"/>
        <v>0</v>
      </c>
    </row>
    <row r="100" spans="1:14" x14ac:dyDescent="0.2">
      <c r="A100" s="3" t="str">
        <f t="shared" si="30"/>
        <v>Total</v>
      </c>
      <c r="B100" s="3" t="str">
        <f t="shared" si="31"/>
        <v>$m 2016/17</v>
      </c>
      <c r="C100" s="3"/>
      <c r="D100" s="3"/>
      <c r="E100" s="3"/>
      <c r="F100" s="3"/>
      <c r="G100" s="3"/>
      <c r="H100" s="3"/>
      <c r="I100" s="46">
        <f>SUM(I92:I99)</f>
        <v>14.103202113522096</v>
      </c>
      <c r="J100" s="46">
        <f t="shared" ref="J100:N100" si="33">SUM(J92:J99)</f>
        <v>14.256652113522097</v>
      </c>
      <c r="K100" s="46">
        <f t="shared" si="33"/>
        <v>14.256652113522097</v>
      </c>
      <c r="L100" s="46">
        <f t="shared" si="33"/>
        <v>14.154352113522098</v>
      </c>
      <c r="M100" s="46">
        <f t="shared" si="33"/>
        <v>14.103202113522096</v>
      </c>
      <c r="N100" s="46">
        <f t="shared" si="33"/>
        <v>14.103202113522096</v>
      </c>
    </row>
    <row r="104" spans="1:14" ht="20.25" x14ac:dyDescent="0.3">
      <c r="A104" s="57" t="s">
        <v>87</v>
      </c>
    </row>
    <row r="105" spans="1:14" ht="14.25" x14ac:dyDescent="0.2">
      <c r="A105" s="28" t="s">
        <v>0</v>
      </c>
    </row>
    <row r="106" spans="1:14" ht="17.25" thickBot="1" x14ac:dyDescent="0.3">
      <c r="A106" s="27" t="s">
        <v>35</v>
      </c>
    </row>
    <row r="107" spans="1:14" ht="13.5" thickTop="1" x14ac:dyDescent="0.2">
      <c r="A107" s="1" t="str">
        <f>'Inputs¦AA 2012 -17 FD'!A3</f>
        <v>Labour</v>
      </c>
      <c r="B107" s="1" t="s">
        <v>37</v>
      </c>
      <c r="C107" s="1"/>
      <c r="D107" s="1"/>
      <c r="E107" s="66">
        <f>'Inputs¦AA 2012 -17 FD'!H3</f>
        <v>5.2634460000000001</v>
      </c>
      <c r="F107" s="66">
        <f>'Inputs¦AA 2012 -17 FD'!I3</f>
        <v>5.3109040000000007</v>
      </c>
      <c r="G107" s="66">
        <f>'Inputs¦AA 2012 -17 FD'!J3</f>
        <v>5.3641329999999998</v>
      </c>
      <c r="H107" s="66">
        <f>'Inputs¦AA 2012 -17 FD'!K3</f>
        <v>5.3977050000000002</v>
      </c>
      <c r="I107" s="66">
        <f>'Inputs¦AA 2012 -17 FD'!L3</f>
        <v>5.4335170000000002</v>
      </c>
    </row>
    <row r="108" spans="1:14" x14ac:dyDescent="0.2">
      <c r="A108" s="1" t="str">
        <f>'Inputs¦AA 2012 -17 FD'!A4</f>
        <v>Contractors</v>
      </c>
      <c r="B108" s="1" t="s">
        <v>37</v>
      </c>
      <c r="C108" s="1"/>
      <c r="D108" s="1"/>
      <c r="E108" s="66">
        <f>'Inputs¦AA 2012 -17 FD'!H4</f>
        <v>0.89897099999999996</v>
      </c>
      <c r="F108" s="66">
        <f>'Inputs¦AA 2012 -17 FD'!I4</f>
        <v>0.91167700000000007</v>
      </c>
      <c r="G108" s="66">
        <f>'Inputs¦AA 2012 -17 FD'!J4</f>
        <v>0.923485</v>
      </c>
      <c r="H108" s="66">
        <f>'Inputs¦AA 2012 -17 FD'!K4</f>
        <v>0.93321900000000002</v>
      </c>
      <c r="I108" s="66">
        <f>'Inputs¦AA 2012 -17 FD'!L4</f>
        <v>0.94370200000000004</v>
      </c>
    </row>
    <row r="109" spans="1:14" x14ac:dyDescent="0.2">
      <c r="A109" s="1" t="str">
        <f>'Inputs¦AA 2012 -17 FD'!A5</f>
        <v>Insurance, Licences and Fees</v>
      </c>
      <c r="B109" s="1" t="s">
        <v>37</v>
      </c>
      <c r="C109" s="1"/>
      <c r="D109" s="1"/>
      <c r="E109" s="66">
        <f>'Inputs¦AA 2012 -17 FD'!H5</f>
        <v>0.634073</v>
      </c>
      <c r="F109" s="66">
        <f>'Inputs¦AA 2012 -17 FD'!I5</f>
        <v>0.634073</v>
      </c>
      <c r="G109" s="66">
        <f>'Inputs¦AA 2012 -17 FD'!J5</f>
        <v>0.634073</v>
      </c>
      <c r="H109" s="66">
        <f>'Inputs¦AA 2012 -17 FD'!K5</f>
        <v>0.634073</v>
      </c>
      <c r="I109" s="66">
        <f>'Inputs¦AA 2012 -17 FD'!L5</f>
        <v>0.634073</v>
      </c>
    </row>
    <row r="110" spans="1:14" x14ac:dyDescent="0.2">
      <c r="A110" s="1" t="str">
        <f>'Inputs¦AA 2012 -17 FD'!A6</f>
        <v>Other operating costs</v>
      </c>
      <c r="B110" s="1" t="s">
        <v>37</v>
      </c>
      <c r="C110" s="1"/>
      <c r="D110" s="1"/>
      <c r="E110" s="66">
        <f>'Inputs¦AA 2012 -17 FD'!H6</f>
        <v>1.0755640000000002</v>
      </c>
      <c r="F110" s="66">
        <f>'Inputs¦AA 2012 -17 FD'!I6</f>
        <v>1.0804240000000001</v>
      </c>
      <c r="G110" s="66">
        <f>'Inputs¦AA 2012 -17 FD'!J6</f>
        <v>1.078201</v>
      </c>
      <c r="H110" s="66">
        <f>'Inputs¦AA 2012 -17 FD'!K6</f>
        <v>1.159983</v>
      </c>
      <c r="I110" s="66">
        <f>'Inputs¦AA 2012 -17 FD'!L6</f>
        <v>1.079515</v>
      </c>
    </row>
    <row r="111" spans="1:14" x14ac:dyDescent="0.2">
      <c r="A111" s="1" t="str">
        <f>'Inputs¦AA 2012 -17 FD'!A7</f>
        <v>Corporate costs</v>
      </c>
      <c r="B111" s="1" t="s">
        <v>37</v>
      </c>
      <c r="C111" s="1"/>
      <c r="D111" s="1"/>
      <c r="E111" s="66">
        <f>'Inputs¦AA 2012 -17 FD'!H7</f>
        <v>3.6356109999999999</v>
      </c>
      <c r="F111" s="66">
        <f>'Inputs¦AA 2012 -17 FD'!I7</f>
        <v>3.665842</v>
      </c>
      <c r="G111" s="66">
        <f>'Inputs¦AA 2012 -17 FD'!J7</f>
        <v>3.7050549999999998</v>
      </c>
      <c r="H111" s="66">
        <f>'Inputs¦AA 2012 -17 FD'!K7</f>
        <v>3.727582</v>
      </c>
      <c r="I111" s="66">
        <f>'Inputs¦AA 2012 -17 FD'!L7</f>
        <v>3.7532519999999998</v>
      </c>
    </row>
    <row r="112" spans="1:14" x14ac:dyDescent="0.2">
      <c r="A112" s="1" t="str">
        <f>'Inputs¦AA 2012 -17 FD'!A8</f>
        <v>Carbon costs</v>
      </c>
      <c r="B112" s="1" t="s">
        <v>37</v>
      </c>
      <c r="C112" s="1"/>
      <c r="D112" s="1"/>
      <c r="E112" s="66">
        <f>'Inputs¦AA 2012 -17 FD'!H8</f>
        <v>0.74160099999999995</v>
      </c>
      <c r="F112" s="66">
        <f>'Inputs¦AA 2012 -17 FD'!I8</f>
        <v>0.72203899999999999</v>
      </c>
      <c r="G112" s="66">
        <f>'Inputs¦AA 2012 -17 FD'!J8</f>
        <v>0.72332600000000002</v>
      </c>
      <c r="H112" s="66">
        <f>'Inputs¦AA 2012 -17 FD'!K8</f>
        <v>0.78164900000000004</v>
      </c>
      <c r="I112" s="66">
        <f>'Inputs¦AA 2012 -17 FD'!L8</f>
        <v>0.74147299999999994</v>
      </c>
    </row>
    <row r="113" spans="1:15" x14ac:dyDescent="0.2">
      <c r="A113" s="1" t="str">
        <f>'Inputs¦AA 2012 -17 FD'!A9</f>
        <v>Other operating costs</v>
      </c>
      <c r="B113" s="1" t="s">
        <v>37</v>
      </c>
      <c r="C113" s="1"/>
      <c r="D113" s="1"/>
      <c r="E113" s="66">
        <f>'Inputs¦AA 2012 -17 FD'!H9</f>
        <v>0</v>
      </c>
      <c r="F113" s="66">
        <f>'Inputs¦AA 2012 -17 FD'!I9</f>
        <v>0</v>
      </c>
      <c r="G113" s="66">
        <f>'Inputs¦AA 2012 -17 FD'!J9</f>
        <v>0</v>
      </c>
      <c r="H113" s="66">
        <f>'Inputs¦AA 2012 -17 FD'!K9</f>
        <v>0</v>
      </c>
      <c r="I113" s="66">
        <f>'Inputs¦AA 2012 -17 FD'!L9</f>
        <v>0.63658000000000003</v>
      </c>
    </row>
    <row r="114" spans="1:15" x14ac:dyDescent="0.2">
      <c r="A114" s="1" t="str">
        <f>'Inputs¦AA 2012 -17 FD'!A10</f>
        <v>Efficiency carryover</v>
      </c>
      <c r="B114" s="1" t="s">
        <v>37</v>
      </c>
      <c r="C114" s="1"/>
      <c r="D114" s="1"/>
      <c r="E114" s="66">
        <f>'Inputs¦AA 2012 -17 FD'!H10</f>
        <v>0</v>
      </c>
      <c r="F114" s="66">
        <f>'Inputs¦AA 2012 -17 FD'!I10</f>
        <v>0</v>
      </c>
      <c r="G114" s="66">
        <f>'Inputs¦AA 2012 -17 FD'!J10</f>
        <v>0</v>
      </c>
      <c r="H114" s="66">
        <f>'Inputs¦AA 2012 -17 FD'!K10</f>
        <v>0</v>
      </c>
      <c r="I114" s="66">
        <f>'Inputs¦AA 2012 -17 FD'!L10</f>
        <v>0</v>
      </c>
    </row>
    <row r="115" spans="1:15" x14ac:dyDescent="0.2">
      <c r="A115" s="1" t="str">
        <f>'Inputs¦AA 2012 -17 FD'!A11</f>
        <v>Debt raising costs</v>
      </c>
      <c r="B115" s="1" t="s">
        <v>37</v>
      </c>
      <c r="C115" s="1"/>
      <c r="D115" s="1"/>
      <c r="E115" s="66">
        <f>'Inputs¦AA 2012 -17 FD'!H11</f>
        <v>0.26636580995201631</v>
      </c>
      <c r="F115" s="66">
        <f>'Inputs¦AA 2012 -17 FD'!I11</f>
        <v>0.259386897397825</v>
      </c>
      <c r="G115" s="66">
        <f>'Inputs¦AA 2012 -17 FD'!J11</f>
        <v>0.25219187058842768</v>
      </c>
      <c r="H115" s="66">
        <f>'Inputs¦AA 2012 -17 FD'!K11</f>
        <v>0.24367728972202657</v>
      </c>
      <c r="I115" s="66">
        <f>'Inputs¦AA 2012 -17 FD'!L11</f>
        <v>0.23559966965490189</v>
      </c>
    </row>
    <row r="116" spans="1:15" x14ac:dyDescent="0.2">
      <c r="A116" s="1" t="s">
        <v>13</v>
      </c>
      <c r="B116" s="1" t="s">
        <v>37</v>
      </c>
      <c r="C116" s="1"/>
      <c r="D116" s="1"/>
      <c r="E116" s="66">
        <f>SUM(E107:E115)</f>
        <v>12.515631809952016</v>
      </c>
      <c r="F116" s="66">
        <f>SUM(F107:F115)</f>
        <v>12.584345897397826</v>
      </c>
      <c r="G116" s="66">
        <f>SUM(G107:G115)</f>
        <v>12.680464870588429</v>
      </c>
      <c r="H116" s="66">
        <f>SUM(H107:H115)</f>
        <v>12.877888289722026</v>
      </c>
      <c r="I116" s="66">
        <f>SUM(I107:I115)</f>
        <v>13.457711669654902</v>
      </c>
      <c r="J116" s="6"/>
      <c r="K116" s="6"/>
      <c r="L116" s="6"/>
      <c r="M116" s="6"/>
      <c r="N116" s="6"/>
    </row>
    <row r="118" spans="1:15" ht="17.25" thickBot="1" x14ac:dyDescent="0.3">
      <c r="A118" s="27" t="s">
        <v>51</v>
      </c>
    </row>
    <row r="119" spans="1:15" ht="26.25" thickTop="1" x14ac:dyDescent="0.2">
      <c r="A119" s="59" t="s">
        <v>121</v>
      </c>
      <c r="B119" s="59" t="s">
        <v>132</v>
      </c>
      <c r="C119" s="59" t="s">
        <v>133</v>
      </c>
      <c r="D119" s="59" t="s">
        <v>134</v>
      </c>
      <c r="E119" s="59" t="s">
        <v>135</v>
      </c>
      <c r="F119" s="59" t="s">
        <v>136</v>
      </c>
      <c r="G119" s="59" t="s">
        <v>137</v>
      </c>
      <c r="H119" s="59" t="s">
        <v>138</v>
      </c>
      <c r="I119" s="60"/>
      <c r="J119" s="60"/>
      <c r="K119" s="60"/>
      <c r="L119" s="60"/>
      <c r="M119" s="60"/>
      <c r="N119" s="60"/>
      <c r="O119" s="60"/>
    </row>
    <row r="120" spans="1:15" x14ac:dyDescent="0.2">
      <c r="A120" s="80">
        <v>49.8</v>
      </c>
      <c r="B120" s="80">
        <v>11.8</v>
      </c>
      <c r="C120" s="80">
        <v>0</v>
      </c>
      <c r="D120" s="80">
        <v>1.5</v>
      </c>
      <c r="E120" s="80">
        <v>1.8</v>
      </c>
      <c r="F120" s="80">
        <v>7</v>
      </c>
      <c r="G120" s="80">
        <v>1</v>
      </c>
      <c r="H120" s="80">
        <v>13.6</v>
      </c>
    </row>
    <row r="122" spans="1:15" ht="14.25" x14ac:dyDescent="0.2">
      <c r="A122" s="28" t="s">
        <v>79</v>
      </c>
    </row>
    <row r="123" spans="1:15" ht="17.25" thickBot="1" x14ac:dyDescent="0.3">
      <c r="A123" s="27" t="s">
        <v>94</v>
      </c>
    </row>
    <row r="124" spans="1:15" ht="16.5" thickTop="1" thickBot="1" x14ac:dyDescent="0.3">
      <c r="A124" s="29" t="s">
        <v>96</v>
      </c>
    </row>
    <row r="125" spans="1:15" x14ac:dyDescent="0.2">
      <c r="A125" s="2" t="s">
        <v>85</v>
      </c>
      <c r="B125" s="2" t="s">
        <v>95</v>
      </c>
      <c r="C125" s="62">
        <f t="shared" ref="C125:I125" si="34">C116*C45</f>
        <v>0</v>
      </c>
      <c r="D125" s="62">
        <f t="shared" si="34"/>
        <v>0</v>
      </c>
      <c r="E125" s="62">
        <f t="shared" si="34"/>
        <v>12.828835809200063</v>
      </c>
      <c r="F125" s="62">
        <f t="shared" si="34"/>
        <v>13.277177753610919</v>
      </c>
      <c r="G125" s="62">
        <f t="shared" si="34"/>
        <v>13.556292774563003</v>
      </c>
      <c r="H125" s="62">
        <f t="shared" si="34"/>
        <v>13.947822952431665</v>
      </c>
      <c r="I125" s="62">
        <f t="shared" si="34"/>
        <v>14.911063702880517</v>
      </c>
    </row>
    <row r="126" spans="1:15" ht="15.75" thickBot="1" x14ac:dyDescent="0.3">
      <c r="A126" s="29" t="s">
        <v>97</v>
      </c>
    </row>
    <row r="127" spans="1:15" x14ac:dyDescent="0.2">
      <c r="A127" s="2" t="s">
        <v>85</v>
      </c>
      <c r="B127" s="2" t="s">
        <v>95</v>
      </c>
      <c r="C127" s="5">
        <f t="shared" ref="C127:H127" si="35">(C9+C4)/1000000</f>
        <v>0</v>
      </c>
      <c r="D127" s="5">
        <f t="shared" si="35"/>
        <v>0</v>
      </c>
      <c r="E127" s="5">
        <f t="shared" si="35"/>
        <v>12.816844670000002</v>
      </c>
      <c r="F127" s="5">
        <f t="shared" si="35"/>
        <v>13.376711079999948</v>
      </c>
      <c r="G127" s="5">
        <f t="shared" si="35"/>
        <v>13.206980759999997</v>
      </c>
      <c r="H127" s="5">
        <f t="shared" si="35"/>
        <v>13.802136468741056</v>
      </c>
      <c r="I127" s="5">
        <f>I67</f>
        <v>14.103202113522096</v>
      </c>
    </row>
    <row r="129" spans="1:14" ht="17.25" thickBot="1" x14ac:dyDescent="0.3">
      <c r="A129" s="27" t="s">
        <v>98</v>
      </c>
    </row>
    <row r="130" spans="1:14" ht="13.5" thickTop="1" x14ac:dyDescent="0.2">
      <c r="A130" s="2" t="s">
        <v>85</v>
      </c>
      <c r="B130" s="2" t="s">
        <v>50</v>
      </c>
      <c r="C130" s="5">
        <f t="shared" ref="C130:I130" si="36">C61</f>
        <v>0</v>
      </c>
      <c r="D130" s="5">
        <f t="shared" si="36"/>
        <v>0</v>
      </c>
      <c r="E130" s="5">
        <f t="shared" si="36"/>
        <v>13.854283134177365</v>
      </c>
      <c r="F130" s="5">
        <f t="shared" si="36"/>
        <v>13.893540540951122</v>
      </c>
      <c r="G130" s="5">
        <f t="shared" si="36"/>
        <v>13.592362208581344</v>
      </c>
      <c r="H130" s="5">
        <f t="shared" si="36"/>
        <v>13.966158113522097</v>
      </c>
      <c r="I130" s="5">
        <f t="shared" si="36"/>
        <v>14.103202113522096</v>
      </c>
    </row>
    <row r="132" spans="1:14" ht="14.25" x14ac:dyDescent="0.2">
      <c r="A132" s="28" t="s">
        <v>100</v>
      </c>
    </row>
    <row r="133" spans="1:14" ht="17.25" thickBot="1" x14ac:dyDescent="0.3">
      <c r="A133" s="27" t="s">
        <v>32</v>
      </c>
    </row>
    <row r="134" spans="1:14" ht="13.5" thickTop="1" x14ac:dyDescent="0.2">
      <c r="A134" s="2" t="s">
        <v>33</v>
      </c>
      <c r="B134" s="2" t="str">
        <f>B130</f>
        <v>$m $2016/17</v>
      </c>
      <c r="C134" s="62">
        <f t="shared" ref="C134:D134" si="37">SUM(C27:C29)/1000000</f>
        <v>0</v>
      </c>
      <c r="D134" s="62">
        <f t="shared" si="37"/>
        <v>0</v>
      </c>
      <c r="E134" s="62">
        <f>SUM(E27:E29)/1000000/E44</f>
        <v>8.4288900851525401</v>
      </c>
      <c r="F134" s="62">
        <f t="shared" ref="F134:H134" si="38">SUM(F27:F29)/1000000/F44</f>
        <v>8.6556735258477158</v>
      </c>
      <c r="G134" s="62">
        <f t="shared" si="38"/>
        <v>8.084156358921069</v>
      </c>
      <c r="H134" s="62">
        <f t="shared" si="38"/>
        <v>9.4659346092299987</v>
      </c>
      <c r="I134" s="62">
        <f>(H134/H$130)*$I$130</f>
        <v>9.5588198201837056</v>
      </c>
      <c r="J134" s="62"/>
      <c r="K134" s="62"/>
      <c r="L134" s="62"/>
      <c r="M134" s="62"/>
      <c r="N134" s="62"/>
    </row>
    <row r="135" spans="1:14" x14ac:dyDescent="0.2">
      <c r="A135" s="2" t="s">
        <v>34</v>
      </c>
      <c r="B135" s="2" t="str">
        <f>B134</f>
        <v>$m $2016/17</v>
      </c>
      <c r="C135" s="62">
        <f t="shared" ref="C135:D135" si="39">SUM(C30:C34)/1000000</f>
        <v>0</v>
      </c>
      <c r="D135" s="62">
        <f t="shared" si="39"/>
        <v>0</v>
      </c>
      <c r="E135" s="62">
        <f>SUM(E30:E34)/1000000/E44</f>
        <v>5.4253930490248266</v>
      </c>
      <c r="F135" s="62">
        <f t="shared" ref="F135:H135" si="40">SUM(F30:F34)/1000000/F44</f>
        <v>5.3922337042251769</v>
      </c>
      <c r="G135" s="62">
        <f t="shared" si="40"/>
        <v>5.6036920544809554</v>
      </c>
      <c r="H135" s="62">
        <f t="shared" si="40"/>
        <v>4.6536509982920995</v>
      </c>
      <c r="I135" s="62">
        <f>(H135/H$130)*$I$130</f>
        <v>4.6993153064164979</v>
      </c>
      <c r="J135" s="62"/>
      <c r="K135" s="62"/>
      <c r="L135" s="62"/>
      <c r="M135" s="62"/>
      <c r="N135" s="62"/>
    </row>
    <row r="137" spans="1:14" ht="14.25" x14ac:dyDescent="0.2">
      <c r="A137" s="28" t="s">
        <v>102</v>
      </c>
    </row>
    <row r="138" spans="1:14" x14ac:dyDescent="0.2">
      <c r="A138" s="2" t="s">
        <v>103</v>
      </c>
      <c r="B138" s="2" t="s">
        <v>82</v>
      </c>
      <c r="C138" s="62">
        <f t="shared" ref="C138:D138" si="41">C31/C44*$H$44/1000000</f>
        <v>0</v>
      </c>
      <c r="D138" s="62">
        <f t="shared" si="41"/>
        <v>0</v>
      </c>
      <c r="E138" s="62">
        <f>E7/1000000</f>
        <v>4.2334622500000032</v>
      </c>
      <c r="F138" s="62">
        <f>F7/1000000</f>
        <v>4.3437374600000007</v>
      </c>
      <c r="G138" s="62">
        <f>G7/1000000</f>
        <v>4.3650634700000008</v>
      </c>
      <c r="H138" s="62">
        <f>H7/1000000</f>
        <v>3.9379039887410561</v>
      </c>
      <c r="I138" s="62"/>
      <c r="J138" s="2"/>
      <c r="K138" s="2"/>
      <c r="L138" s="2"/>
      <c r="M138" s="2"/>
      <c r="N138" s="2"/>
    </row>
    <row r="140" spans="1:14" ht="14.25" x14ac:dyDescent="0.2">
      <c r="A140" s="28" t="s">
        <v>105</v>
      </c>
    </row>
    <row r="141" spans="1:14" x14ac:dyDescent="0.2">
      <c r="A141" s="2" t="str">
        <f>A18</f>
        <v>CP INTERFERENCE TESTING AND MITIGATION</v>
      </c>
      <c r="B141" s="2" t="s">
        <v>106</v>
      </c>
      <c r="C141" s="2"/>
      <c r="D141" s="2"/>
      <c r="E141" s="2"/>
      <c r="F141" s="2"/>
      <c r="G141" s="2"/>
      <c r="H141" s="2"/>
      <c r="I141" s="7">
        <f t="shared" ref="I141:N142" si="42">I18/$H$44</f>
        <v>0</v>
      </c>
      <c r="J141" s="10">
        <f t="shared" si="42"/>
        <v>102299.99999999999</v>
      </c>
      <c r="K141" s="10">
        <f t="shared" si="42"/>
        <v>102299.99999999999</v>
      </c>
      <c r="L141" s="10">
        <f t="shared" si="42"/>
        <v>51149.999999999993</v>
      </c>
      <c r="M141" s="10">
        <f t="shared" si="42"/>
        <v>0</v>
      </c>
      <c r="N141" s="10">
        <f t="shared" si="42"/>
        <v>0</v>
      </c>
    </row>
    <row r="142" spans="1:14" x14ac:dyDescent="0.2">
      <c r="A142" s="2" t="str">
        <f>A19</f>
        <v>DN250, DN300, DN200 Assessment of loss of cover and mitigation</v>
      </c>
      <c r="B142" s="2" t="str">
        <f>B141</f>
        <v>$ 2016/17</v>
      </c>
      <c r="C142" s="2"/>
      <c r="D142" s="2"/>
      <c r="E142" s="2"/>
      <c r="F142" s="2"/>
      <c r="G142" s="2"/>
      <c r="H142" s="2"/>
      <c r="I142" s="7">
        <f t="shared" si="42"/>
        <v>0</v>
      </c>
      <c r="J142" s="10">
        <f t="shared" si="42"/>
        <v>51149.999999999993</v>
      </c>
      <c r="K142" s="10">
        <f t="shared" si="42"/>
        <v>51149.999999999993</v>
      </c>
      <c r="L142" s="10">
        <f t="shared" si="42"/>
        <v>0</v>
      </c>
      <c r="M142" s="10">
        <f t="shared" si="42"/>
        <v>0</v>
      </c>
      <c r="N142" s="10">
        <f t="shared" si="42"/>
        <v>0</v>
      </c>
    </row>
    <row r="143" spans="1:14" x14ac:dyDescent="0.2">
      <c r="A143" s="2" t="s">
        <v>17</v>
      </c>
      <c r="B143" s="2" t="str">
        <f>B142</f>
        <v>$ 2016/17</v>
      </c>
      <c r="C143" s="5">
        <f>SUM(C141:C142)</f>
        <v>0</v>
      </c>
      <c r="D143" s="5">
        <f t="shared" ref="D143:N143" si="43">SUM(D141:D142)</f>
        <v>0</v>
      </c>
      <c r="E143" s="5">
        <f t="shared" si="43"/>
        <v>0</v>
      </c>
      <c r="F143" s="5">
        <f t="shared" si="43"/>
        <v>0</v>
      </c>
      <c r="G143" s="5">
        <f t="shared" si="43"/>
        <v>0</v>
      </c>
      <c r="H143" s="5">
        <f t="shared" si="43"/>
        <v>0</v>
      </c>
      <c r="I143" s="5">
        <f t="shared" si="43"/>
        <v>0</v>
      </c>
      <c r="J143" s="5">
        <f t="shared" si="43"/>
        <v>153449.99999999997</v>
      </c>
      <c r="K143" s="5">
        <f t="shared" si="43"/>
        <v>153449.99999999997</v>
      </c>
      <c r="L143" s="5">
        <f t="shared" si="43"/>
        <v>51149.999999999993</v>
      </c>
      <c r="M143" s="5">
        <f t="shared" si="43"/>
        <v>0</v>
      </c>
      <c r="N143" s="5">
        <f t="shared" si="43"/>
        <v>0</v>
      </c>
    </row>
    <row r="145" spans="1:8" ht="14.25" x14ac:dyDescent="0.2">
      <c r="A145" s="28" t="s">
        <v>77</v>
      </c>
    </row>
    <row r="146" spans="1:8" ht="17.25" thickBot="1" x14ac:dyDescent="0.3">
      <c r="A146" s="27" t="s">
        <v>75</v>
      </c>
    </row>
    <row r="147" spans="1:8" ht="13.5" thickTop="1" x14ac:dyDescent="0.2">
      <c r="A147" s="2" t="str">
        <f t="shared" ref="A147:A154" si="44">A27</f>
        <v>Labour</v>
      </c>
      <c r="B147" s="2" t="s">
        <v>82</v>
      </c>
      <c r="C147" s="56">
        <f t="shared" ref="C147:H154" si="45">C27/C$44</f>
        <v>0</v>
      </c>
      <c r="D147" s="56">
        <f t="shared" si="45"/>
        <v>0</v>
      </c>
      <c r="E147" s="56">
        <f t="shared" si="45"/>
        <v>5379934.6354217594</v>
      </c>
      <c r="F147" s="56">
        <f t="shared" si="45"/>
        <v>5275146.0245343773</v>
      </c>
      <c r="G147" s="56">
        <f t="shared" si="45"/>
        <v>5480768.570919944</v>
      </c>
      <c r="H147" s="56">
        <f t="shared" si="45"/>
        <v>6989127.1203599982</v>
      </c>
    </row>
    <row r="148" spans="1:8" x14ac:dyDescent="0.2">
      <c r="A148" s="2" t="str">
        <f t="shared" si="44"/>
        <v>Contractors</v>
      </c>
      <c r="B148" s="2" t="str">
        <f>B147</f>
        <v>$m 2016/17</v>
      </c>
      <c r="C148" s="56">
        <f t="shared" si="45"/>
        <v>0</v>
      </c>
      <c r="D148" s="56">
        <f t="shared" si="45"/>
        <v>0</v>
      </c>
      <c r="E148" s="56">
        <f t="shared" si="45"/>
        <v>1611181.1645698829</v>
      </c>
      <c r="F148" s="56">
        <f t="shared" si="45"/>
        <v>1387103.8072492962</v>
      </c>
      <c r="G148" s="56">
        <f t="shared" si="45"/>
        <v>980398.66480612406</v>
      </c>
      <c r="H148" s="56">
        <f t="shared" si="45"/>
        <v>1568354.5481999998</v>
      </c>
    </row>
    <row r="149" spans="1:8" x14ac:dyDescent="0.2">
      <c r="A149" s="2" t="str">
        <f t="shared" si="44"/>
        <v xml:space="preserve">Other operating costs </v>
      </c>
      <c r="B149" s="2" t="str">
        <f t="shared" ref="B149:B154" si="46">B148</f>
        <v>$m 2016/17</v>
      </c>
      <c r="C149" s="56">
        <f t="shared" si="45"/>
        <v>0</v>
      </c>
      <c r="D149" s="56">
        <f t="shared" si="45"/>
        <v>0</v>
      </c>
      <c r="E149" s="56">
        <f t="shared" si="45"/>
        <v>1437774.2851608987</v>
      </c>
      <c r="F149" s="56">
        <f t="shared" si="45"/>
        <v>1993423.6940640428</v>
      </c>
      <c r="G149" s="56">
        <f t="shared" si="45"/>
        <v>1622989.1231950007</v>
      </c>
      <c r="H149" s="56">
        <f t="shared" si="45"/>
        <v>908452.94066999969</v>
      </c>
    </row>
    <row r="150" spans="1:8" x14ac:dyDescent="0.2">
      <c r="A150" s="2" t="str">
        <f t="shared" si="44"/>
        <v xml:space="preserve">Insurance, Licences and fees </v>
      </c>
      <c r="B150" s="2" t="str">
        <f t="shared" si="46"/>
        <v>$m 2016/17</v>
      </c>
      <c r="C150" s="56">
        <f t="shared" si="45"/>
        <v>0</v>
      </c>
      <c r="D150" s="56">
        <f t="shared" si="45"/>
        <v>0</v>
      </c>
      <c r="E150" s="56">
        <f t="shared" si="45"/>
        <v>849260.14272257814</v>
      </c>
      <c r="F150" s="56">
        <f t="shared" si="45"/>
        <v>830542.82932046987</v>
      </c>
      <c r="G150" s="56">
        <f t="shared" si="45"/>
        <v>1079696.1330816855</v>
      </c>
      <c r="H150" s="56">
        <f t="shared" si="45"/>
        <v>625175.21781000006</v>
      </c>
    </row>
    <row r="151" spans="1:8" x14ac:dyDescent="0.2">
      <c r="A151" s="2" t="str">
        <f t="shared" si="44"/>
        <v xml:space="preserve">Overheads/corporate costs </v>
      </c>
      <c r="B151" s="2" t="str">
        <f t="shared" si="46"/>
        <v>$m 2016/17</v>
      </c>
      <c r="C151" s="56">
        <f t="shared" si="45"/>
        <v>0</v>
      </c>
      <c r="D151" s="56">
        <f t="shared" si="45"/>
        <v>0</v>
      </c>
      <c r="E151" s="56">
        <f t="shared" si="45"/>
        <v>4576132.9063022491</v>
      </c>
      <c r="F151" s="56">
        <f t="shared" si="45"/>
        <v>4561690.8749047071</v>
      </c>
      <c r="G151" s="56">
        <f t="shared" si="45"/>
        <v>4523995.9213992702</v>
      </c>
      <c r="H151" s="56">
        <f t="shared" si="45"/>
        <v>4028475.7804820999</v>
      </c>
    </row>
    <row r="152" spans="1:8" x14ac:dyDescent="0.2">
      <c r="A152" s="2" t="str">
        <f t="shared" si="44"/>
        <v xml:space="preserve">General </v>
      </c>
      <c r="B152" s="2" t="str">
        <f t="shared" si="46"/>
        <v>$m 2016/17</v>
      </c>
      <c r="C152" s="56">
        <f t="shared" si="45"/>
        <v>0</v>
      </c>
      <c r="D152" s="56">
        <f t="shared" si="45"/>
        <v>0</v>
      </c>
      <c r="E152" s="56">
        <f t="shared" si="45"/>
        <v>0</v>
      </c>
      <c r="F152" s="56">
        <f t="shared" si="45"/>
        <v>0</v>
      </c>
      <c r="G152" s="56">
        <f t="shared" si="45"/>
        <v>0</v>
      </c>
      <c r="H152" s="56">
        <f t="shared" si="45"/>
        <v>0</v>
      </c>
    </row>
    <row r="153" spans="1:8" x14ac:dyDescent="0.2">
      <c r="A153" s="2" t="str">
        <f t="shared" si="44"/>
        <v xml:space="preserve">Management services fees </v>
      </c>
      <c r="B153" s="2" t="str">
        <f t="shared" si="46"/>
        <v>$m 2016/17</v>
      </c>
      <c r="C153" s="56">
        <f t="shared" si="45"/>
        <v>0</v>
      </c>
      <c r="D153" s="56">
        <f t="shared" si="45"/>
        <v>0</v>
      </c>
      <c r="E153" s="56">
        <f t="shared" si="45"/>
        <v>0</v>
      </c>
      <c r="F153" s="56">
        <f t="shared" si="45"/>
        <v>0</v>
      </c>
      <c r="G153" s="56">
        <f t="shared" si="45"/>
        <v>0</v>
      </c>
      <c r="H153" s="56">
        <f t="shared" si="45"/>
        <v>0</v>
      </c>
    </row>
    <row r="154" spans="1:8" x14ac:dyDescent="0.2">
      <c r="A154" s="2" t="str">
        <f t="shared" si="44"/>
        <v xml:space="preserve">Treasury/financing costs </v>
      </c>
      <c r="B154" s="2" t="str">
        <f t="shared" si="46"/>
        <v>$m 2016/17</v>
      </c>
      <c r="C154" s="56">
        <f t="shared" si="45"/>
        <v>0</v>
      </c>
      <c r="D154" s="56">
        <f t="shared" si="45"/>
        <v>0</v>
      </c>
      <c r="E154" s="56">
        <f t="shared" si="45"/>
        <v>0</v>
      </c>
      <c r="F154" s="56">
        <f t="shared" si="45"/>
        <v>0</v>
      </c>
      <c r="G154" s="56">
        <f t="shared" si="45"/>
        <v>0</v>
      </c>
      <c r="H154" s="56">
        <f t="shared" si="45"/>
        <v>0</v>
      </c>
    </row>
    <row r="155" spans="1:8" x14ac:dyDescent="0.2">
      <c r="A155" s="2" t="s">
        <v>17</v>
      </c>
      <c r="B155" s="2" t="str">
        <f>B152</f>
        <v>$m 2016/17</v>
      </c>
      <c r="C155" s="10">
        <f>SUM(C147:C152)</f>
        <v>0</v>
      </c>
      <c r="D155" s="10">
        <f t="shared" ref="D155:H155" si="47">SUM(D147:D152)</f>
        <v>0</v>
      </c>
      <c r="E155" s="10">
        <f t="shared" si="47"/>
        <v>13854283.134177368</v>
      </c>
      <c r="F155" s="10">
        <f t="shared" si="47"/>
        <v>14047907.230072893</v>
      </c>
      <c r="G155" s="10">
        <f t="shared" si="47"/>
        <v>13687848.413402025</v>
      </c>
      <c r="H155" s="10">
        <f t="shared" si="47"/>
        <v>14119585.607522098</v>
      </c>
    </row>
    <row r="157" spans="1:8" ht="17.25" thickBot="1" x14ac:dyDescent="0.3">
      <c r="A157" s="63" t="s">
        <v>22</v>
      </c>
    </row>
    <row r="158" spans="1:8" ht="13.5" thickTop="1" x14ac:dyDescent="0.2">
      <c r="A158" s="2" t="str">
        <f t="shared" ref="A158:A163" si="48">A147</f>
        <v>Labour</v>
      </c>
      <c r="B158" s="2" t="s">
        <v>9</v>
      </c>
      <c r="C158" s="2"/>
      <c r="D158" s="2"/>
      <c r="E158" s="2"/>
      <c r="F158" s="2"/>
      <c r="G158" s="2"/>
      <c r="H158" s="11">
        <f t="shared" ref="H158:H163" si="49">SUM(E147:H147)/SUM($E$155:$H$155)</f>
        <v>0.41509840725815711</v>
      </c>
    </row>
    <row r="159" spans="1:8" x14ac:dyDescent="0.2">
      <c r="A159" s="2" t="str">
        <f t="shared" si="48"/>
        <v>Contractors</v>
      </c>
      <c r="B159" s="2" t="str">
        <f>B158</f>
        <v>percent</v>
      </c>
      <c r="C159" s="2"/>
      <c r="D159" s="2"/>
      <c r="E159" s="2"/>
      <c r="F159" s="2"/>
      <c r="G159" s="2"/>
      <c r="H159" s="11">
        <f t="shared" si="49"/>
        <v>9.9570554388830126E-2</v>
      </c>
    </row>
    <row r="160" spans="1:8" x14ac:dyDescent="0.2">
      <c r="A160" s="2" t="str">
        <f t="shared" si="48"/>
        <v xml:space="preserve">Other operating costs </v>
      </c>
      <c r="B160" s="2" t="str">
        <f>B159</f>
        <v>percent</v>
      </c>
      <c r="C160" s="2"/>
      <c r="D160" s="2"/>
      <c r="E160" s="2"/>
      <c r="F160" s="2"/>
      <c r="G160" s="2"/>
      <c r="H160" s="11">
        <f t="shared" si="49"/>
        <v>0.10703069907390612</v>
      </c>
    </row>
    <row r="161" spans="1:15" x14ac:dyDescent="0.2">
      <c r="A161" s="2" t="str">
        <f t="shared" si="48"/>
        <v xml:space="preserve">Insurance, Licences and fees </v>
      </c>
      <c r="B161" s="2" t="str">
        <f t="shared" ref="B161:B164" si="50">B160</f>
        <v>percent</v>
      </c>
      <c r="C161" s="2"/>
      <c r="D161" s="2"/>
      <c r="E161" s="2"/>
      <c r="F161" s="2"/>
      <c r="G161" s="2"/>
      <c r="H161" s="11">
        <f t="shared" si="49"/>
        <v>6.0755647884703265E-2</v>
      </c>
    </row>
    <row r="162" spans="1:15" x14ac:dyDescent="0.2">
      <c r="A162" s="2" t="str">
        <f t="shared" si="48"/>
        <v xml:space="preserve">Overheads/corporate costs </v>
      </c>
      <c r="B162" s="2" t="str">
        <f t="shared" si="50"/>
        <v>percent</v>
      </c>
      <c r="C162" s="2"/>
      <c r="D162" s="2"/>
      <c r="E162" s="2"/>
      <c r="F162" s="2"/>
      <c r="G162" s="2"/>
      <c r="H162" s="11">
        <f t="shared" si="49"/>
        <v>0.31754469139440333</v>
      </c>
    </row>
    <row r="163" spans="1:15" x14ac:dyDescent="0.2">
      <c r="A163" s="2" t="str">
        <f t="shared" si="48"/>
        <v xml:space="preserve">General </v>
      </c>
      <c r="B163" s="2" t="str">
        <f t="shared" si="50"/>
        <v>percent</v>
      </c>
      <c r="C163" s="2"/>
      <c r="D163" s="2"/>
      <c r="E163" s="2"/>
      <c r="F163" s="2"/>
      <c r="G163" s="2"/>
      <c r="H163" s="11">
        <f t="shared" si="49"/>
        <v>0</v>
      </c>
    </row>
    <row r="164" spans="1:15" x14ac:dyDescent="0.2">
      <c r="A164" s="2" t="str">
        <f>A155</f>
        <v>Total</v>
      </c>
      <c r="B164" s="2" t="str">
        <f t="shared" si="50"/>
        <v>percent</v>
      </c>
      <c r="C164" s="2"/>
      <c r="D164" s="2"/>
      <c r="E164" s="2"/>
      <c r="F164" s="2"/>
      <c r="G164" s="2"/>
      <c r="H164" s="11">
        <f>SUM(H158:H163)</f>
        <v>1</v>
      </c>
    </row>
    <row r="166" spans="1:15" ht="14.25" x14ac:dyDescent="0.2">
      <c r="A166" s="28" t="s">
        <v>91</v>
      </c>
    </row>
    <row r="167" spans="1:15" ht="17.25" thickBot="1" x14ac:dyDescent="0.3">
      <c r="A167" s="27" t="s">
        <v>38</v>
      </c>
    </row>
    <row r="168" spans="1:15" ht="13.5" thickTop="1" x14ac:dyDescent="0.2">
      <c r="A168" s="2" t="s">
        <v>33</v>
      </c>
      <c r="B168" s="2" t="s">
        <v>9</v>
      </c>
      <c r="C168" s="2"/>
      <c r="D168" s="2"/>
      <c r="E168" s="44">
        <f>SUM(E107:E108,E110)/E116</f>
        <v>0.57831527084750101</v>
      </c>
      <c r="F168" s="44">
        <f>SUM(F107:F108,F110)/F116</f>
        <v>0.5803245603341296</v>
      </c>
      <c r="G168" s="44">
        <f>SUM(G107:G108,G110)/G116</f>
        <v>0.58087925601880508</v>
      </c>
      <c r="H168" s="44">
        <f>SUM(H107:H108,H110)/H116</f>
        <v>0.58168752760330811</v>
      </c>
      <c r="I168" s="44">
        <f>SUM(I107:I108,I110)/I116</f>
        <v>0.55408632485519838</v>
      </c>
    </row>
    <row r="169" spans="1:15" s="60" customFormat="1" x14ac:dyDescent="0.2">
      <c r="A169" s="2" t="s">
        <v>34</v>
      </c>
      <c r="B169" s="2" t="s">
        <v>9</v>
      </c>
      <c r="C169" s="2"/>
      <c r="D169" s="2"/>
      <c r="E169" s="44">
        <f>SUM(E109,E111:E113)/E116</f>
        <v>0.40040207926340499</v>
      </c>
      <c r="F169" s="44">
        <f>SUM(F109,F111:F113)/F116</f>
        <v>0.39906357000552828</v>
      </c>
      <c r="G169" s="44">
        <f>SUM(G109,G111:G113)/G116</f>
        <v>0.39923252433292533</v>
      </c>
      <c r="H169" s="44">
        <f>SUM(H109,H111:H113)/H116</f>
        <v>0.39939032582732703</v>
      </c>
      <c r="I169" s="44">
        <f>SUM(I109,I111:I113)/I116</f>
        <v>0.42840700867444298</v>
      </c>
      <c r="J169"/>
      <c r="K169"/>
      <c r="L169"/>
      <c r="M169"/>
      <c r="N169"/>
      <c r="O169"/>
    </row>
  </sheetData>
  <pageMargins left="0.7" right="0.7" top="0.75" bottom="0.75" header="0.3" footer="0.3"/>
  <pageSetup paperSize="9" scale="73" orientation="landscape" r:id="rId1"/>
  <colBreaks count="1" manualBreakCount="1">
    <brk id="14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T12"/>
  <sheetViews>
    <sheetView workbookViewId="0"/>
  </sheetViews>
  <sheetFormatPr defaultRowHeight="12.75" x14ac:dyDescent="0.2"/>
  <sheetData>
    <row r="1" spans="1:20" ht="15" customHeight="1" x14ac:dyDescent="0.2">
      <c r="A1" s="12" t="s">
        <v>36</v>
      </c>
      <c r="B1" s="12"/>
      <c r="C1" s="12"/>
      <c r="D1" s="12"/>
      <c r="E1" s="12"/>
      <c r="F1" s="91"/>
      <c r="G1" s="91"/>
      <c r="H1" s="91"/>
      <c r="I1" s="13"/>
      <c r="J1" s="13"/>
      <c r="K1" s="14"/>
      <c r="L1" s="12"/>
      <c r="M1" s="15"/>
      <c r="N1" s="16"/>
      <c r="O1" s="17"/>
      <c r="P1" s="17"/>
      <c r="Q1" s="17"/>
      <c r="R1" s="17"/>
      <c r="S1" s="17"/>
      <c r="T1" s="17"/>
    </row>
    <row r="2" spans="1:20" x14ac:dyDescent="0.2">
      <c r="A2" s="18" t="s">
        <v>18</v>
      </c>
      <c r="B2" s="18"/>
      <c r="C2" s="18"/>
      <c r="D2" s="18"/>
      <c r="E2" s="18"/>
      <c r="F2" s="19"/>
      <c r="G2" s="17"/>
      <c r="H2" s="20" t="s">
        <v>127</v>
      </c>
      <c r="I2" s="20" t="s">
        <v>128</v>
      </c>
      <c r="J2" s="20" t="s">
        <v>129</v>
      </c>
      <c r="K2" s="20" t="s">
        <v>130</v>
      </c>
      <c r="L2" s="20" t="s">
        <v>131</v>
      </c>
      <c r="M2" s="15"/>
      <c r="N2" s="16"/>
      <c r="O2" s="17"/>
      <c r="P2" s="17"/>
      <c r="Q2" s="17"/>
      <c r="R2" s="17"/>
      <c r="S2" s="17"/>
      <c r="T2" s="17"/>
    </row>
    <row r="3" spans="1:20" ht="15" customHeight="1" x14ac:dyDescent="0.2">
      <c r="A3" s="18" t="s">
        <v>19</v>
      </c>
      <c r="B3" s="21"/>
      <c r="C3" s="21"/>
      <c r="D3" s="21"/>
      <c r="E3" s="21"/>
      <c r="F3" s="88"/>
      <c r="G3" s="92"/>
      <c r="H3" s="22">
        <v>5.2634460000000001</v>
      </c>
      <c r="I3" s="22">
        <v>5.3109040000000007</v>
      </c>
      <c r="J3" s="22">
        <v>5.3641329999999998</v>
      </c>
      <c r="K3" s="22">
        <v>5.3977050000000002</v>
      </c>
      <c r="L3" s="22">
        <v>5.4335170000000002</v>
      </c>
      <c r="M3" s="15"/>
      <c r="N3" s="16"/>
      <c r="O3" s="17"/>
      <c r="P3" s="17"/>
      <c r="Q3" s="17"/>
      <c r="R3" s="17"/>
      <c r="S3" s="17"/>
      <c r="T3" s="17"/>
    </row>
    <row r="4" spans="1:20" ht="15" customHeight="1" x14ac:dyDescent="0.2">
      <c r="A4" s="18" t="s">
        <v>16</v>
      </c>
      <c r="B4" s="21"/>
      <c r="C4" s="21"/>
      <c r="D4" s="21"/>
      <c r="E4" s="21"/>
      <c r="F4" s="88"/>
      <c r="G4" s="92"/>
      <c r="H4" s="23">
        <v>0.89897099999999996</v>
      </c>
      <c r="I4" s="23">
        <v>0.91167700000000007</v>
      </c>
      <c r="J4" s="23">
        <v>0.923485</v>
      </c>
      <c r="K4" s="23">
        <v>0.93321900000000002</v>
      </c>
      <c r="L4" s="23">
        <v>0.94370200000000004</v>
      </c>
      <c r="M4" s="15"/>
      <c r="N4" s="16"/>
      <c r="O4" s="17"/>
      <c r="P4" s="17"/>
      <c r="Q4" s="17"/>
      <c r="R4" s="17"/>
      <c r="S4" s="17"/>
      <c r="T4" s="17"/>
    </row>
    <row r="5" spans="1:20" ht="15" customHeight="1" x14ac:dyDescent="0.2">
      <c r="A5" s="18" t="s">
        <v>123</v>
      </c>
      <c r="B5" s="21"/>
      <c r="C5" s="21"/>
      <c r="D5" s="21"/>
      <c r="E5" s="21"/>
      <c r="F5" s="88"/>
      <c r="G5" s="92"/>
      <c r="H5" s="23">
        <v>0.634073</v>
      </c>
      <c r="I5" s="23">
        <v>0.634073</v>
      </c>
      <c r="J5" s="23">
        <v>0.634073</v>
      </c>
      <c r="K5" s="23">
        <v>0.634073</v>
      </c>
      <c r="L5" s="23">
        <v>0.634073</v>
      </c>
      <c r="M5" s="15"/>
      <c r="N5" s="16"/>
      <c r="O5" s="17"/>
      <c r="P5" s="17"/>
      <c r="Q5" s="17"/>
      <c r="R5" s="17"/>
      <c r="S5" s="17"/>
      <c r="T5" s="17"/>
    </row>
    <row r="6" spans="1:20" ht="15" customHeight="1" x14ac:dyDescent="0.2">
      <c r="A6" s="18" t="s">
        <v>124</v>
      </c>
      <c r="B6" s="21"/>
      <c r="C6" s="21"/>
      <c r="D6" s="21"/>
      <c r="E6" s="21"/>
      <c r="F6" s="24"/>
      <c r="G6" s="26"/>
      <c r="H6" s="23">
        <v>1.0755640000000002</v>
      </c>
      <c r="I6" s="23">
        <v>1.0804240000000001</v>
      </c>
      <c r="J6" s="23">
        <v>1.078201</v>
      </c>
      <c r="K6" s="23">
        <v>1.159983</v>
      </c>
      <c r="L6" s="23">
        <v>1.079515</v>
      </c>
      <c r="M6" s="15"/>
      <c r="N6" s="16"/>
      <c r="O6" s="17"/>
      <c r="P6" s="17"/>
      <c r="Q6" s="17"/>
      <c r="R6" s="17"/>
      <c r="S6" s="17"/>
      <c r="T6" s="17"/>
    </row>
    <row r="7" spans="1:20" ht="15" customHeight="1" x14ac:dyDescent="0.2">
      <c r="A7" s="18" t="s">
        <v>125</v>
      </c>
      <c r="B7" s="21"/>
      <c r="C7" s="21"/>
      <c r="D7" s="21"/>
      <c r="E7" s="21"/>
      <c r="F7" s="88"/>
      <c r="G7" s="92"/>
      <c r="H7" s="23">
        <v>3.6356109999999999</v>
      </c>
      <c r="I7" s="23">
        <v>3.665842</v>
      </c>
      <c r="J7" s="23">
        <v>3.7050549999999998</v>
      </c>
      <c r="K7" s="23">
        <v>3.727582</v>
      </c>
      <c r="L7" s="23">
        <v>3.7532519999999998</v>
      </c>
      <c r="M7" s="15"/>
      <c r="N7" s="16"/>
      <c r="O7" s="17"/>
      <c r="P7" s="17"/>
      <c r="Q7" s="17"/>
      <c r="R7" s="17"/>
      <c r="S7" s="17"/>
      <c r="T7" s="17"/>
    </row>
    <row r="8" spans="1:20" ht="15" customHeight="1" x14ac:dyDescent="0.2">
      <c r="A8" s="18" t="s">
        <v>126</v>
      </c>
      <c r="B8" s="21"/>
      <c r="C8" s="21"/>
      <c r="D8" s="21"/>
      <c r="E8" s="21"/>
      <c r="F8" s="93"/>
      <c r="G8" s="94"/>
      <c r="H8" s="23">
        <v>0.74160099999999995</v>
      </c>
      <c r="I8" s="23">
        <v>0.72203899999999999</v>
      </c>
      <c r="J8" s="23">
        <v>0.72332600000000002</v>
      </c>
      <c r="K8" s="23">
        <v>0.78164900000000004</v>
      </c>
      <c r="L8" s="23">
        <v>0.74147299999999994</v>
      </c>
      <c r="M8" s="15"/>
      <c r="N8" s="16"/>
      <c r="O8" s="17"/>
      <c r="P8" s="17"/>
      <c r="Q8" s="17"/>
      <c r="R8" s="17"/>
      <c r="S8" s="17"/>
      <c r="T8" s="17"/>
    </row>
    <row r="9" spans="1:20" ht="15" customHeight="1" x14ac:dyDescent="0.2">
      <c r="A9" s="18" t="s">
        <v>124</v>
      </c>
      <c r="B9" s="21"/>
      <c r="C9" s="21"/>
      <c r="D9" s="21"/>
      <c r="E9" s="21"/>
      <c r="F9" s="88"/>
      <c r="G9" s="92"/>
      <c r="H9" s="23">
        <v>0</v>
      </c>
      <c r="I9" s="23">
        <v>0</v>
      </c>
      <c r="J9" s="23">
        <v>0</v>
      </c>
      <c r="K9" s="23">
        <v>0</v>
      </c>
      <c r="L9" s="23">
        <v>0.63658000000000003</v>
      </c>
      <c r="M9" s="15"/>
      <c r="N9" s="16"/>
      <c r="O9" s="17"/>
      <c r="P9" s="17"/>
      <c r="Q9" s="17"/>
      <c r="R9" s="17"/>
      <c r="S9" s="17"/>
      <c r="T9" s="17"/>
    </row>
    <row r="10" spans="1:20" ht="15" customHeight="1" x14ac:dyDescent="0.2">
      <c r="A10" s="18" t="s">
        <v>20</v>
      </c>
      <c r="B10" s="21"/>
      <c r="C10" s="21"/>
      <c r="D10" s="21"/>
      <c r="E10" s="21"/>
      <c r="F10" s="88"/>
      <c r="G10" s="92"/>
      <c r="H10" s="23">
        <v>0</v>
      </c>
      <c r="I10" s="23">
        <v>0</v>
      </c>
      <c r="J10" s="23">
        <v>0</v>
      </c>
      <c r="K10" s="23">
        <v>0</v>
      </c>
      <c r="L10" s="23">
        <v>0</v>
      </c>
      <c r="M10" s="15"/>
      <c r="N10" s="16"/>
      <c r="O10" s="17"/>
      <c r="P10" s="17"/>
      <c r="Q10" s="17"/>
      <c r="R10" s="17"/>
      <c r="S10" s="17"/>
      <c r="T10" s="17"/>
    </row>
    <row r="11" spans="1:20" ht="15" customHeight="1" x14ac:dyDescent="0.2">
      <c r="A11" s="18" t="s">
        <v>21</v>
      </c>
      <c r="B11" s="21"/>
      <c r="C11" s="21"/>
      <c r="D11" s="21"/>
      <c r="E11" s="21"/>
      <c r="F11" s="88"/>
      <c r="G11" s="92"/>
      <c r="H11" s="23">
        <v>0.26636580995201631</v>
      </c>
      <c r="I11" s="23">
        <v>0.259386897397825</v>
      </c>
      <c r="J11" s="23">
        <v>0.25219187058842768</v>
      </c>
      <c r="K11" s="23">
        <v>0.24367728972202657</v>
      </c>
      <c r="L11" s="23">
        <v>0.23559966965490189</v>
      </c>
      <c r="M11" s="15"/>
      <c r="N11" s="16"/>
      <c r="O11" s="17"/>
      <c r="P11" s="17"/>
      <c r="Q11" s="17"/>
      <c r="R11" s="17"/>
      <c r="S11" s="17"/>
      <c r="T11" s="17"/>
    </row>
    <row r="12" spans="1:20" ht="15" customHeight="1" x14ac:dyDescent="0.2">
      <c r="A12" s="18" t="s">
        <v>17</v>
      </c>
      <c r="B12" s="18"/>
      <c r="C12" s="18"/>
      <c r="D12" s="18"/>
      <c r="E12" s="18"/>
      <c r="F12" s="88"/>
      <c r="G12" s="88"/>
      <c r="H12" s="25">
        <f>SUM(H3:H11)</f>
        <v>12.515631809952016</v>
      </c>
      <c r="I12" s="25">
        <f>SUM(I3:I11)</f>
        <v>12.584345897397826</v>
      </c>
      <c r="J12" s="25">
        <f>SUM(J3:J11)</f>
        <v>12.680464870588429</v>
      </c>
      <c r="K12" s="25">
        <f>SUM(K3:K11)</f>
        <v>12.877888289722026</v>
      </c>
      <c r="L12" s="25">
        <f>SUM(L3:L11)</f>
        <v>13.457711669654902</v>
      </c>
      <c r="M12" s="15"/>
      <c r="N12" s="16"/>
      <c r="O12" s="17"/>
      <c r="P12" s="17"/>
      <c r="Q12" s="17"/>
      <c r="R12" s="17"/>
      <c r="S12" s="17"/>
      <c r="T12" s="17"/>
    </row>
  </sheetData>
  <mergeCells count="10">
    <mergeCell ref="F9:G9"/>
    <mergeCell ref="F10:G10"/>
    <mergeCell ref="F11:G11"/>
    <mergeCell ref="F12:G12"/>
    <mergeCell ref="F1:H1"/>
    <mergeCell ref="F3:G3"/>
    <mergeCell ref="F4:G4"/>
    <mergeCell ref="F5:G5"/>
    <mergeCell ref="F7:G7"/>
    <mergeCell ref="F8:G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Outputs¦PTRM</vt:lpstr>
      <vt:lpstr>Outputs¦Graphs</vt:lpstr>
      <vt:lpstr>Outputs¦Tables</vt:lpstr>
      <vt:lpstr>Calc</vt:lpstr>
      <vt:lpstr>Inputs¦AA 2012 -17 FD</vt:lpstr>
      <vt:lpstr>Calc!_ftn1</vt:lpstr>
      <vt:lpstr>Calc!_ftnref1</vt:lpstr>
      <vt:lpstr>Drc</vt:lpstr>
      <vt:lpstr>Dv</vt:lpstr>
      <vt:lpstr>Calc!Print_Area</vt:lpstr>
    </vt:vector>
  </TitlesOfParts>
  <Company>APA 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Allen, Mark</dc:creator>
  <cp:lastModifiedBy>APA</cp:lastModifiedBy>
  <cp:lastPrinted>2016-06-27T05:46:59Z</cp:lastPrinted>
  <dcterms:created xsi:type="dcterms:W3CDTF">2016-05-23T01:36:41Z</dcterms:created>
  <dcterms:modified xsi:type="dcterms:W3CDTF">2017-08-14T04:42:07Z</dcterms:modified>
</cp:coreProperties>
</file>