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0E644E96-84B3-4C74-B788-D1C6ED929D03}" xr6:coauthVersionLast="45" xr6:coauthVersionMax="47" xr10:uidLastSave="{00000000-0000-0000-0000-000000000000}"/>
  <bookViews>
    <workbookView xWindow="14400" yWindow="0" windowWidth="14400" windowHeight="15600" firstSheet="4" activeTab="5" xr2:uid="{EAA9833A-038E-4312-8AEE-6D0FDB19A739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53" l="1"/>
  <c r="R13" i="53"/>
  <c r="S13" i="53"/>
  <c r="T13" i="53"/>
  <c r="P13" i="53"/>
  <c r="U40" i="2" l="1"/>
  <c r="T40" i="2"/>
  <c r="S40" i="2"/>
  <c r="R40" i="2"/>
  <c r="Q40" i="2"/>
  <c r="O52" i="58" l="1"/>
  <c r="N29" i="58"/>
  <c r="F72" i="55"/>
  <c r="F71" i="55" s="1"/>
  <c r="G70" i="55" l="1"/>
  <c r="U77" i="2" l="1"/>
  <c r="T77" i="2"/>
  <c r="S77" i="2"/>
  <c r="Q77" i="2"/>
  <c r="R77" i="2" l="1"/>
  <c r="L70" i="58" l="1"/>
  <c r="M70" i="58" l="1"/>
  <c r="G71" i="55" l="1"/>
  <c r="F74" i="55"/>
  <c r="F75" i="55" s="1"/>
  <c r="G75" i="55" s="1"/>
  <c r="F76" i="55"/>
  <c r="F73" i="55" l="1"/>
  <c r="F78" i="55"/>
  <c r="F77" i="55" l="1"/>
  <c r="F81" i="55" l="1"/>
  <c r="G77" i="55"/>
  <c r="Q78" i="2"/>
  <c r="F42" i="58" l="1"/>
  <c r="U78" i="2" l="1"/>
  <c r="G67" i="55" l="1"/>
  <c r="G68" i="55" l="1"/>
  <c r="S67" i="42" l="1"/>
  <c r="C84" i="42" l="1"/>
  <c r="E84" i="42" l="1"/>
  <c r="F84" i="42"/>
  <c r="G65" i="55" l="1"/>
  <c r="G64" i="55"/>
  <c r="G69" i="55" l="1"/>
  <c r="G66" i="55"/>
  <c r="G73" i="55" l="1"/>
  <c r="R78" i="2" l="1"/>
  <c r="J70" i="58" l="1"/>
  <c r="J29" i="58"/>
  <c r="M79" i="58" l="1"/>
  <c r="K70" i="58" l="1"/>
  <c r="E26" i="58"/>
  <c r="O93" i="2" l="1" a="1"/>
  <c r="O93" i="2" s="1"/>
  <c r="W93" i="2" s="1"/>
  <c r="F49" i="58" l="1"/>
  <c r="O15" i="58"/>
  <c r="J79" i="58" l="1"/>
  <c r="G73" i="4" l="1"/>
  <c r="G74" i="4"/>
  <c r="G75" i="4"/>
  <c r="G76" i="4"/>
  <c r="G72" i="4"/>
  <c r="H52" i="4"/>
  <c r="H51" i="4"/>
  <c r="H50" i="4"/>
  <c r="I52" i="4"/>
  <c r="F30" i="42"/>
  <c r="H65" i="4"/>
  <c r="F80" i="55" l="1"/>
  <c r="F82" i="55"/>
  <c r="F84" i="55" l="1"/>
  <c r="F79" i="55"/>
  <c r="G79" i="55" s="1"/>
  <c r="C80" i="42"/>
  <c r="C81" i="42"/>
  <c r="C82" i="42"/>
  <c r="C83" i="42"/>
  <c r="C77" i="42"/>
  <c r="C78" i="42"/>
  <c r="C79" i="42"/>
  <c r="C76" i="42"/>
  <c r="G63" i="55" l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O42" i="42" s="1"/>
  <c r="N4" i="42"/>
  <c r="M4" i="42"/>
  <c r="L4" i="42"/>
  <c r="L12" i="42" s="1"/>
  <c r="K4" i="42"/>
  <c r="K22" i="42" s="1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P10" i="2" s="1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U10" i="2" l="1"/>
  <c r="U24" i="2"/>
  <c r="U14" i="2"/>
  <c r="Q24" i="2"/>
  <c r="Q10" i="2"/>
  <c r="Q12" i="2" s="1"/>
  <c r="Q14" i="2"/>
  <c r="R24" i="2"/>
  <c r="R10" i="2"/>
  <c r="R14" i="2"/>
  <c r="S14" i="2"/>
  <c r="S24" i="2"/>
  <c r="S10" i="2"/>
  <c r="T10" i="2"/>
  <c r="T14" i="2"/>
  <c r="T24" i="2"/>
  <c r="O39" i="4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50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T36" i="53"/>
  <c r="T40" i="53" s="1"/>
  <c r="P36" i="53"/>
  <c r="Q10" i="53"/>
  <c r="R10" i="53"/>
  <c r="S36" i="53"/>
  <c r="U81" i="2"/>
  <c r="U82" i="2"/>
  <c r="L10" i="2"/>
  <c r="M10" i="2"/>
  <c r="N10" i="2"/>
  <c r="O10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P32" i="53" s="1"/>
  <c r="T26" i="53"/>
  <c r="O10" i="42"/>
  <c r="O30" i="42" s="1"/>
  <c r="P60" i="42"/>
  <c r="S100" i="42"/>
  <c r="Q49" i="2"/>
  <c r="Q75" i="2"/>
  <c r="Q95" i="2"/>
  <c r="Q97" i="2" s="1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Q98" i="2" l="1"/>
  <c r="C22" i="2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Q22" i="2" l="1"/>
  <c r="R22" i="2" s="1"/>
  <c r="P79" i="42"/>
  <c r="R79" i="42"/>
  <c r="T79" i="42"/>
  <c r="Q79" i="42"/>
  <c r="S79" i="42"/>
  <c r="E22" i="2"/>
  <c r="D22" i="2"/>
  <c r="C31" i="2"/>
  <c r="C32" i="2"/>
  <c r="E32" i="2" s="1"/>
  <c r="C27" i="2"/>
  <c r="C28" i="2"/>
  <c r="C29" i="2"/>
  <c r="C30" i="2"/>
  <c r="U80" i="2"/>
  <c r="U79" i="2"/>
  <c r="D32" i="2" l="1"/>
  <c r="Q32" i="2"/>
  <c r="S22" i="2"/>
  <c r="R32" i="2"/>
  <c r="U101" i="2"/>
  <c r="U97" i="2"/>
  <c r="U98" i="2"/>
  <c r="U99" i="2"/>
  <c r="U100" i="2"/>
  <c r="U73" i="2"/>
  <c r="T66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P12" i="2"/>
  <c r="O22" i="2" s="1"/>
  <c r="C15" i="16"/>
  <c r="C14" i="16"/>
  <c r="C13" i="16"/>
  <c r="C12" i="16"/>
  <c r="C11" i="16"/>
  <c r="T22" i="2" l="1"/>
  <c r="S32" i="2"/>
  <c r="P32" i="2"/>
  <c r="T63" i="42"/>
  <c r="T69" i="42" l="1"/>
  <c r="U22" i="2"/>
  <c r="U32" i="2" s="1"/>
  <c r="T32" i="2"/>
  <c r="F70" i="58"/>
  <c r="F65" i="58"/>
  <c r="F66" i="58"/>
  <c r="F67" i="58"/>
  <c r="F68" i="58"/>
  <c r="F64" i="58"/>
  <c r="C80" i="4" l="1"/>
  <c r="O70" i="58" l="1"/>
  <c r="P70" i="58"/>
  <c r="Q70" i="58"/>
  <c r="R70" i="58"/>
  <c r="S70" i="58"/>
  <c r="X79" i="58"/>
  <c r="X29" i="58"/>
  <c r="K12" i="42" l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N93" i="2" a="1"/>
  <c r="N93" i="2" s="1"/>
  <c r="C91" i="2"/>
  <c r="C90" i="2"/>
  <c r="C89" i="2"/>
  <c r="C88" i="2"/>
  <c r="C87" i="2"/>
  <c r="C86" i="2"/>
  <c r="S1" i="58" l="1"/>
  <c r="F20" i="42"/>
  <c r="F26" i="42" l="1"/>
  <c r="E26" i="42"/>
  <c r="F23" i="42"/>
  <c r="E23" i="42"/>
  <c r="F21" i="42"/>
  <c r="E21" i="42"/>
  <c r="K29" i="58"/>
  <c r="L29" i="58"/>
  <c r="M29" i="58"/>
  <c r="O29" i="58"/>
  <c r="P29" i="58"/>
  <c r="Q29" i="58"/>
  <c r="R29" i="58"/>
  <c r="S29" i="58"/>
  <c r="E19" i="58"/>
  <c r="E15" i="58"/>
  <c r="D15" i="58"/>
  <c r="F15" i="58"/>
  <c r="P15" i="58"/>
  <c r="Q15" i="58"/>
  <c r="R15" i="58"/>
  <c r="S15" i="58"/>
  <c r="E31" i="42" l="1"/>
  <c r="F31" i="42"/>
  <c r="C31" i="42"/>
  <c r="E91" i="58"/>
  <c r="E30" i="42" s="1"/>
  <c r="F37" i="42" l="1"/>
  <c r="E37" i="42"/>
  <c r="K79" i="58"/>
  <c r="L79" i="58"/>
  <c r="N79" i="58"/>
  <c r="O79" i="58"/>
  <c r="P79" i="58"/>
  <c r="Q79" i="58"/>
  <c r="R79" i="58"/>
  <c r="S79" i="58"/>
  <c r="E70" i="58"/>
  <c r="I42" i="4"/>
  <c r="I43" i="4"/>
  <c r="I44" i="4"/>
  <c r="I45" i="4"/>
  <c r="I46" i="4"/>
  <c r="I47" i="4"/>
  <c r="I48" i="4"/>
  <c r="I49" i="4"/>
  <c r="I50" i="4"/>
  <c r="I51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R98" i="2" l="1"/>
  <c r="R97" i="2"/>
  <c r="Q101" i="2"/>
  <c r="T101" i="2"/>
  <c r="S101" i="2"/>
  <c r="R101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100" i="2"/>
  <c r="Q99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0" i="42"/>
  <c r="M22" i="42"/>
  <c r="M20" i="42"/>
  <c r="O22" i="42"/>
  <c r="O20" i="42"/>
  <c r="Q22" i="42"/>
  <c r="Q20" i="42"/>
  <c r="S22" i="42"/>
  <c r="S20" i="42"/>
  <c r="J12" i="42"/>
  <c r="M12" i="42"/>
  <c r="O12" i="42"/>
  <c r="Q12" i="42"/>
  <c r="S12" i="42"/>
  <c r="N12" i="42"/>
  <c r="P12" i="42"/>
  <c r="R12" i="42"/>
  <c r="K12" i="2"/>
  <c r="J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3" i="44"/>
  <c r="K15" i="44"/>
  <c r="K13" i="44"/>
  <c r="K16" i="44"/>
  <c r="K14" i="44"/>
  <c r="F104" i="42"/>
  <c r="F103" i="42"/>
  <c r="F96" i="42"/>
  <c r="F94" i="42"/>
  <c r="F93" i="42"/>
  <c r="F92" i="42"/>
  <c r="F86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K109" i="2"/>
  <c r="S109" i="2"/>
  <c r="Q109" i="2"/>
  <c r="O109" i="2"/>
  <c r="M109" i="2"/>
  <c r="C24" i="4"/>
  <c r="O12" i="2" l="1"/>
  <c r="K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W60" i="2"/>
  <c r="W109" i="2"/>
  <c r="N21" i="42" l="1"/>
  <c r="P47" i="2"/>
  <c r="S47" i="2"/>
  <c r="Q47" i="2"/>
  <c r="R47" i="2"/>
  <c r="T47" i="2"/>
  <c r="W47" i="2" l="1"/>
  <c r="C52" i="42" l="1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E86" i="42" l="1"/>
  <c r="E104" i="42" l="1"/>
  <c r="F15" i="42" l="1"/>
  <c r="F56" i="42"/>
  <c r="F54" i="42"/>
  <c r="C92" i="42" l="1"/>
  <c r="C93" i="42"/>
  <c r="C94" i="42"/>
  <c r="F13" i="44"/>
  <c r="O13" i="44" s="1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69" i="42" l="1"/>
  <c r="P69" i="42"/>
  <c r="R13" i="42"/>
  <c r="S13" i="42"/>
  <c r="Q13" i="42"/>
  <c r="O13" i="42"/>
  <c r="N13" i="42"/>
  <c r="M69" i="42"/>
  <c r="K69" i="42"/>
  <c r="L69" i="42"/>
  <c r="R69" i="42"/>
  <c r="T1" i="2"/>
  <c r="G13" i="16" s="1"/>
  <c r="S1" i="54"/>
  <c r="G10" i="16" s="1"/>
  <c r="N69" i="42"/>
  <c r="J69" i="42"/>
  <c r="M70" i="42" l="1" a="1"/>
  <c r="M70" i="42" s="1"/>
  <c r="N70" i="42" a="1"/>
  <c r="N70" i="42" s="1"/>
  <c r="O69" i="42"/>
  <c r="P70" i="42" s="1" a="1"/>
  <c r="P70" i="42" s="1"/>
  <c r="Q69" i="42"/>
  <c r="S70" i="42" l="1" a="1"/>
  <c r="S70" i="42" s="1"/>
  <c r="Q70" i="42" a="1"/>
  <c r="Q70" i="42" s="1"/>
  <c r="T70" i="42" a="1"/>
  <c r="T70" i="42" s="1"/>
  <c r="R70" i="42" a="1"/>
  <c r="R70" i="42" s="1"/>
  <c r="O70" i="42" a="1"/>
  <c r="O70" i="42" s="1"/>
  <c r="P21" i="2" l="1"/>
  <c r="O49" i="42"/>
  <c r="L49" i="42"/>
  <c r="S46" i="42"/>
  <c r="L46" i="42"/>
  <c r="S52" i="42"/>
  <c r="L52" i="42"/>
  <c r="P52" i="42"/>
  <c r="M49" i="42"/>
  <c r="K52" i="42"/>
  <c r="R49" i="42"/>
  <c r="K49" i="42"/>
  <c r="R46" i="42"/>
  <c r="Q46" i="42"/>
  <c r="N52" i="42"/>
  <c r="Q52" i="42"/>
  <c r="R52" i="42"/>
  <c r="O52" i="42"/>
  <c r="N49" i="42"/>
  <c r="P46" i="42"/>
  <c r="J52" i="42"/>
  <c r="Q49" i="42"/>
  <c r="S49" i="42"/>
  <c r="J49" i="42"/>
  <c r="K46" i="42"/>
  <c r="O46" i="42"/>
  <c r="M46" i="42"/>
  <c r="M52" i="42"/>
  <c r="P49" i="42"/>
  <c r="J46" i="42"/>
  <c r="N46" i="42"/>
  <c r="J94" i="42"/>
  <c r="T94" i="42"/>
  <c r="R94" i="42"/>
  <c r="K80" i="42"/>
  <c r="N94" i="42"/>
  <c r="N16" i="44" s="1"/>
  <c r="O94" i="42"/>
  <c r="O16" i="44" s="1"/>
  <c r="K94" i="42"/>
  <c r="P94" i="42"/>
  <c r="M94" i="42"/>
  <c r="L94" i="42"/>
  <c r="S94" i="42"/>
  <c r="Q94" i="42"/>
  <c r="N21" i="2"/>
  <c r="M19" i="2"/>
  <c r="N20" i="2"/>
  <c r="O20" i="2" s="1"/>
  <c r="P20" i="2" s="1"/>
  <c r="R93" i="4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E27" i="2"/>
  <c r="D27" i="2"/>
  <c r="D19" i="2"/>
  <c r="E19" i="2"/>
  <c r="E20" i="2"/>
  <c r="D20" i="2"/>
  <c r="E16" i="2"/>
  <c r="D16" i="2"/>
  <c r="E29" i="2"/>
  <c r="D29" i="2"/>
  <c r="E30" i="2"/>
  <c r="D30" i="2"/>
  <c r="D26" i="2"/>
  <c r="E26" i="2"/>
  <c r="E28" i="2"/>
  <c r="D28" i="2"/>
  <c r="R22" i="53" l="1"/>
  <c r="P77" i="42"/>
  <c r="T22" i="53"/>
  <c r="Q22" i="53"/>
  <c r="J77" i="42"/>
  <c r="N93" i="42"/>
  <c r="N15" i="44" s="1"/>
  <c r="S77" i="42"/>
  <c r="T77" i="42"/>
  <c r="Q77" i="42"/>
  <c r="R77" i="42"/>
  <c r="K77" i="42"/>
  <c r="O77" i="42"/>
  <c r="M77" i="42"/>
  <c r="K93" i="42"/>
  <c r="L77" i="42"/>
  <c r="N77" i="42"/>
  <c r="T93" i="42"/>
  <c r="O92" i="42"/>
  <c r="O14" i="44" s="1"/>
  <c r="L40" i="42"/>
  <c r="J92" i="42"/>
  <c r="Q93" i="42"/>
  <c r="Q15" i="44" s="1"/>
  <c r="P93" i="42"/>
  <c r="L92" i="42"/>
  <c r="M92" i="42"/>
  <c r="K92" i="42"/>
  <c r="J93" i="42"/>
  <c r="N92" i="42"/>
  <c r="N14" i="44" s="1"/>
  <c r="S93" i="42"/>
  <c r="S15" i="44" s="1"/>
  <c r="M93" i="42"/>
  <c r="L93" i="42"/>
  <c r="O93" i="42"/>
  <c r="O15" i="44" s="1"/>
  <c r="Q40" i="42"/>
  <c r="Q21" i="2"/>
  <c r="R21" i="2" s="1"/>
  <c r="S21" i="2" s="1"/>
  <c r="T21" i="2" s="1"/>
  <c r="U21" i="2" s="1"/>
  <c r="U31" i="2" s="1"/>
  <c r="R81" i="42"/>
  <c r="S81" i="42"/>
  <c r="T81" i="42"/>
  <c r="P81" i="42"/>
  <c r="Q81" i="42"/>
  <c r="J81" i="42"/>
  <c r="O43" i="42"/>
  <c r="R43" i="42"/>
  <c r="K40" i="42"/>
  <c r="L43" i="42"/>
  <c r="M43" i="42"/>
  <c r="P43" i="42"/>
  <c r="K43" i="42"/>
  <c r="M40" i="42"/>
  <c r="O40" i="42"/>
  <c r="S43" i="42"/>
  <c r="N43" i="42"/>
  <c r="N40" i="42"/>
  <c r="J40" i="42"/>
  <c r="J43" i="42"/>
  <c r="Q43" i="42"/>
  <c r="R40" i="42"/>
  <c r="S40" i="42"/>
  <c r="P40" i="42"/>
  <c r="O83" i="42"/>
  <c r="K82" i="42"/>
  <c r="J78" i="42"/>
  <c r="J82" i="42"/>
  <c r="L82" i="42"/>
  <c r="N78" i="42"/>
  <c r="O84" i="42"/>
  <c r="L84" i="42"/>
  <c r="M83" i="42"/>
  <c r="L78" i="42"/>
  <c r="L81" i="42"/>
  <c r="M84" i="42"/>
  <c r="K84" i="42"/>
  <c r="N81" i="42"/>
  <c r="J84" i="42"/>
  <c r="S84" i="42"/>
  <c r="T83" i="42"/>
  <c r="P83" i="42"/>
  <c r="T84" i="42"/>
  <c r="S82" i="42"/>
  <c r="Q82" i="42"/>
  <c r="Q78" i="42"/>
  <c r="R82" i="42"/>
  <c r="R83" i="42"/>
  <c r="P82" i="42"/>
  <c r="R84" i="42"/>
  <c r="Q84" i="42"/>
  <c r="T82" i="42"/>
  <c r="P78" i="42"/>
  <c r="S78" i="42"/>
  <c r="Q83" i="42"/>
  <c r="T78" i="42"/>
  <c r="P84" i="42"/>
  <c r="R78" i="42"/>
  <c r="S83" i="42"/>
  <c r="M78" i="42"/>
  <c r="O78" i="42"/>
  <c r="M82" i="42"/>
  <c r="L83" i="42"/>
  <c r="O82" i="42"/>
  <c r="N82" i="42"/>
  <c r="N83" i="42"/>
  <c r="K83" i="42"/>
  <c r="J83" i="42"/>
  <c r="N84" i="42"/>
  <c r="K78" i="42"/>
  <c r="Q16" i="44"/>
  <c r="R16" i="44"/>
  <c r="R15" i="44"/>
  <c r="T15" i="44"/>
  <c r="S16" i="44"/>
  <c r="P16" i="44"/>
  <c r="T16" i="44"/>
  <c r="M80" i="42"/>
  <c r="O80" i="42"/>
  <c r="M81" i="42"/>
  <c r="N80" i="42"/>
  <c r="J80" i="42"/>
  <c r="K79" i="42"/>
  <c r="Q80" i="42"/>
  <c r="T80" i="42"/>
  <c r="S80" i="42"/>
  <c r="P80" i="42"/>
  <c r="R80" i="42"/>
  <c r="O81" i="42"/>
  <c r="K81" i="42"/>
  <c r="L80" i="42"/>
  <c r="S31" i="2"/>
  <c r="R28" i="42" s="1"/>
  <c r="O79" i="42"/>
  <c r="L79" i="42"/>
  <c r="N79" i="42"/>
  <c r="M79" i="42"/>
  <c r="J79" i="42"/>
  <c r="P30" i="2"/>
  <c r="Q20" i="2"/>
  <c r="P28" i="42"/>
  <c r="S28" i="42"/>
  <c r="O30" i="2"/>
  <c r="K18" i="2"/>
  <c r="K28" i="2" s="1"/>
  <c r="O31" i="2"/>
  <c r="J17" i="2"/>
  <c r="J27" i="2" s="1"/>
  <c r="L17" i="2"/>
  <c r="L27" i="2" s="1"/>
  <c r="P31" i="2"/>
  <c r="Q28" i="42"/>
  <c r="J26" i="2"/>
  <c r="S22" i="53" l="1"/>
  <c r="P22" i="53"/>
  <c r="X22" i="53" s="1"/>
  <c r="R31" i="2"/>
  <c r="T31" i="2"/>
  <c r="P15" i="44"/>
  <c r="Q31" i="2"/>
  <c r="Q30" i="2"/>
  <c r="R20" i="2"/>
  <c r="J18" i="2"/>
  <c r="J28" i="2" s="1"/>
  <c r="S20" i="2" l="1"/>
  <c r="R30" i="2"/>
  <c r="N28" i="42"/>
  <c r="O28" i="42"/>
  <c r="T20" i="2" l="1"/>
  <c r="S30" i="2"/>
  <c r="S31" i="42"/>
  <c r="L31" i="42"/>
  <c r="Q31" i="42"/>
  <c r="N31" i="42"/>
  <c r="O31" i="42"/>
  <c r="K31" i="42"/>
  <c r="P31" i="42"/>
  <c r="M31" i="42"/>
  <c r="R31" i="42"/>
  <c r="J31" i="42"/>
  <c r="U20" i="2" l="1"/>
  <c r="U30" i="2" s="1"/>
  <c r="T30" i="2"/>
  <c r="J96" i="42"/>
  <c r="K54" i="42"/>
  <c r="K56" i="42" s="1"/>
  <c r="S54" i="42"/>
  <c r="S56" i="42" s="1"/>
  <c r="P54" i="42"/>
  <c r="P56" i="42" s="1"/>
  <c r="L96" i="42"/>
  <c r="Q54" i="42"/>
  <c r="Q56" i="42" s="1"/>
  <c r="K96" i="42"/>
  <c r="R54" i="42"/>
  <c r="R56" i="42" s="1"/>
  <c r="N96" i="42"/>
  <c r="J54" i="42"/>
  <c r="O96" i="42"/>
  <c r="M96" i="42"/>
  <c r="J56" i="42" l="1"/>
  <c r="L54" i="42"/>
  <c r="K16" i="2" l="1"/>
  <c r="L56" i="42"/>
  <c r="K26" i="2" l="1"/>
  <c r="L16" i="2"/>
  <c r="L26" i="2" l="1"/>
  <c r="M33" i="42" l="1"/>
  <c r="N54" i="42" l="1"/>
  <c r="N56" i="42" s="1"/>
  <c r="Q32" i="53" l="1"/>
  <c r="P92" i="42"/>
  <c r="Q92" i="42" l="1"/>
  <c r="P14" i="44"/>
  <c r="P96" i="42"/>
  <c r="R32" i="53"/>
  <c r="R92" i="42"/>
  <c r="Q14" i="44" l="1"/>
  <c r="Q96" i="42"/>
  <c r="S32" i="53"/>
  <c r="S92" i="42"/>
  <c r="R14" i="44"/>
  <c r="R96" i="42"/>
  <c r="S14" i="44" l="1"/>
  <c r="S96" i="42"/>
  <c r="T32" i="53"/>
  <c r="X32" i="53" s="1"/>
  <c r="S1" i="53" s="1"/>
  <c r="G14" i="16" s="1"/>
  <c r="T92" i="42"/>
  <c r="T14" i="44" l="1"/>
  <c r="T96" i="42"/>
  <c r="M12" i="2" l="1"/>
  <c r="M17" i="2" s="1"/>
  <c r="M27" i="2" l="1"/>
  <c r="M16" i="2"/>
  <c r="M18" i="2"/>
  <c r="T64" i="55"/>
  <c r="M29" i="2"/>
  <c r="L19" i="2"/>
  <c r="T65" i="55" l="1"/>
  <c r="M26" i="2"/>
  <c r="M28" i="2"/>
  <c r="L29" i="2"/>
  <c r="K19" i="2"/>
  <c r="J19" i="2" l="1"/>
  <c r="J29" i="2" s="1"/>
  <c r="K29" i="2"/>
  <c r="N12" i="2"/>
  <c r="M22" i="2" s="1"/>
  <c r="T68" i="55"/>
  <c r="N17" i="2" l="1"/>
  <c r="N18" i="2"/>
  <c r="T67" i="55"/>
  <c r="T1" i="55" s="1"/>
  <c r="G11" i="16" s="1"/>
  <c r="S1" i="16" s="1"/>
  <c r="M32" i="2"/>
  <c r="L22" i="2"/>
  <c r="N16" i="2"/>
  <c r="N32" i="2"/>
  <c r="M20" i="2"/>
  <c r="N19" i="2"/>
  <c r="N30" i="2"/>
  <c r="M21" i="2"/>
  <c r="N31" i="2"/>
  <c r="O18" i="2" l="1"/>
  <c r="N28" i="2"/>
  <c r="O17" i="2"/>
  <c r="N27" i="2"/>
  <c r="L32" i="2"/>
  <c r="K22" i="2"/>
  <c r="L21" i="2"/>
  <c r="M31" i="2"/>
  <c r="M30" i="2"/>
  <c r="L20" i="2"/>
  <c r="L13" i="42"/>
  <c r="L28" i="42" s="1"/>
  <c r="L21" i="42"/>
  <c r="N29" i="2"/>
  <c r="O19" i="2"/>
  <c r="W1" i="53"/>
  <c r="V1" i="4"/>
  <c r="W1" i="2"/>
  <c r="W1" i="42"/>
  <c r="W1" i="58"/>
  <c r="V1" i="54"/>
  <c r="W1" i="44"/>
  <c r="W1" i="55"/>
  <c r="M21" i="42"/>
  <c r="M13" i="42"/>
  <c r="M28" i="42" s="1"/>
  <c r="N26" i="2"/>
  <c r="O16" i="2"/>
  <c r="P16" i="2" s="1"/>
  <c r="Q16" i="2" l="1"/>
  <c r="Q26" i="2" s="1"/>
  <c r="K13" i="42"/>
  <c r="K28" i="42" s="1"/>
  <c r="P17" i="2"/>
  <c r="Q17" i="2" s="1"/>
  <c r="O27" i="2"/>
  <c r="O28" i="2"/>
  <c r="P18" i="2"/>
  <c r="O26" i="2"/>
  <c r="K20" i="2"/>
  <c r="L30" i="2"/>
  <c r="L31" i="2"/>
  <c r="K21" i="2"/>
  <c r="O29" i="2"/>
  <c r="P19" i="2"/>
  <c r="K32" i="2"/>
  <c r="J22" i="2"/>
  <c r="J32" i="2" s="1"/>
  <c r="K21" i="42"/>
  <c r="P28" i="2" l="1"/>
  <c r="Q18" i="2"/>
  <c r="P76" i="42"/>
  <c r="T76" i="42"/>
  <c r="Q76" i="42"/>
  <c r="S76" i="42"/>
  <c r="R76" i="42"/>
  <c r="N76" i="42"/>
  <c r="N86" i="42" s="1"/>
  <c r="O76" i="42"/>
  <c r="O86" i="42" s="1"/>
  <c r="L76" i="42"/>
  <c r="L86" i="42" s="1"/>
  <c r="M76" i="42"/>
  <c r="M86" i="42" s="1"/>
  <c r="J76" i="42"/>
  <c r="J86" i="42" s="1"/>
  <c r="K76" i="42"/>
  <c r="K86" i="42" s="1"/>
  <c r="P29" i="2"/>
  <c r="Q19" i="2"/>
  <c r="P27" i="2"/>
  <c r="P26" i="2"/>
  <c r="K23" i="42"/>
  <c r="P17" i="42"/>
  <c r="P18" i="42" s="1"/>
  <c r="Q17" i="42"/>
  <c r="Q18" i="42" s="1"/>
  <c r="J17" i="42"/>
  <c r="J18" i="42" s="1"/>
  <c r="S25" i="42"/>
  <c r="S26" i="42" s="1"/>
  <c r="R25" i="42"/>
  <c r="R26" i="42" s="1"/>
  <c r="Q25" i="42"/>
  <c r="Q26" i="42" s="1"/>
  <c r="K17" i="42"/>
  <c r="K18" i="42" s="1"/>
  <c r="M17" i="42"/>
  <c r="M18" i="42" s="1"/>
  <c r="M25" i="42"/>
  <c r="M26" i="42" s="1"/>
  <c r="R17" i="42"/>
  <c r="R18" i="42" s="1"/>
  <c r="T17" i="42"/>
  <c r="T18" i="42" s="1"/>
  <c r="O25" i="42"/>
  <c r="O26" i="42" s="1"/>
  <c r="L17" i="42"/>
  <c r="L18" i="42" s="1"/>
  <c r="N25" i="42"/>
  <c r="N26" i="42" s="1"/>
  <c r="T25" i="42"/>
  <c r="T26" i="42" s="1"/>
  <c r="J25" i="42"/>
  <c r="J26" i="42" s="1"/>
  <c r="P25" i="42"/>
  <c r="P26" i="42" s="1"/>
  <c r="L25" i="42"/>
  <c r="L26" i="42" s="1"/>
  <c r="K25" i="42"/>
  <c r="K26" i="42" s="1"/>
  <c r="S17" i="42"/>
  <c r="S18" i="42" s="1"/>
  <c r="N17" i="42"/>
  <c r="N18" i="42" s="1"/>
  <c r="J15" i="42"/>
  <c r="R23" i="42"/>
  <c r="K15" i="42"/>
  <c r="Q23" i="42"/>
  <c r="N23" i="42"/>
  <c r="J23" i="42"/>
  <c r="N15" i="42"/>
  <c r="R15" i="42"/>
  <c r="P23" i="42"/>
  <c r="M23" i="42"/>
  <c r="S23" i="42"/>
  <c r="S15" i="42"/>
  <c r="O15" i="42"/>
  <c r="L23" i="42"/>
  <c r="O23" i="42"/>
  <c r="Q15" i="42"/>
  <c r="J21" i="2"/>
  <c r="J31" i="2" s="1"/>
  <c r="K31" i="2"/>
  <c r="K30" i="2"/>
  <c r="J20" i="2"/>
  <c r="J30" i="2" s="1"/>
  <c r="J21" i="42"/>
  <c r="J13" i="42"/>
  <c r="J28" i="42" s="1"/>
  <c r="O37" i="42" l="1"/>
  <c r="Q86" i="42"/>
  <c r="S86" i="42"/>
  <c r="T86" i="42"/>
  <c r="R86" i="42"/>
  <c r="P86" i="42"/>
  <c r="R16" i="2"/>
  <c r="Q29" i="2"/>
  <c r="R19" i="2"/>
  <c r="Q28" i="2"/>
  <c r="R18" i="2"/>
  <c r="Q27" i="2"/>
  <c r="R17" i="2"/>
  <c r="M35" i="42"/>
  <c r="M54" i="42" s="1"/>
  <c r="M37" i="42"/>
  <c r="S17" i="2" l="1"/>
  <c r="R27" i="2"/>
  <c r="S18" i="2"/>
  <c r="R28" i="2"/>
  <c r="S19" i="2"/>
  <c r="R29" i="2"/>
  <c r="S16" i="2"/>
  <c r="R26" i="2"/>
  <c r="M56" i="42"/>
  <c r="T16" i="2" l="1"/>
  <c r="S26" i="2"/>
  <c r="T19" i="2"/>
  <c r="S29" i="2"/>
  <c r="T18" i="2"/>
  <c r="S28" i="2"/>
  <c r="T17" i="2"/>
  <c r="S27" i="2"/>
  <c r="U17" i="2" l="1"/>
  <c r="U27" i="2" s="1"/>
  <c r="T27" i="2"/>
  <c r="U19" i="2"/>
  <c r="U29" i="2" s="1"/>
  <c r="T29" i="2"/>
  <c r="U18" i="2"/>
  <c r="U28" i="2" s="1"/>
  <c r="T28" i="2"/>
  <c r="U16" i="2"/>
  <c r="U26" i="2" s="1"/>
  <c r="T26" i="2"/>
  <c r="N70" i="58" l="1"/>
  <c r="J15" i="58" l="1"/>
  <c r="L15" i="58" l="1"/>
  <c r="L14" i="42" l="1"/>
  <c r="L15" i="42" s="1"/>
  <c r="K15" i="58" l="1"/>
  <c r="N15" i="58" l="1"/>
  <c r="M15" i="58" l="1"/>
  <c r="M14" i="42" l="1"/>
  <c r="M15" i="42" s="1"/>
  <c r="O38" i="58"/>
  <c r="O16" i="42" l="1"/>
  <c r="O17" i="42" s="1"/>
  <c r="O18" i="42" s="1"/>
  <c r="O33" i="42" s="1"/>
  <c r="O35" i="42" s="1"/>
  <c r="O54" i="42" l="1"/>
  <c r="O56" i="42" s="1"/>
  <c r="P102" i="42" l="1"/>
  <c r="P103" i="42"/>
  <c r="T102" i="42"/>
  <c r="Q103" i="42"/>
  <c r="Q102" i="42"/>
  <c r="R103" i="42"/>
  <c r="T103" i="42"/>
  <c r="S102" i="42"/>
  <c r="S103" i="42"/>
  <c r="R102" i="42"/>
  <c r="P104" i="42" l="1"/>
  <c r="R104" i="42"/>
  <c r="Q104" i="42"/>
  <c r="T104" i="42"/>
  <c r="S104" i="42"/>
  <c r="Q13" i="44"/>
  <c r="R13" i="44"/>
  <c r="P13" i="44"/>
  <c r="S13" i="44"/>
  <c r="T13" i="44"/>
  <c r="F83" i="5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<sst xmlns="http://schemas.openxmlformats.org/spreadsheetml/2006/main" count="736" uniqueCount="214">
  <si>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</si>
  <si>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</si>
  <si>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</si>
  <si>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</si>
  <si>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</si>
  <si>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</si>
  <si>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</si>
  <si>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</si>
  <si>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</si>
  <si>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</si>
  <si>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</si>
  <si>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</si>
  <si>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</si>
  <si>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</si>
  <si>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</si>
  <si>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</si>
  <si>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</si>
  <si>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</si>
  <si>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</si>
  <si>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</si>
  <si>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</si>
  <si>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</si>
  <si>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</si>
  <si>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</si>
  <si>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</si>
  <si>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</si>
  <si>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</si>
  <si>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</si>
  <si>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</si>
  <si>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</si>
  <si>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</si>
  <si>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</si>
  <si>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</si>
  <si>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</si>
  <si>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</si>
  <si>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</si>
  <si>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</si>
  <si>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</si>
  <si>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</si>
  <si>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</si>
  <si>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</si>
  <si>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</si>
  <si>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</si>
  <si>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</si>
  <si>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</si>
  <si>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</si>
  <si>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</si>
  <si>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</si>
  <si>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</si>
  <si>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</si>
  <si>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</si>
  <si>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</si>
  <si>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</si>
  <si>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</si>
  <si>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</si>
  <si>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</si>
  <si>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</si>
  <si>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</si>
  <si>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</si>
  <si>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</si>
  <si>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</si>
  <si>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</si>
  <si>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</si>
  <si>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</si>
  <si>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</si>
  <si>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</si>
  <si>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</si>
  <si>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</si>
  <si>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</si>
  <si>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</si>
  <si>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</si>
  <si>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</si>
  <si>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</si>
  <si>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</si>
  <si>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</si>
  <si>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</si>
  <si>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</si>
  <si>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</si>
  <si>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</si>
  <si>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</si>
  <si>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</si>
  <si>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</si>
  <si>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</si>
  <si>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</si>
  <si>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</si>
  <si>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</si>
  <si>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</si>
  <si>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</si>
  <si>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</si>
  <si>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</si>
  <si>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</si>
  <si>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</si>
  <si>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</si>
  <si>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</si>
  <si>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</si>
  <si>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</si>
  <si>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</si>
  <si>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</si>
  <si>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</si>
  <si>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</si>
  <si>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</si>
  <si>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</si>
  <si>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</si>
  <si>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</si>
  <si>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</si>
  <si>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</si>
  <si>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</si>
  <si>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</si>
  <si>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</si>
  <si>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</si>
  <si>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</si>
  <si>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</si>
  <si>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</si>
  <si>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</si>
  <si>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</si>
  <si>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</si>
  <si>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</si>
  <si>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</si>
  <si>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</si>
  <si>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</si>
  <si>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</si>
  <si>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</si>
  <si>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</si>
  <si>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</si>
  <si>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</si>
  <si>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</si>
  <si>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</si>
  <si>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</si>
  <si>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</si>
  <si>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</si>
  <si>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</si>
  <si>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</si>
  <si>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</si>
  <si>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</si>
  <si>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</si>
  <si>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</si>
  <si>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</si>
  <si>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</si>
  <si>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</si>
  <si>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</si>
  <si>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</si>
  <si>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</si>
  <si>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</si>
  <si>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</si>
  <si>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</si>
  <si>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</si>
  <si>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</si>
  <si>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</si>
  <si>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</si>
  <si>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</si>
  <si>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</si>
  <si>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</si>
  <si>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</si>
  <si>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</si>
  <si>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</si>
  <si>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</si>
  <si>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</si>
  <si>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</si>
  <si>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</si>
  <si>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</si>
  <si>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</si>
  <si>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</si>
  <si>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</si>
  <si>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</si>
  <si>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</si>
  <si>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</si>
  <si>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SFA CD</t>
  </si>
  <si>
    <t>LSE CD</t>
  </si>
  <si>
    <t>LSE TLG</t>
  </si>
  <si>
    <t>MPFP</t>
  </si>
  <si>
    <t>Forecast output growth</t>
  </si>
  <si>
    <t>Total opex to be trended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</si>
  <si>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</si>
  <si>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</si>
  <si>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</si>
  <si>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</si>
  <si>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</si>
  <si>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</si>
  <si>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</si>
  <si>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</si>
  <si>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Previous period year 5.5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</si>
  <si>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</si>
  <si>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</si>
  <si>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</si>
  <si>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</si>
  <si>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</si>
  <si>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</si>
  <si>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</si>
  <si>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</si>
  <si>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</si>
  <si>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</si>
  <si>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2021 half year allowance, category specific forecasts</t>
  </si>
  <si>
    <t>2021 half year allowance, category specific forecasts, annualised</t>
  </si>
  <si>
    <t>AER opex model v1.9</t>
  </si>
  <si>
    <t>AusNet Services</t>
  </si>
  <si>
    <t>Input | Opex allowances  2018 to 2022</t>
  </si>
  <si>
    <t>Input | Opex allowances  2023 half year</t>
  </si>
  <si>
    <t>HY 2023</t>
  </si>
  <si>
    <t>Movement in provisions</t>
  </si>
  <si>
    <t>UAFG (unaccounted for gas)</t>
  </si>
  <si>
    <t>Non-reference service</t>
  </si>
  <si>
    <t>Ancillary reference service</t>
  </si>
  <si>
    <t>Mains length</t>
  </si>
  <si>
    <t>WPI - BIS Oxford</t>
  </si>
  <si>
    <t>WPI - average</t>
  </si>
  <si>
    <t>ESV levies</t>
  </si>
  <si>
    <t>AN: movement in provision, UAFG, non-reference services and ARS sourced from AusNet Gas Distribution Workbook 1 - Consolidated Information (Historical) (Table F7 , Table F4.1.3 and Table E21.2). The original amount using table F7 is -$7.91m of MIP. However, this is incorrect because it's being driven by a -$7.3m "unused amounts reversed during the period". A correction has been name. Kim's email dated 2021_02_15 clarifies this. Kim's email also clarifies the approach here is correct, i.e. we subtract MIP, UAFG and non-reference services, but not DRC. Kim's email dated 24/06/21 clarifies that total opex includes NRS and ARS.</t>
  </si>
  <si>
    <t>AN: movement in provision, UAFG, non-reference services and ARS sourced from AusNet Gas Distribution Workbook 1 - Consolidated Information (Historical) (Table F7 , Table F4.1.3 and Table E21.2). Kim's email dated 2021_02_15 clarifies the approach here is correct, i.e. we subtract MIP, UAFG and non-reference services, but not DRC. Kim's email dated 24/06/21 clarifies that total opex includes NRS and ARS.</t>
  </si>
  <si>
    <t>AN: movement in provision sourced from AusNet Gas Distribution Workbook 2 - Consolidated Information (Table F7). Kim emailed it through on 06/05/2021.
UAFG sourced from AusNet Gas Distribution Workbook 2 - Consolidated Information (Table F4.1.1). Kim emailed it through on 06/05/2021.
Non-reference services and ARS sourced from AusNet Gas Distribution Workbook 2 - Consolidated Information (Table E21.2). Kim emailed it through on 06/05/2021. Kim's email dated 24/06/21 clarifies that total opex includes NRS and ARS.</t>
  </si>
  <si>
    <t>AN: In Rebecca Symonds' email (dated 2021_05_18), she said total opex numbers above exclude movement in provisions, UAFG, non-reference services and ARS. Therefore the numbers are zero here. The ARS is negative, because I needed to add this back in, as per the AER's template model</t>
  </si>
  <si>
    <t>Priority Service program</t>
  </si>
  <si>
    <t>EPA</t>
  </si>
  <si>
    <t>Expensed corporate overhead</t>
  </si>
  <si>
    <t>Expensing of IT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</si>
</sst>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/mmm"/>
    <numFmt numFmtId="170" formatCode="_(#,##0_);\(#,##0\);_(&quot;-&quot;_)"/>
    <numFmt numFmtId="171" formatCode="_(#,##0.000_);\(#,##0.000\);_(&quot;-&quot;_)"/>
    <numFmt numFmtId="172" formatCode="_(#,##0.00_);\(#,##0.00\);_(&quot;-&quot;_)"/>
    <numFmt numFmtId="173" formatCode="[$-C09]dd\-mmm\-yy;@"/>
    <numFmt numFmtId="174" formatCode="_-* #,##0.0000_-;\-* #,##0.0000_-;_-* &quot;-&quot;??_-;_-@_-"/>
    <numFmt numFmtId="175" formatCode="_(#,##0.0000_);\(#,##0.0000\);_(&quot;-&quot;_)"/>
    <numFmt numFmtId="176" formatCode="_-* #,##0.00_-;[Red]\(#,##0.00\)_-;_-* &quot;-&quot;??_-;_-@_-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0.00000%"/>
    <numFmt numFmtId="206" formatCode="_(* #,##0.0_);_(* \(#,##0.0\);_(* &quot;-&quot;?_);_(@_)"/>
    <numFmt numFmtId="207" formatCode="#,##0.000_ ;[Red]\-#,##0.000\ "/>
    <numFmt numFmtId="208" formatCode="_-* #,##0_-;[Red]\(#,##0\)_-;_-* &quot;-&quot;??_-;_-@_-"/>
    <numFmt numFmtId="209" formatCode="_(* #,##0_);_(* \(#,##0\);_(* &quot;-&quot;??_);_(@_)"/>
    <numFmt numFmtId="210" formatCode="_-* #,##0.00000_-;\-* #,##0.00000_-;_-* &quot;-&quot;??_-;_-@_-"/>
    <numFmt numFmtId="211" formatCode="_-* #,##0.000_-;\-* #,##0.000_-;_-* &quot;-&quot;??_-;_-@_-"/>
    <numFmt numFmtId="212" formatCode="0.0000_ ;\-0.0000\ "/>
  </numFmts>
  <fonts count="10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9"/>
      <name val="Arial"/>
      <family val="2"/>
    </font>
    <font>
      <sz val="11"/>
      <color theme="1"/>
      <name val="Calibri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</borders>
  <cellStyleXfs count="397">
    <xf numFmtId="0" fontId="0" fillId="0" borderId="0"/>
    <xf numFmtId="169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0" fontId="16" fillId="0" borderId="5">
      <alignment horizontal="right" vertical="center"/>
      <protection locked="0"/>
    </xf>
    <xf numFmtId="164" fontId="14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16" fillId="0" borderId="0"/>
    <xf numFmtId="176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6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7" fontId="23" fillId="4" borderId="0" applyNumberFormat="0" applyFont="0" applyBorder="0" applyAlignment="0">
      <alignment horizontal="right"/>
    </xf>
    <xf numFmtId="167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7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8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7" fontId="23" fillId="36" borderId="0" applyFont="0" applyBorder="0" applyAlignment="0">
      <alignment horizontal="right"/>
      <protection locked="0"/>
    </xf>
    <xf numFmtId="167" fontId="23" fillId="36" borderId="0" applyFont="0" applyBorder="0" applyAlignment="0">
      <alignment horizontal="right"/>
      <protection locked="0"/>
    </xf>
    <xf numFmtId="181" fontId="23" fillId="6" borderId="0" applyFont="0" applyBorder="0">
      <alignment horizontal="right"/>
      <protection locked="0"/>
    </xf>
    <xf numFmtId="181" fontId="23" fillId="6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2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3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4" fontId="23" fillId="0" borderId="0" applyFill="0" applyBorder="0"/>
    <xf numFmtId="184" fontId="23" fillId="0" borderId="0" applyFill="0" applyBorder="0"/>
    <xf numFmtId="184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5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6" fontId="23" fillId="0" borderId="0"/>
    <xf numFmtId="186" fontId="23" fillId="0" borderId="0"/>
    <xf numFmtId="186" fontId="23" fillId="0" borderId="0"/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189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2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0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164" fontId="14" fillId="0" borderId="0" applyFont="0" applyFill="0" applyBorder="0" applyAlignment="0" applyProtection="0"/>
    <xf numFmtId="0" fontId="4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86" fillId="53" borderId="0">
      <alignment horizontal="left" vertical="center"/>
      <protection locked="0"/>
    </xf>
    <xf numFmtId="0" fontId="93" fillId="52" borderId="0">
      <alignment vertical="center"/>
      <protection locked="0"/>
    </xf>
    <xf numFmtId="0" fontId="23" fillId="0" borderId="0" applyFill="0"/>
    <xf numFmtId="44" fontId="3" fillId="0" borderId="0" applyFont="0" applyFill="0" applyBorder="0" applyAlignment="0" applyProtection="0"/>
    <xf numFmtId="0" fontId="23" fillId="0" borderId="0"/>
    <xf numFmtId="178" fontId="23" fillId="0" borderId="0"/>
    <xf numFmtId="0" fontId="94" fillId="0" borderId="0"/>
    <xf numFmtId="0" fontId="94" fillId="0" borderId="0"/>
    <xf numFmtId="9" fontId="3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10" borderId="0" applyFont="0" applyBorder="0">
      <alignment horizontal="right"/>
      <protection locked="0"/>
    </xf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3" fillId="0" borderId="0" applyFill="0" applyBorder="0">
      <alignment vertical="center"/>
    </xf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10" borderId="0" applyFont="0" applyBorder="0">
      <alignment horizontal="right"/>
    </xf>
    <xf numFmtId="41" fontId="23" fillId="36" borderId="0" applyFont="0" applyBorder="0" applyAlignment="0">
      <alignment horizontal="right"/>
      <protection locked="0"/>
    </xf>
    <xf numFmtId="41" fontId="23" fillId="51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10" borderId="0" applyFont="0" applyBorder="0">
      <alignment horizontal="right"/>
      <protection locked="0"/>
    </xf>
    <xf numFmtId="43" fontId="23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44" fontId="23" fillId="0" borderId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22" fillId="0" borderId="0"/>
    <xf numFmtId="0" fontId="3" fillId="0" borderId="0"/>
    <xf numFmtId="0" fontId="3" fillId="0" borderId="0"/>
    <xf numFmtId="0" fontId="63" fillId="9" borderId="30" applyBorder="0" applyProtection="0">
      <alignment horizontal="centerContinuous" vertical="center"/>
    </xf>
    <xf numFmtId="190" fontId="23" fillId="0" borderId="30" applyBorder="0" applyProtection="0">
      <alignment horizontal="right"/>
    </xf>
    <xf numFmtId="190" fontId="23" fillId="0" borderId="30" applyBorder="0" applyProtection="0">
      <alignment horizontal="right"/>
    </xf>
    <xf numFmtId="178" fontId="23" fillId="0" borderId="0"/>
    <xf numFmtId="0" fontId="3" fillId="0" borderId="0">
      <protection locked="0"/>
    </xf>
    <xf numFmtId="207" fontId="23" fillId="54" borderId="32" applyFill="0">
      <alignment horizontal="right" vertical="center" wrapText="1"/>
      <protection locked="0"/>
    </xf>
    <xf numFmtId="207" fontId="90" fillId="55" borderId="31">
      <alignment horizontal="right" vertical="center" wrapText="1"/>
    </xf>
    <xf numFmtId="0" fontId="3" fillId="0" borderId="0"/>
    <xf numFmtId="0" fontId="97" fillId="0" borderId="0"/>
    <xf numFmtId="9" fontId="3" fillId="0" borderId="0" applyFont="0" applyFill="0" applyBorder="0" applyAlignment="0" applyProtection="0"/>
    <xf numFmtId="0" fontId="33" fillId="31" borderId="12" applyNumberFormat="0" applyAlignment="0" applyProtection="0"/>
    <xf numFmtId="0" fontId="3" fillId="0" borderId="0"/>
    <xf numFmtId="0" fontId="3" fillId="0" borderId="0"/>
    <xf numFmtId="0" fontId="23" fillId="0" borderId="0" applyFill="0"/>
    <xf numFmtId="0" fontId="3" fillId="0" borderId="0"/>
    <xf numFmtId="0" fontId="86" fillId="53" borderId="0">
      <alignment horizontal="left" vertic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06" fontId="23" fillId="10" borderId="0" applyFont="0" applyBorder="0">
      <alignment horizontal="right"/>
    </xf>
    <xf numFmtId="180" fontId="23" fillId="10" borderId="0" applyFont="0" applyBorder="0" applyAlignment="0"/>
    <xf numFmtId="41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3" fontId="23" fillId="56" borderId="0" applyFont="0" applyBorder="0">
      <protection locked="0"/>
    </xf>
    <xf numFmtId="180" fontId="43" fillId="56" borderId="0" applyBorder="0" applyAlignment="0">
      <protection locked="0"/>
    </xf>
    <xf numFmtId="180" fontId="99" fillId="57" borderId="0" applyBorder="0" applyAlignment="0"/>
    <xf numFmtId="206" fontId="96" fillId="4" borderId="29" applyFont="0" applyBorder="0" applyAlignment="0"/>
    <xf numFmtId="180" fontId="43" fillId="4" borderId="0" applyFont="0" applyBorder="0" applyAlignment="0"/>
    <xf numFmtId="0" fontId="3" fillId="0" borderId="0">
      <protection locked="0"/>
    </xf>
    <xf numFmtId="0" fontId="23" fillId="0" borderId="0"/>
    <xf numFmtId="43" fontId="23" fillId="0" borderId="0" applyFont="0" applyFill="0" applyBorder="0" applyAlignment="0" applyProtection="0"/>
    <xf numFmtId="0" fontId="3" fillId="0" borderId="0"/>
    <xf numFmtId="0" fontId="23" fillId="3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/>
    <xf numFmtId="41" fontId="23" fillId="36" borderId="0" applyFont="0" applyBorder="0" applyAlignment="0">
      <alignment horizontal="right"/>
      <protection locked="0"/>
    </xf>
    <xf numFmtId="9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0" fontId="23" fillId="0" borderId="0"/>
    <xf numFmtId="43" fontId="23" fillId="0" borderId="0" applyFont="0" applyFill="0" applyBorder="0" applyAlignment="0" applyProtection="0"/>
    <xf numFmtId="208" fontId="100" fillId="58" borderId="33" applyBorder="0">
      <alignment horizontal="right"/>
      <protection locked="0"/>
    </xf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 applyAlignment="1" applyProtection="1"/>
    <xf numFmtId="0" fontId="7" fillId="5" borderId="0" xfId="0" applyFont="1" applyFill="1" applyBorder="1"/>
    <xf numFmtId="0" fontId="7" fillId="6" borderId="0" xfId="0" applyFont="1" applyFill="1" applyBorder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4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71" fontId="16" fillId="0" borderId="0" xfId="5" applyNumberFormat="1" applyFont="1" applyFill="1" applyBorder="1" applyAlignment="1" applyProtection="1">
      <alignment horizontal="center" vertic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2" fontId="21" fillId="0" borderId="0" xfId="5" applyNumberFormat="1" applyFont="1" applyFill="1" applyBorder="1" applyAlignment="1" applyProtection="1">
      <alignment horizontal="center" vertical="center"/>
    </xf>
    <xf numFmtId="173" fontId="7" fillId="0" borderId="0" xfId="0" applyNumberFormat="1" applyFont="1"/>
    <xf numFmtId="175" fontId="16" fillId="0" borderId="0" xfId="5" applyNumberFormat="1" applyFont="1" applyFill="1" applyBorder="1" applyAlignment="1" applyProtection="1">
      <alignment horizontal="center" vertical="center"/>
    </xf>
    <xf numFmtId="168" fontId="7" fillId="3" borderId="0" xfId="0" applyNumberFormat="1" applyFont="1" applyFill="1" applyProtection="1"/>
    <xf numFmtId="168" fontId="8" fillId="3" borderId="0" xfId="0" applyNumberFormat="1" applyFont="1" applyFill="1" applyAlignment="1" applyProtection="1">
      <alignment horizontal="center"/>
    </xf>
    <xf numFmtId="168" fontId="7" fillId="0" borderId="0" xfId="0" applyNumberFormat="1" applyFont="1" applyProtection="1"/>
    <xf numFmtId="168" fontId="8" fillId="0" borderId="0" xfId="0" applyNumberFormat="1" applyFont="1" applyAlignment="1" applyProtection="1">
      <alignment horizontal="center"/>
    </xf>
    <xf numFmtId="168" fontId="13" fillId="0" borderId="0" xfId="0" applyNumberFormat="1" applyFont="1" applyProtection="1"/>
    <xf numFmtId="168" fontId="19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Border="1" applyAlignment="1">
      <alignment horizontal="left" vertical="center"/>
    </xf>
    <xf numFmtId="0" fontId="72" fillId="38" borderId="0" xfId="0" applyFont="1" applyFill="1" applyBorder="1" applyAlignment="1">
      <alignment horizontal="left" indent="9"/>
    </xf>
    <xf numFmtId="0" fontId="73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4" fillId="38" borderId="0" xfId="0" applyNumberFormat="1" applyFont="1" applyFill="1" applyBorder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4" fillId="39" borderId="4" xfId="0" applyFont="1" applyFill="1" applyBorder="1"/>
    <xf numFmtId="16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Border="1" applyAlignment="1">
      <alignment horizontal="left"/>
    </xf>
    <xf numFmtId="0" fontId="74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7" fillId="40" borderId="0" xfId="0" applyFont="1" applyFill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 applyProtection="1">
      <alignment horizontal="center" wrapText="1"/>
    </xf>
    <xf numFmtId="191" fontId="7" fillId="41" borderId="3" xfId="0" applyNumberFormat="1" applyFont="1" applyFill="1" applyBorder="1" applyAlignment="1" applyProtection="1">
      <alignment horizontal="center"/>
      <protection locked="0"/>
    </xf>
    <xf numFmtId="195" fontId="7" fillId="0" borderId="0" xfId="0" applyNumberFormat="1" applyFont="1" applyAlignment="1" applyProtection="1">
      <alignment horizontal="left"/>
    </xf>
    <xf numFmtId="193" fontId="7" fillId="0" borderId="0" xfId="0" applyNumberFormat="1" applyFont="1" applyProtection="1"/>
    <xf numFmtId="168" fontId="8" fillId="0" borderId="0" xfId="0" applyNumberFormat="1" applyFont="1" applyAlignment="1" applyProtection="1">
      <alignment horizontal="center" wrapText="1"/>
    </xf>
    <xf numFmtId="168" fontId="9" fillId="0" borderId="0" xfId="0" applyNumberFormat="1" applyFont="1" applyProtection="1"/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2" fillId="38" borderId="0" xfId="0" applyFont="1" applyFill="1" applyBorder="1" applyAlignment="1" applyProtection="1">
      <alignment horizontal="left" vertical="center"/>
    </xf>
    <xf numFmtId="0" fontId="72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7" fillId="40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7" fillId="6" borderId="0" xfId="0" applyFont="1" applyFill="1" applyBorder="1" applyProtection="1"/>
    <xf numFmtId="164" fontId="24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4" fillId="38" borderId="1" xfId="0" applyFont="1" applyFill="1" applyBorder="1" applyAlignment="1" applyProtection="1">
      <alignment horizontal="left"/>
    </xf>
    <xf numFmtId="0" fontId="74" fillId="38" borderId="1" xfId="0" applyFont="1" applyFill="1" applyBorder="1" applyAlignment="1" applyProtection="1">
      <alignment horizontal="left" indent="9"/>
    </xf>
    <xf numFmtId="0" fontId="24" fillId="38" borderId="2" xfId="0" applyNumberFormat="1" applyFont="1" applyFill="1" applyBorder="1" applyProtection="1"/>
    <xf numFmtId="0" fontId="24" fillId="38" borderId="2" xfId="0" applyFont="1" applyFill="1" applyBorder="1" applyProtection="1"/>
    <xf numFmtId="0" fontId="75" fillId="38" borderId="2" xfId="0" applyNumberFormat="1" applyFont="1" applyFill="1" applyBorder="1" applyProtection="1"/>
    <xf numFmtId="0" fontId="75" fillId="39" borderId="4" xfId="0" applyFont="1" applyFill="1" applyBorder="1" applyProtection="1"/>
    <xf numFmtId="0" fontId="75" fillId="39" borderId="4" xfId="0" applyFont="1" applyFill="1" applyBorder="1" applyAlignment="1" applyProtection="1">
      <alignment horizontal="center"/>
    </xf>
    <xf numFmtId="0" fontId="20" fillId="39" borderId="4" xfId="0" applyFont="1" applyFill="1" applyBorder="1" applyAlignment="1" applyProtection="1">
      <alignment horizontal="center" vertical="center"/>
    </xf>
    <xf numFmtId="0" fontId="20" fillId="39" borderId="4" xfId="0" applyFont="1" applyFill="1" applyBorder="1" applyAlignment="1" applyProtection="1">
      <alignment vertical="center"/>
    </xf>
    <xf numFmtId="0" fontId="75" fillId="39" borderId="4" xfId="0" applyFont="1" applyFill="1" applyBorder="1" applyAlignment="1" applyProtection="1">
      <alignment wrapText="1"/>
    </xf>
    <xf numFmtId="165" fontId="20" fillId="39" borderId="4" xfId="0" applyNumberFormat="1" applyFont="1" applyFill="1" applyBorder="1" applyAlignment="1" applyProtection="1">
      <alignment horizontal="center" wrapText="1"/>
    </xf>
    <xf numFmtId="0" fontId="75" fillId="3" borderId="0" xfId="0" applyFont="1" applyFill="1" applyBorder="1" applyAlignment="1" applyProtection="1">
      <alignment wrapText="1"/>
    </xf>
    <xf numFmtId="0" fontId="75" fillId="3" borderId="0" xfId="0" applyFont="1" applyFill="1" applyAlignment="1" applyProtection="1">
      <alignment wrapText="1"/>
    </xf>
    <xf numFmtId="0" fontId="75" fillId="3" borderId="0" xfId="0" applyFont="1" applyFill="1" applyProtection="1"/>
    <xf numFmtId="0" fontId="75" fillId="0" borderId="0" xfId="0" applyFont="1" applyFill="1" applyProtection="1"/>
    <xf numFmtId="0" fontId="75" fillId="0" borderId="0" xfId="0" applyFont="1" applyProtection="1"/>
    <xf numFmtId="0" fontId="0" fillId="39" borderId="4" xfId="0" applyFill="1" applyBorder="1" applyProtection="1"/>
    <xf numFmtId="0" fontId="24" fillId="39" borderId="4" xfId="0" applyFont="1" applyFill="1" applyBorder="1" applyProtection="1"/>
    <xf numFmtId="0" fontId="25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5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9" fillId="0" borderId="0" xfId="0" applyNumberFormat="1" applyFont="1" applyFill="1" applyBorder="1" applyProtection="1"/>
    <xf numFmtId="168" fontId="8" fillId="0" borderId="0" xfId="0" applyNumberFormat="1" applyFont="1" applyFill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Alignment="1" applyProtection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Alignment="1" applyProtection="1">
      <alignment horizontal="left" indent="1"/>
    </xf>
    <xf numFmtId="168" fontId="8" fillId="0" borderId="7" xfId="0" applyNumberFormat="1" applyFont="1" applyBorder="1" applyAlignment="1" applyProtection="1">
      <alignment horizontal="center"/>
    </xf>
    <xf numFmtId="168" fontId="9" fillId="0" borderId="8" xfId="0" applyNumberFormat="1" applyFont="1" applyBorder="1" applyAlignment="1" applyProtection="1">
      <alignment horizontal="left" indent="1"/>
    </xf>
    <xf numFmtId="168" fontId="8" fillId="0" borderId="8" xfId="0" applyNumberFormat="1" applyFont="1" applyBorder="1" applyAlignment="1" applyProtection="1">
      <alignment horizontal="center"/>
    </xf>
    <xf numFmtId="196" fontId="9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 applyProtection="1"/>
    <xf numFmtId="174" fontId="7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Fill="1" applyAlignment="1" applyProtection="1">
      <alignment horizontal="left" indent="2"/>
    </xf>
    <xf numFmtId="168" fontId="19" fillId="0" borderId="8" xfId="0" applyNumberFormat="1" applyFont="1" applyBorder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left" indent="1"/>
    </xf>
    <xf numFmtId="168" fontId="9" fillId="0" borderId="0" xfId="0" applyNumberFormat="1" applyFont="1" applyBorder="1" applyProtection="1"/>
    <xf numFmtId="193" fontId="9" fillId="0" borderId="0" xfId="0" applyNumberFormat="1" applyFont="1" applyBorder="1" applyAlignment="1" applyProtection="1">
      <alignment horizontal="center"/>
    </xf>
    <xf numFmtId="168" fontId="19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9" fontId="9" fillId="0" borderId="0" xfId="0" applyNumberFormat="1" applyFont="1" applyAlignment="1" applyProtection="1">
      <alignment horizontal="center"/>
    </xf>
    <xf numFmtId="197" fontId="13" fillId="0" borderId="4" xfId="5" applyNumberFormat="1" applyFont="1" applyFill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164" fontId="13" fillId="0" borderId="3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0" fontId="11" fillId="38" borderId="2" xfId="0" applyFont="1" applyFill="1" applyBorder="1" applyProtection="1"/>
    <xf numFmtId="0" fontId="12" fillId="38" borderId="2" xfId="0" applyNumberFormat="1" applyFont="1" applyFill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168" fontId="9" fillId="0" borderId="7" xfId="0" applyNumberFormat="1" applyFont="1" applyBorder="1" applyProtection="1"/>
    <xf numFmtId="168" fontId="7" fillId="0" borderId="7" xfId="0" applyNumberFormat="1" applyFont="1" applyBorder="1" applyProtection="1"/>
    <xf numFmtId="168" fontId="9" fillId="0" borderId="4" xfId="0" applyNumberFormat="1" applyFont="1" applyBorder="1" applyAlignment="1" applyProtection="1">
      <alignment horizontal="left"/>
    </xf>
    <xf numFmtId="168" fontId="8" fillId="0" borderId="4" xfId="0" applyNumberFormat="1" applyFont="1" applyBorder="1" applyAlignment="1" applyProtection="1">
      <alignment horizontal="center"/>
    </xf>
    <xf numFmtId="164" fontId="7" fillId="0" borderId="0" xfId="0" applyNumberFormat="1" applyFont="1" applyProtection="1"/>
    <xf numFmtId="168" fontId="7" fillId="0" borderId="0" xfId="0" applyNumberFormat="1" applyFont="1" applyBorder="1" applyProtection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4" fontId="7" fillId="0" borderId="0" xfId="0" applyNumberFormat="1" applyFont="1" applyProtection="1"/>
    <xf numFmtId="192" fontId="7" fillId="8" borderId="3" xfId="0" applyNumberFormat="1" applyFont="1" applyFill="1" applyBorder="1" applyAlignment="1" applyProtection="1">
      <alignment horizontal="left" indent="1"/>
    </xf>
    <xf numFmtId="0" fontId="76" fillId="39" borderId="4" xfId="0" applyFont="1" applyFill="1" applyBorder="1" applyAlignment="1" applyProtection="1"/>
    <xf numFmtId="194" fontId="8" fillId="41" borderId="3" xfId="2" applyNumberFormat="1" applyFont="1" applyFill="1" applyBorder="1" applyAlignment="1" applyProtection="1">
      <alignment horizontal="center"/>
      <protection locked="0"/>
    </xf>
    <xf numFmtId="198" fontId="9" fillId="0" borderId="0" xfId="0" applyNumberFormat="1" applyFont="1" applyBorder="1" applyAlignment="1" applyProtection="1">
      <alignment horizontal="center"/>
    </xf>
    <xf numFmtId="168" fontId="7" fillId="0" borderId="0" xfId="0" applyNumberFormat="1" applyFont="1" applyProtection="1">
      <protection locked="0"/>
    </xf>
    <xf numFmtId="201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2" fontId="75" fillId="39" borderId="4" xfId="0" applyNumberFormat="1" applyFont="1" applyFill="1" applyBorder="1" applyAlignment="1" applyProtection="1">
      <alignment horizontal="center" wrapText="1"/>
    </xf>
    <xf numFmtId="202" fontId="92" fillId="38" borderId="2" xfId="0" applyNumberFormat="1" applyFont="1" applyFill="1" applyBorder="1" applyAlignment="1" applyProtection="1">
      <alignment horizontal="center"/>
    </xf>
    <xf numFmtId="202" fontId="75" fillId="38" borderId="2" xfId="0" applyNumberFormat="1" applyFont="1" applyFill="1" applyBorder="1" applyAlignment="1" applyProtection="1">
      <alignment horizontal="left"/>
    </xf>
    <xf numFmtId="202" fontId="9" fillId="0" borderId="7" xfId="0" applyNumberFormat="1" applyFont="1" applyBorder="1" applyAlignment="1" applyProtection="1">
      <alignment horizontal="center"/>
    </xf>
    <xf numFmtId="202" fontId="7" fillId="0" borderId="0" xfId="0" applyNumberFormat="1" applyFont="1" applyAlignment="1">
      <alignment horizontal="left" indent="1"/>
    </xf>
    <xf numFmtId="202" fontId="8" fillId="0" borderId="0" xfId="0" applyNumberFormat="1" applyFont="1" applyAlignment="1" applyProtection="1">
      <alignment horizontal="center"/>
    </xf>
    <xf numFmtId="202" fontId="8" fillId="41" borderId="22" xfId="0" applyNumberFormat="1" applyFont="1" applyFill="1" applyBorder="1" applyAlignment="1" applyProtection="1">
      <alignment horizontal="center"/>
      <protection locked="0"/>
    </xf>
    <xf numFmtId="202" fontId="9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Protection="1"/>
    <xf numFmtId="202" fontId="7" fillId="0" borderId="0" xfId="0" applyNumberFormat="1" applyFont="1" applyAlignment="1" applyProtection="1">
      <alignment horizontal="left" indent="1"/>
    </xf>
    <xf numFmtId="168" fontId="15" fillId="0" borderId="0" xfId="3" applyNumberFormat="1" applyAlignment="1" applyProtection="1">
      <alignment horizontal="center"/>
    </xf>
    <xf numFmtId="10" fontId="7" fillId="41" borderId="26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4" fontId="7" fillId="0" borderId="0" xfId="2" applyNumberFormat="1" applyFont="1" applyFill="1" applyBorder="1" applyAlignment="1" applyProtection="1">
      <alignment horizontal="center"/>
      <protection locked="0"/>
    </xf>
    <xf numFmtId="202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7" xfId="0" applyNumberFormat="1" applyFont="1" applyFill="1" applyBorder="1" applyAlignment="1" applyProtection="1"/>
    <xf numFmtId="168" fontId="7" fillId="0" borderId="0" xfId="0" applyNumberFormat="1" applyFont="1" applyBorder="1" applyAlignment="1" applyProtection="1">
      <alignment horizontal="center"/>
    </xf>
    <xf numFmtId="202" fontId="19" fillId="0" borderId="0" xfId="0" applyNumberFormat="1" applyFont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9" fontId="9" fillId="0" borderId="0" xfId="0" applyNumberFormat="1" applyFont="1" applyBorder="1" applyAlignment="1" applyProtection="1">
      <alignment horizontal="center"/>
    </xf>
    <xf numFmtId="196" fontId="9" fillId="0" borderId="0" xfId="0" applyNumberFormat="1" applyFont="1" applyBorder="1" applyAlignment="1" applyProtection="1">
      <alignment horizontal="center"/>
    </xf>
    <xf numFmtId="168" fontId="9" fillId="0" borderId="7" xfId="0" applyNumberFormat="1" applyFont="1" applyBorder="1" applyAlignment="1" applyProtection="1">
      <alignment horizontal="left" indent="1"/>
    </xf>
    <xf numFmtId="202" fontId="8" fillId="0" borderId="7" xfId="0" applyNumberFormat="1" applyFont="1" applyBorder="1" applyAlignment="1" applyProtection="1">
      <alignment horizontal="center"/>
    </xf>
    <xf numFmtId="203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202" fontId="7" fillId="0" borderId="3" xfId="0" applyNumberFormat="1" applyFont="1" applyFill="1" applyBorder="1" applyAlignment="1" applyProtection="1">
      <alignment horizontal="center"/>
      <protection locked="0"/>
    </xf>
    <xf numFmtId="2" fontId="13" fillId="0" borderId="4" xfId="5" applyNumberFormat="1" applyFont="1" applyFill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3" fontId="7" fillId="0" borderId="0" xfId="0" applyNumberFormat="1" applyFont="1" applyProtection="1">
      <protection locked="0"/>
    </xf>
    <xf numFmtId="193" fontId="9" fillId="0" borderId="0" xfId="0" applyNumberFormat="1" applyFont="1" applyProtection="1">
      <protection locked="0"/>
    </xf>
    <xf numFmtId="49" fontId="8" fillId="0" borderId="22" xfId="0" applyNumberFormat="1" applyFont="1" applyFill="1" applyBorder="1" applyAlignment="1" applyProtection="1">
      <alignment horizontal="center"/>
    </xf>
    <xf numFmtId="202" fontId="8" fillId="0" borderId="22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80" fontId="7" fillId="0" borderId="0" xfId="2" applyNumberFormat="1" applyFont="1" applyAlignment="1" applyProtection="1">
      <alignment horizontal="center"/>
      <protection locked="0"/>
    </xf>
    <xf numFmtId="172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16" fillId="0" borderId="0" xfId="5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Protection="1"/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202" fontId="7" fillId="0" borderId="0" xfId="2" applyNumberFormat="1" applyFont="1" applyFill="1" applyBorder="1" applyAlignment="1" applyProtection="1">
      <alignment horizontal="center"/>
      <protection locked="0"/>
    </xf>
    <xf numFmtId="168" fontId="19" fillId="0" borderId="0" xfId="0" applyNumberFormat="1" applyFont="1" applyFill="1" applyAlignment="1" applyProtection="1">
      <alignment horizontal="center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80" fontId="7" fillId="0" borderId="0" xfId="2" applyNumberFormat="1" applyFont="1" applyFill="1" applyBorder="1" applyAlignment="1" applyProtection="1">
      <alignment horizontal="center"/>
      <protection locked="0"/>
    </xf>
    <xf numFmtId="202" fontId="8" fillId="0" borderId="22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202" fontId="20" fillId="8" borderId="9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Protection="1">
      <protection locked="0"/>
    </xf>
    <xf numFmtId="10" fontId="7" fillId="0" borderId="0" xfId="2" applyNumberFormat="1" applyFont="1" applyProtection="1">
      <protection locked="0"/>
    </xf>
    <xf numFmtId="202" fontId="16" fillId="8" borderId="9" xfId="0" applyNumberFormat="1" applyFont="1" applyFill="1" applyBorder="1" applyAlignment="1" applyProtection="1">
      <alignment horizontal="center"/>
      <protection locked="0"/>
    </xf>
    <xf numFmtId="192" fontId="9" fillId="8" borderId="28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202" fontId="7" fillId="0" borderId="0" xfId="0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Border="1" applyAlignment="1">
      <alignment horizontal="center"/>
    </xf>
    <xf numFmtId="168" fontId="8" fillId="41" borderId="3" xfId="0" applyNumberFormat="1" applyFont="1" applyFill="1" applyBorder="1" applyAlignment="1" applyProtection="1">
      <alignment horizontal="center"/>
    </xf>
    <xf numFmtId="202" fontId="8" fillId="41" borderId="3" xfId="0" applyNumberFormat="1" applyFont="1" applyFill="1" applyBorder="1" applyAlignment="1" applyProtection="1">
      <alignment horizontal="center"/>
    </xf>
    <xf numFmtId="0" fontId="73" fillId="38" borderId="0" xfId="3" applyFont="1" applyFill="1" applyBorder="1" applyAlignment="1" applyProtection="1"/>
    <xf numFmtId="10" fontId="7" fillId="41" borderId="3" xfId="2" applyNumberFormat="1" applyFont="1" applyFill="1" applyBorder="1" applyAlignment="1" applyProtection="1">
      <alignment horizontal="center"/>
    </xf>
    <xf numFmtId="0" fontId="75" fillId="38" borderId="2" xfId="0" applyNumberFormat="1" applyFont="1" applyFill="1" applyBorder="1" applyAlignment="1" applyProtection="1">
      <alignment horizontal="center"/>
    </xf>
    <xf numFmtId="202" fontId="75" fillId="39" borderId="4" xfId="0" applyNumberFormat="1" applyFont="1" applyFill="1" applyBorder="1" applyAlignment="1" applyProtection="1">
      <alignment horizontal="center" vertical="center" wrapText="1"/>
    </xf>
    <xf numFmtId="192" fontId="7" fillId="8" borderId="0" xfId="0" applyNumberFormat="1" applyFont="1" applyFill="1" applyBorder="1" applyAlignment="1" applyProtection="1">
      <alignment horizontal="left" indent="1"/>
    </xf>
    <xf numFmtId="164" fontId="7" fillId="0" borderId="0" xfId="0" applyNumberFormat="1" applyFont="1" applyProtection="1"/>
    <xf numFmtId="10" fontId="7" fillId="0" borderId="0" xfId="2" applyNumberFormat="1" applyFont="1" applyProtection="1"/>
    <xf numFmtId="205" fontId="7" fillId="0" borderId="0" xfId="2" applyNumberFormat="1" applyFont="1" applyProtection="1"/>
    <xf numFmtId="168" fontId="7" fillId="0" borderId="0" xfId="0" applyNumberFormat="1" applyFont="1" applyFill="1"/>
    <xf numFmtId="209" fontId="7" fillId="0" borderId="0" xfId="6" applyNumberFormat="1" applyFont="1" applyAlignment="1" applyProtection="1">
      <alignment horizontal="center"/>
      <protection locked="0"/>
    </xf>
    <xf numFmtId="10" fontId="7" fillId="0" borderId="0" xfId="2" applyNumberFormat="1" applyFont="1" applyFill="1" applyAlignment="1" applyProtection="1">
      <alignment horizontal="center"/>
    </xf>
    <xf numFmtId="193" fontId="7" fillId="0" borderId="0" xfId="0" applyNumberFormat="1" applyFont="1" applyFill="1" applyProtection="1">
      <protection locked="0"/>
    </xf>
    <xf numFmtId="2" fontId="7" fillId="50" borderId="0" xfId="0" applyNumberFormat="1" applyFont="1" applyFill="1" applyBorder="1" applyAlignment="1" applyProtection="1">
      <alignment horizontal="center"/>
      <protection locked="0"/>
    </xf>
    <xf numFmtId="2" fontId="7" fillId="50" borderId="0" xfId="0" applyNumberFormat="1" applyFont="1" applyFill="1" applyBorder="1" applyAlignment="1" applyProtection="1">
      <alignment horizontal="left"/>
      <protection locked="0"/>
    </xf>
    <xf numFmtId="168" fontId="7" fillId="50" borderId="0" xfId="0" applyNumberFormat="1" applyFont="1" applyFill="1" applyAlignment="1" applyProtection="1">
      <alignment horizontal="left"/>
    </xf>
    <xf numFmtId="43" fontId="7" fillId="0" borderId="0" xfId="0" applyNumberFormat="1" applyFont="1" applyProtection="1"/>
    <xf numFmtId="43" fontId="13" fillId="0" borderId="0" xfId="5" applyNumberFormat="1" applyFont="1" applyFill="1" applyBorder="1" applyAlignment="1" applyProtection="1">
      <alignment horizontal="center" vertical="center"/>
    </xf>
    <xf numFmtId="210" fontId="7" fillId="0" borderId="0" xfId="0" applyNumberFormat="1" applyFont="1" applyProtection="1"/>
    <xf numFmtId="43" fontId="7" fillId="0" borderId="0" xfId="0" applyNumberFormat="1" applyFont="1" applyFill="1" applyProtection="1"/>
    <xf numFmtId="211" fontId="7" fillId="0" borderId="0" xfId="0" applyNumberFormat="1" applyFont="1" applyFill="1" applyProtection="1"/>
    <xf numFmtId="9" fontId="7" fillId="0" borderId="0" xfId="2" applyFont="1" applyProtection="1">
      <protection locked="0"/>
    </xf>
    <xf numFmtId="211" fontId="7" fillId="0" borderId="0" xfId="0" applyNumberFormat="1" applyFont="1" applyProtection="1"/>
    <xf numFmtId="10" fontId="13" fillId="0" borderId="0" xfId="2" applyNumberFormat="1" applyFont="1" applyFill="1" applyBorder="1" applyAlignment="1" applyProtection="1">
      <alignment horizontal="center" vertical="center"/>
    </xf>
    <xf numFmtId="180" fontId="7" fillId="0" borderId="0" xfId="2" applyNumberFormat="1" applyFont="1" applyProtection="1"/>
    <xf numFmtId="212" fontId="7" fillId="0" borderId="0" xfId="0" applyNumberFormat="1" applyFont="1" applyAlignment="1" applyProtection="1">
      <alignment horizontal="center"/>
    </xf>
    <xf numFmtId="202" fontId="8" fillId="0" borderId="0" xfId="0" applyNumberFormat="1" applyFont="1" applyFill="1" applyAlignment="1" applyProtection="1">
      <alignment horizontal="center"/>
    </xf>
    <xf numFmtId="164" fontId="7" fillId="0" borderId="0" xfId="6" applyFont="1" applyFill="1" applyBorder="1" applyAlignment="1" applyProtection="1">
      <alignment horizontal="center" vertical="center"/>
      <protection locked="0"/>
    </xf>
    <xf numFmtId="194" fontId="7" fillId="0" borderId="0" xfId="2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Fill="1" applyBorder="1" applyAlignment="1" applyProtection="1">
      <alignment horizontal="left"/>
      <protection locked="0"/>
    </xf>
    <xf numFmtId="3" fontId="7" fillId="50" borderId="0" xfId="6" applyNumberFormat="1" applyFont="1" applyFill="1" applyAlignment="1" applyProtection="1">
      <alignment horizontal="center"/>
      <protection locked="0"/>
    </xf>
    <xf numFmtId="168" fontId="7" fillId="0" borderId="0" xfId="0" applyNumberFormat="1" applyFont="1" applyFill="1" applyAlignment="1" applyProtection="1">
      <alignment horizontal="left"/>
    </xf>
    <xf numFmtId="168" fontId="21" fillId="0" borderId="0" xfId="0" applyNumberFormat="1" applyFont="1" applyFill="1" applyProtection="1"/>
    <xf numFmtId="168" fontId="16" fillId="0" borderId="0" xfId="0" applyNumberFormat="1" applyFont="1" applyFill="1" applyProtection="1"/>
    <xf numFmtId="168" fontId="7" fillId="0" borderId="0" xfId="0" applyNumberFormat="1" applyFont="1" applyFill="1" applyAlignment="1" applyProtection="1">
      <alignment horizontal="center"/>
    </xf>
    <xf numFmtId="180" fontId="7" fillId="0" borderId="0" xfId="2" applyNumberFormat="1" applyFont="1" applyFill="1" applyAlignment="1" applyProtection="1">
      <alignment horizontal="left"/>
      <protection locked="0"/>
    </xf>
    <xf numFmtId="180" fontId="7" fillId="0" borderId="0" xfId="2" applyNumberFormat="1" applyFont="1" applyFill="1" applyAlignment="1" applyProtection="1">
      <alignment horizontal="center"/>
      <protection locked="0"/>
    </xf>
    <xf numFmtId="202" fontId="9" fillId="0" borderId="7" xfId="0" applyNumberFormat="1" applyFont="1" applyFill="1" applyBorder="1" applyAlignment="1" applyProtection="1">
      <alignment horizontal="center"/>
    </xf>
    <xf numFmtId="0" fontId="75" fillId="38" borderId="2" xfId="0" applyNumberFormat="1" applyFont="1" applyFill="1" applyBorder="1" applyAlignment="1" applyProtection="1">
      <alignment horizontal="center"/>
    </xf>
  </cellXfs>
  <cellStyles count="397">
    <cellStyle name=" 1" xfId="10" xr:uid="{00000000-0005-0000-0000-000000000000}"/>
    <cellStyle name=" 1 2" xfId="11" xr:uid="{00000000-0005-0000-0000-000001000000}"/>
    <cellStyle name=" 1 2 2" xfId="279" xr:uid="{23DCD9E9-FFB6-44CF-A825-5024BB1AE983}"/>
    <cellStyle name=" 1 2 3" xfId="353" xr:uid="{8DCD2AAC-0DB4-4083-A0AC-B9951B2475DB}"/>
    <cellStyle name=" 1 3" xfId="280" xr:uid="{C01B878E-8268-4FBE-B2DF-3DE3120DEB7C}"/>
    <cellStyle name=" 1 3 2" xfId="281" xr:uid="{963895BE-FA62-47E3-99DF-5070DC19CDBD}"/>
    <cellStyle name=" 1 4" xfId="282" xr:uid="{286CA12D-FE31-4288-9CB9-60A0D493A962}"/>
    <cellStyle name=" 1_29(d) - Gas extensions -tariffs" xfId="12" xr:uid="{00000000-0005-0000-0000-000002000000}"/>
    <cellStyle name="_3GIS model v2.77_Distribution Business_Retail Fin Perform " xfId="284" xr:uid="{CD9969B3-8468-4BC0-B257-EC9A7FD26FC5}"/>
    <cellStyle name="_3GIS model v2.77_Fleet Overhead Costs 2_Retail Fin Perform " xfId="285" xr:uid="{909DCD35-B9EB-4252-AD94-CF7D4A0EC8CE}"/>
    <cellStyle name="_3GIS model v2.77_Fleet Overhead Costs_Retail Fin Perform " xfId="286" xr:uid="{7AAD0451-7837-4351-A7BB-A6818CEEC784}"/>
    <cellStyle name="_3GIS model v2.77_Forecast 2_Retail Fin Perform " xfId="287" xr:uid="{6CDF0DDD-7412-41DF-B893-9D3696F21D12}"/>
    <cellStyle name="_3GIS model v2.77_Forecast_Retail Fin Perform " xfId="288" xr:uid="{353961C7-AAB9-4737-A396-99B827EC58A9}"/>
    <cellStyle name="_3GIS model v2.77_Funding &amp; Cashflow_1_Retail Fin Perform " xfId="289" xr:uid="{9F9C0EBB-8BC7-4022-890E-443C60FD7E69}"/>
    <cellStyle name="_3GIS model v2.77_Funding &amp; Cashflow_Retail Fin Perform " xfId="290" xr:uid="{A4C1059C-DE66-44AA-8C07-227D7646C3AD}"/>
    <cellStyle name="_3GIS model v2.77_Group P&amp;L_1_Retail Fin Perform " xfId="291" xr:uid="{8BE3C9D8-D8A7-4D70-B327-98FCACE44D7C}"/>
    <cellStyle name="_3GIS model v2.77_Group P&amp;L_Retail Fin Perform " xfId="292" xr:uid="{E1D704B2-0212-4A1A-A96C-4B304D4823B2}"/>
    <cellStyle name="_3GIS model v2.77_Opening  Detailed BS_Retail Fin Perform " xfId="293" xr:uid="{6639C1FF-CFBA-4432-AC80-5DC454A967B0}"/>
    <cellStyle name="_3GIS model v2.77_OUTPUT DB_Retail Fin Perform " xfId="294" xr:uid="{CE7132DC-6F87-4F25-ACFE-AA661D795E03}"/>
    <cellStyle name="_3GIS model v2.77_OUTPUT EB_Retail Fin Perform " xfId="295" xr:uid="{857DE853-A3E6-453D-A101-2A4E67607D31}"/>
    <cellStyle name="_3GIS model v2.77_Report_Retail Fin Perform " xfId="296" xr:uid="{B70CB660-C450-4B53-8D2D-60ED3F393F9A}"/>
    <cellStyle name="_3GIS model v2.77_Retail Fin Perform " xfId="297" xr:uid="{A48F6D3A-071A-4733-BB8B-CBFC7E4141DD}"/>
    <cellStyle name="_3GIS model v2.77_Sheet2 2_Retail Fin Perform " xfId="298" xr:uid="{FB34105C-A555-47D6-B966-09C2B7225D88}"/>
    <cellStyle name="_3GIS model v2.77_Sheet2_Retail Fin Perform " xfId="299" xr:uid="{F2F3C9E9-D69B-4243-90D9-79FDA1F0C032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301" xr:uid="{D568F5E4-7893-45C7-8CD8-D2B7C2BB9785}"/>
    <cellStyle name="Blockout 2 3" xfId="330" xr:uid="{D44CEA2C-5AE5-4D73-8798-1B42A0487E2E}"/>
    <cellStyle name="Blockout 3" xfId="300" xr:uid="{0FE4E819-A4FC-40CE-8155-A212CE29BE15}"/>
    <cellStyle name="Blockout 4" xfId="331" xr:uid="{7A53AC31-D802-4AE2-96B4-AAED36601E1F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heck Cell 2 2 2 2" xfId="360" xr:uid="{21486388-E4E7-44F5-AD87-7055EDA28C77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7" xr:uid="{284873A2-D876-4615-8696-9BFA147EA47B}"/>
    <cellStyle name="Comma 11" xfId="340" xr:uid="{BC56E5E2-ADB3-4127-A6A1-8A85F1FAA331}"/>
    <cellStyle name="Comma 12" xfId="390" xr:uid="{315EDFBB-A169-4986-A0C5-CAB60568D5A3}"/>
    <cellStyle name="Comma 13" xfId="334" xr:uid="{E0D2FA41-E984-4C2C-BE1F-7F701AFD76D1}"/>
    <cellStyle name="Comma 2" xfId="8" xr:uid="{00000000-0005-0000-0000-000044000000}"/>
    <cellStyle name="Comma 2 2" xfId="73" xr:uid="{00000000-0005-0000-0000-000045000000}"/>
    <cellStyle name="Comma 2 2 2" xfId="303" xr:uid="{AA49FC46-D24C-4E11-9E99-71AE6E7CC3E1}"/>
    <cellStyle name="Comma 2 2 2 2" xfId="384" xr:uid="{C4AE2A88-594E-4527-8C64-DD658D3B0C66}"/>
    <cellStyle name="Comma 2 3" xfId="74" xr:uid="{00000000-0005-0000-0000-000046000000}"/>
    <cellStyle name="Comma 2 3 2" xfId="75" xr:uid="{00000000-0005-0000-0000-000047000000}"/>
    <cellStyle name="Comma 2 3 2 2" xfId="305" xr:uid="{E4846AC5-390C-454D-9D90-B7A318B890BF}"/>
    <cellStyle name="Comma 2 3 3" xfId="304" xr:uid="{35B5048B-44B4-4EAE-BE34-9383C7709295}"/>
    <cellStyle name="Comma 2 4" xfId="76" xr:uid="{00000000-0005-0000-0000-000048000000}"/>
    <cellStyle name="Comma 2 4 2" xfId="306" xr:uid="{345830D4-BD98-48C7-A867-357C184C7C36}"/>
    <cellStyle name="Comma 2 5" xfId="77" xr:uid="{00000000-0005-0000-0000-000049000000}"/>
    <cellStyle name="Comma 2 5 2" xfId="307" xr:uid="{1134D191-94EE-4D6E-9F7B-37EED9D57952}"/>
    <cellStyle name="Comma 2 5 3" xfId="325" xr:uid="{7EECDB17-8BAD-4C8D-99FE-82793116C4D4}"/>
    <cellStyle name="Comma 2 6" xfId="302" xr:uid="{967E56A3-4BE0-4FA7-8BB5-84FEEA8B0DF8}"/>
    <cellStyle name="Comma 2 7" xfId="392" xr:uid="{7A3F2E6B-4DE4-4DFC-B1A0-476943216DD1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3 3 2" xfId="309" xr:uid="{A0B1716F-A284-41D9-A3FF-432077894613}"/>
    <cellStyle name="Comma 3 3 3" xfId="324" xr:uid="{04B3354A-B47F-49E2-B373-A29F1A034AF5}"/>
    <cellStyle name="Comma 4" xfId="81" xr:uid="{00000000-0005-0000-0000-00004D000000}"/>
    <cellStyle name="Comma 4 2" xfId="310" xr:uid="{8E301D79-EDE3-4614-8062-755F01702B1D}"/>
    <cellStyle name="Comma 4 3" xfId="337" xr:uid="{837EACBF-B33A-4433-8FB2-B14E3B8A868E}"/>
    <cellStyle name="Comma 5" xfId="82" xr:uid="{00000000-0005-0000-0000-00004E000000}"/>
    <cellStyle name="Comma 5 2" xfId="311" xr:uid="{13878FC3-5E4B-4B3A-842E-709CCBFB6260}"/>
    <cellStyle name="Comma 5 3" xfId="323" xr:uid="{CCD40312-9A27-4767-B964-EC554FC98F88}"/>
    <cellStyle name="Comma 6" xfId="83" xr:uid="{00000000-0005-0000-0000-00004F000000}"/>
    <cellStyle name="Comma 6 2" xfId="312" xr:uid="{0CCF6EC0-69E3-47E9-B00A-91856C83574F}"/>
    <cellStyle name="Comma 6 2 2" xfId="383" xr:uid="{F989A07F-19F5-488A-9CA7-36F04EA2F712}"/>
    <cellStyle name="Comma 6 3" xfId="335" xr:uid="{A666EA98-F102-4AF6-94C2-9DD149FCADE9}"/>
    <cellStyle name="Comma 7" xfId="84" xr:uid="{00000000-0005-0000-0000-000050000000}"/>
    <cellStyle name="Comma 7 2" xfId="313" xr:uid="{2E71EACF-2ADC-4D36-BA7F-5DA106789260}"/>
    <cellStyle name="Comma 8" xfId="85" xr:uid="{00000000-0005-0000-0000-000051000000}"/>
    <cellStyle name="Comma 8 2" xfId="314" xr:uid="{0BF7F85E-4EC2-4B2A-97D2-6231F73D3151}"/>
    <cellStyle name="Comma 9" xfId="264" xr:uid="{00000000-0005-0000-0000-000052000000}"/>
    <cellStyle name="Comma 9 2" xfId="378" xr:uid="{18CFAEFD-5D2A-4884-B59D-9BB09F38F01D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11 2 2" xfId="316" xr:uid="{9B9D8B6F-6D80-4A11-925E-731AAF9475D3}"/>
    <cellStyle name="Currency 11 3" xfId="315" xr:uid="{437843E5-E0BA-4BD2-8600-81A768D26BEB}"/>
    <cellStyle name="Currency 2" xfId="89" xr:uid="{00000000-0005-0000-0000-000056000000}"/>
    <cellStyle name="Currency 2 2" xfId="90" xr:uid="{00000000-0005-0000-0000-000057000000}"/>
    <cellStyle name="Currency 2 2 2" xfId="344" xr:uid="{8AF41CE8-DB44-47AD-B3EF-55B91977A16C}"/>
    <cellStyle name="Currency 2 2 3" xfId="272" xr:uid="{BE13BEE4-BEF2-473A-80C9-F77A8AC74D1D}"/>
    <cellStyle name="Currency 2 3" xfId="273" xr:uid="{19CF9C98-78CD-4DD4-B4DC-F4CD36FA3A46}"/>
    <cellStyle name="Currency 2 4" xfId="317" xr:uid="{51807F58-9D23-4C30-9997-86A83CB6C404}"/>
    <cellStyle name="Currency 3" xfId="91" xr:uid="{00000000-0005-0000-0000-000058000000}"/>
    <cellStyle name="Currency 3 2" xfId="92" xr:uid="{00000000-0005-0000-0000-000059000000}"/>
    <cellStyle name="Currency 3 2 2" xfId="319" xr:uid="{A67A245B-926F-48D8-A775-14D74C3E879F}"/>
    <cellStyle name="Currency 3 3" xfId="318" xr:uid="{F7B75305-C7B2-49CD-8F88-75B5315F768B}"/>
    <cellStyle name="Currency 4" xfId="93" xr:uid="{00000000-0005-0000-0000-00005A000000}"/>
    <cellStyle name="Currency 4 2" xfId="94" xr:uid="{00000000-0005-0000-0000-00005B000000}"/>
    <cellStyle name="Currency 4 2 2" xfId="321" xr:uid="{2E34F21A-FE89-42DC-9F80-49C00E9346E0}"/>
    <cellStyle name="Currency 4 3" xfId="320" xr:uid="{8B3DF1E1-9CA4-4245-8C0E-96BA071F432A}"/>
    <cellStyle name="Currency 5" xfId="243" xr:uid="{00000000-0005-0000-0000-00005C000000}"/>
    <cellStyle name="Currency 5 2" xfId="278" xr:uid="{0EC37345-6C90-4FEC-86DA-ED783A7E533F}"/>
    <cellStyle name="Currency 6" xfId="268" xr:uid="{78C2A7DA-0065-4821-B2EE-5AE8832003DC}"/>
    <cellStyle name="Currency 7" xfId="393" xr:uid="{DA1A4747-054A-4BA0-B7ED-3AF28CB2DBD7}"/>
    <cellStyle name="Currency 7 2" xfId="395" xr:uid="{7449EE2C-AF5D-47F4-A04F-EA73A851E339}"/>
    <cellStyle name="D4_B8B1_005004B79812_.wvu.PrintTitlest" xfId="95" xr:uid="{00000000-0005-0000-0000-00005D000000}"/>
    <cellStyle name="Date" xfId="96" xr:uid="{00000000-0005-0000-0000-00005E000000}"/>
    <cellStyle name="Date 2" xfId="97" xr:uid="{00000000-0005-0000-0000-00005F000000}"/>
    <cellStyle name="dms_NUM" xfId="391" xr:uid="{8CB9E5C0-F6EB-41E1-841C-54642922273F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2 2 2" xfId="346" xr:uid="{EC511320-2C6E-4EE0-B393-723C891B3482}"/>
    <cellStyle name="Heading 3 2 3" xfId="322" xr:uid="{40A029BB-CA81-4DB1-B294-DDFFB1FB0D8F}"/>
    <cellStyle name="Heading 3 2 4" xfId="345" xr:uid="{5EBED28C-00C7-4DFC-B2F6-8E9E983F4DE6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2 2" xfId="366" xr:uid="{231FC51C-43C9-4F87-B44D-D07E673BE8CF}"/>
    <cellStyle name="Hyperlink Arrow" xfId="122" xr:uid="{00000000-0005-0000-0000-00007F000000}"/>
    <cellStyle name="Hyperlink Text" xfId="123" xr:uid="{00000000-0005-0000-0000-000080000000}"/>
    <cellStyle name="import" xfId="367" xr:uid="{BF13BB84-E74A-41CB-AF27-530F90BBD8AE}"/>
    <cellStyle name="import%" xfId="368" xr:uid="{E3919F55-D45F-43DE-A4AA-958694B68C23}"/>
    <cellStyle name="import_ICRC Electricity model 1-1  (1 Feb 2003) " xfId="326" xr:uid="{E7538388-A7DF-4EC7-B5AD-D20060D71663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1 2 2" xfId="327" xr:uid="{CD8A5771-385C-455E-B5D2-68D95F8E894F}"/>
    <cellStyle name="Input1 2 3" xfId="386" xr:uid="{21643BD5-9D1D-4E4D-8267-077E60AB1101}"/>
    <cellStyle name="Input1 3" xfId="369" xr:uid="{4B8F2E8F-C12E-40E5-850E-4C0A11DA4277}"/>
    <cellStyle name="Input1 4" xfId="269" xr:uid="{565AC074-99C4-4D10-96A2-478F0F208186}"/>
    <cellStyle name="Input1 5" xfId="388" xr:uid="{38B088F5-1647-407A-BEB0-0FD08FA6FED7}"/>
    <cellStyle name="Input1%" xfId="370" xr:uid="{52942E67-E822-4418-B156-96AD7B8ED9DD}"/>
    <cellStyle name="Input1_ICRC Electricity model 1-1  (1 Feb 2003) " xfId="328" xr:uid="{289B380D-95C8-4679-8BF6-403B30FAFBC2}"/>
    <cellStyle name="Input1default" xfId="371" xr:uid="{78C09515-23D3-493F-B467-FE1E00B5DDB9}"/>
    <cellStyle name="Input1default%" xfId="372" xr:uid="{8E7F2AE8-EDBE-4794-BFB6-72564E0B42FE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3 2 2" xfId="329" xr:uid="{224855D6-9E60-4FF6-AE98-933F9298F036}"/>
    <cellStyle name="Input3 2 3" xfId="336" xr:uid="{9CB849B5-9990-49F4-8AE8-DA0546B2FE67}"/>
    <cellStyle name="Input3 3" xfId="270" xr:uid="{875A1386-82D6-45D1-818E-95CFD734FE9E}"/>
    <cellStyle name="Input3 4" xfId="308" xr:uid="{079B3FD4-2C78-42AF-BBF7-3F00E224FA15}"/>
    <cellStyle name="InputCell" xfId="355" xr:uid="{50F67A2B-4BA2-4189-9F5B-88352A9EA00A}"/>
    <cellStyle name="Inputs_Divider" xfId="253" xr:uid="{00000000-0005-0000-0000-000089000000}"/>
    <cellStyle name="InSheet" xfId="254" xr:uid="{00000000-0005-0000-0000-00008A000000}"/>
    <cellStyle name="key result" xfId="373" xr:uid="{135C73CA-D7AB-4A87-B247-3A42AAA9C7CB}"/>
    <cellStyle name="Lines" xfId="131" xr:uid="{00000000-0005-0000-0000-00008B000000}"/>
    <cellStyle name="Linked Cell 2" xfId="132" xr:uid="{00000000-0005-0000-0000-00008C000000}"/>
    <cellStyle name="Local import" xfId="374" xr:uid="{9C0EAF58-4200-4FF2-86AF-AB372D3E241C}"/>
    <cellStyle name="Local import %" xfId="375" xr:uid="{19D22A10-71CA-4EC5-B079-0D9AF5891BC8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nInputCell" xfId="356" xr:uid="{8768D021-B409-4E2F-801B-D14645CD1EB5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0 2" xfId="343" xr:uid="{DA297E49-491F-4E42-BF8C-09B3CA37589C}"/>
    <cellStyle name="Normal 10 3" xfId="338" xr:uid="{69213188-07BB-4AC7-814C-7A351831D814}"/>
    <cellStyle name="Normal 11" xfId="265" xr:uid="{00000000-0005-0000-0000-000093000000}"/>
    <cellStyle name="Normal 11 2" xfId="342" xr:uid="{1E350868-8FEC-469F-BD0A-20484EBB5E1A}"/>
    <cellStyle name="Normal 11 3" xfId="377" xr:uid="{60FAB1CB-8C40-437F-B038-83754FC94AF0}"/>
    <cellStyle name="Normal 114" xfId="277" xr:uid="{77055D5B-A7FA-4BDD-80AC-DA5D64AF0BCF}"/>
    <cellStyle name="Normal 12" xfId="266" xr:uid="{97A36A18-19F0-4A4B-8844-D4DDFBD6F212}"/>
    <cellStyle name="Normal 13" xfId="137" xr:uid="{00000000-0005-0000-0000-000094000000}"/>
    <cellStyle name="Normal 13 2" xfId="7" xr:uid="{00000000-0005-0000-0000-000095000000}"/>
    <cellStyle name="Normal 13_29(d) - Gas extensions -tariffs" xfId="138" xr:uid="{00000000-0005-0000-0000-000096000000}"/>
    <cellStyle name="Normal 14" xfId="361" xr:uid="{F146CB2B-BD64-44DB-8EED-3B269047BA6A}"/>
    <cellStyle name="Normal 15" xfId="139" xr:uid="{00000000-0005-0000-0000-000097000000}"/>
    <cellStyle name="Normal 16" xfId="140" xr:uid="{00000000-0005-0000-0000-000098000000}"/>
    <cellStyle name="Normal 17" xfId="341" xr:uid="{FB22ECD0-9A0C-4964-B806-D152C11E3F96}"/>
    <cellStyle name="Normal 18" xfId="389" xr:uid="{B92F6EC6-A404-4B07-A3C8-25D7AB74FC81}"/>
    <cellStyle name="Normal 2" xfId="141" xr:uid="{00000000-0005-0000-0000-000099000000}"/>
    <cellStyle name="Normal 2 2" xfId="142" xr:uid="{00000000-0005-0000-0000-00009A000000}"/>
    <cellStyle name="Normal 2 2 2" xfId="143" xr:uid="{00000000-0005-0000-0000-00009B000000}"/>
    <cellStyle name="Normal 2 2 3" xfId="347" xr:uid="{17853752-81A3-49E3-8365-F1647AB0024B}"/>
    <cellStyle name="Normal 2 3" xfId="144" xr:uid="{00000000-0005-0000-0000-00009C000000}"/>
    <cellStyle name="Normal 2 3 2" xfId="145" xr:uid="{00000000-0005-0000-0000-00009D000000}"/>
    <cellStyle name="Normal 2 3 3" xfId="376" xr:uid="{5A0B3834-48EA-4C45-8327-9D16EB26B2B9}"/>
    <cellStyle name="Normal 2 3_29(d) - Gas extensions -tariffs" xfId="146" xr:uid="{00000000-0005-0000-0000-00009E000000}"/>
    <cellStyle name="Normal 2 4" xfId="147" xr:uid="{00000000-0005-0000-0000-00009F000000}"/>
    <cellStyle name="Normal 2 5" xfId="148" xr:uid="{00000000-0005-0000-0000-0000A0000000}"/>
    <cellStyle name="Normal 2 6" xfId="354" xr:uid="{D4F8446F-0113-453A-BC50-53F7DFFFCAB5}"/>
    <cellStyle name="Normal 2 6 2" xfId="380" xr:uid="{D18303B6-A203-4247-A99E-6A5117BEDAB5}"/>
    <cellStyle name="Normal 2 8" xfId="385" xr:uid="{52A47E3A-DA21-4C01-8402-EA8D7A29937A}"/>
    <cellStyle name="Normal 2_29(d) - Gas extensions -tariffs" xfId="149" xr:uid="{00000000-0005-0000-0000-0000A1000000}"/>
    <cellStyle name="Normal 3" xfId="150" xr:uid="{00000000-0005-0000-0000-0000A2000000}"/>
    <cellStyle name="Normal 3 2" xfId="151" xr:uid="{00000000-0005-0000-0000-0000A3000000}"/>
    <cellStyle name="Normal 3 3" xfId="362" xr:uid="{3D52CDF8-DB41-4CF3-8C37-36920FCBD45D}"/>
    <cellStyle name="Normal 3 5" xfId="357" xr:uid="{552E6820-DC17-4B41-B176-73F5B92E8439}"/>
    <cellStyle name="Normal 3_29(d) - Gas extensions -tariffs" xfId="152" xr:uid="{00000000-0005-0000-0000-0000A4000000}"/>
    <cellStyle name="Normal 38" xfId="153" xr:uid="{00000000-0005-0000-0000-0000A5000000}"/>
    <cellStyle name="Normal 38 2" xfId="154" xr:uid="{00000000-0005-0000-0000-0000A6000000}"/>
    <cellStyle name="Normal 38_29(d) - Gas extensions -tariffs" xfId="155" xr:uid="{00000000-0005-0000-0000-0000A7000000}"/>
    <cellStyle name="Normal 4" xfId="156" xr:uid="{00000000-0005-0000-0000-0000A8000000}"/>
    <cellStyle name="Normal 4 2" xfId="157" xr:uid="{00000000-0005-0000-0000-0000A9000000}"/>
    <cellStyle name="Normal 4 2 2" xfId="381" xr:uid="{C206B74F-99C3-4C0A-946C-0EF0652882A6}"/>
    <cellStyle name="Normal 4 3" xfId="158" xr:uid="{00000000-0005-0000-0000-0000AA000000}"/>
    <cellStyle name="Normal 4 3 2" xfId="348" xr:uid="{98C7B1BB-2F8E-41D8-B016-6C50F90C9142}"/>
    <cellStyle name="Normal 4 3 3" xfId="332" xr:uid="{AA2AD52E-6675-4154-A692-45B47EBFB240}"/>
    <cellStyle name="Normal 4 4" xfId="363" xr:uid="{3D72AD96-699B-4336-832C-28955F7F923B}"/>
    <cellStyle name="Normal 4 4 2" xfId="379" xr:uid="{D74051F6-BF1E-4C11-8102-474894D046B9}"/>
    <cellStyle name="Normal 4 5" xfId="274" xr:uid="{8F3AD05B-735E-4292-835C-F0BA93737B04}"/>
    <cellStyle name="Normal 4_29(d) - Gas extensions -tariffs" xfId="159" xr:uid="{00000000-0005-0000-0000-0000AB000000}"/>
    <cellStyle name="Normal 40" xfId="160" xr:uid="{00000000-0005-0000-0000-0000AC000000}"/>
    <cellStyle name="Normal 40 2" xfId="161" xr:uid="{00000000-0005-0000-0000-0000AD000000}"/>
    <cellStyle name="Normal 40_29(d) - Gas extensions -tariffs" xfId="162" xr:uid="{00000000-0005-0000-0000-0000AE000000}"/>
    <cellStyle name="Normal 5" xfId="163" xr:uid="{00000000-0005-0000-0000-0000AF000000}"/>
    <cellStyle name="Normal 5 2" xfId="164" xr:uid="{00000000-0005-0000-0000-0000B0000000}"/>
    <cellStyle name="Normal 5 3" xfId="358" xr:uid="{B48BACA3-4FDB-4AD9-B63C-9B4E5FC584F6}"/>
    <cellStyle name="Normal 6" xfId="165" xr:uid="{00000000-0005-0000-0000-0000B1000000}"/>
    <cellStyle name="Normal 6 2" xfId="166" xr:uid="{00000000-0005-0000-0000-0000B2000000}"/>
    <cellStyle name="Normal 7" xfId="9" xr:uid="{00000000-0005-0000-0000-0000B3000000}"/>
    <cellStyle name="Normal 7 2" xfId="167" xr:uid="{00000000-0005-0000-0000-0000B4000000}"/>
    <cellStyle name="Normal 7 2 2" xfId="349" xr:uid="{84E0012A-7C9B-4CC3-9023-9A47A8571274}"/>
    <cellStyle name="Normal 7 2 3" xfId="333" xr:uid="{DC8AAC40-2220-4E6F-BB2B-C612F5B575D6}"/>
    <cellStyle name="Normal 7 3" xfId="382" xr:uid="{2FBEF7AD-ECB6-454B-B04E-3581D30F4810}"/>
    <cellStyle name="Normal 8" xfId="168" xr:uid="{00000000-0005-0000-0000-0000B5000000}"/>
    <cellStyle name="Normal 8 2" xfId="364" xr:uid="{612E2655-056E-4CC8-BC75-C4F2592BFA03}"/>
    <cellStyle name="Normal 9" xfId="169" xr:uid="{00000000-0005-0000-0000-0000B6000000}"/>
    <cellStyle name="Note 2" xfId="170" xr:uid="{00000000-0005-0000-0000-0000B7000000}"/>
    <cellStyle name="OffSheet" xfId="255" xr:uid="{00000000-0005-0000-0000-0000B8000000}"/>
    <cellStyle name="Output 2" xfId="171" xr:uid="{00000000-0005-0000-0000-0000B9000000}"/>
    <cellStyle name="Percent" xfId="2" builtinId="5"/>
    <cellStyle name="Percent [2]" xfId="172" xr:uid="{00000000-0005-0000-0000-0000BB000000}"/>
    <cellStyle name="Percent [2] 2" xfId="173" xr:uid="{00000000-0005-0000-0000-0000BC000000}"/>
    <cellStyle name="Percent [2]_29(d) - Gas extensions -tariffs" xfId="174" xr:uid="{00000000-0005-0000-0000-0000BD000000}"/>
    <cellStyle name="Percent 10" xfId="394" xr:uid="{0F188D6A-8A0D-4959-A9B1-BF1074A41D62}"/>
    <cellStyle name="Percent 10 2" xfId="396" xr:uid="{92CDF03F-3D7C-499E-8C74-74A9B0C84D1D}"/>
    <cellStyle name="Percent 2" xfId="4" xr:uid="{00000000-0005-0000-0000-0000BE000000}"/>
    <cellStyle name="Percent 2 2" xfId="175" xr:uid="{00000000-0005-0000-0000-0000BF000000}"/>
    <cellStyle name="Percent 3" xfId="176" xr:uid="{00000000-0005-0000-0000-0000C0000000}"/>
    <cellStyle name="Percent 3 2" xfId="177" xr:uid="{00000000-0005-0000-0000-0000C1000000}"/>
    <cellStyle name="Percent 3 4" xfId="359" xr:uid="{78A99505-EC67-4206-B2C9-1819EDBB0FC9}"/>
    <cellStyle name="Percent 4" xfId="178" xr:uid="{00000000-0005-0000-0000-0000C2000000}"/>
    <cellStyle name="Percent 5" xfId="242" xr:uid="{00000000-0005-0000-0000-0000C3000000}"/>
    <cellStyle name="Percent 5 2" xfId="283" xr:uid="{EE306330-9B32-4F9B-B4D4-9365BF2D5E91}"/>
    <cellStyle name="Percent 6" xfId="271" xr:uid="{F171ED30-C811-4F79-BA29-016AA3F81E81}"/>
    <cellStyle name="Percent 7" xfId="179" xr:uid="{00000000-0005-0000-0000-0000C4000000}"/>
    <cellStyle name="Percent 8" xfId="339" xr:uid="{3F3F137D-3A05-4EED-ADD9-505381EF2194}"/>
    <cellStyle name="Percent 9" xfId="387" xr:uid="{29A4EBBD-8CBF-4DEB-82DB-8801C55E7B06}"/>
    <cellStyle name="Percentage" xfId="180" xr:uid="{00000000-0005-0000-0000-0000C5000000}"/>
    <cellStyle name="Period Title" xfId="181" xr:uid="{00000000-0005-0000-0000-0000C6000000}"/>
    <cellStyle name="PSChar" xfId="182" xr:uid="{00000000-0005-0000-0000-0000C7000000}"/>
    <cellStyle name="PSDate" xfId="183" xr:uid="{00000000-0005-0000-0000-0000C8000000}"/>
    <cellStyle name="PSDec" xfId="184" xr:uid="{00000000-0005-0000-0000-0000C9000000}"/>
    <cellStyle name="PSDetail" xfId="185" xr:uid="{00000000-0005-0000-0000-0000CA000000}"/>
    <cellStyle name="PSHeading" xfId="186" xr:uid="{00000000-0005-0000-0000-0000CB000000}"/>
    <cellStyle name="PSInt" xfId="187" xr:uid="{00000000-0005-0000-0000-0000CC000000}"/>
    <cellStyle name="PSSpacer" xfId="188" xr:uid="{00000000-0005-0000-0000-0000CD000000}"/>
    <cellStyle name="Ratio" xfId="189" xr:uid="{00000000-0005-0000-0000-0000CE000000}"/>
    <cellStyle name="Ratio 2" xfId="190" xr:uid="{00000000-0005-0000-0000-0000CF000000}"/>
    <cellStyle name="Ratio_29(d) - Gas extensions -tariffs" xfId="191" xr:uid="{00000000-0005-0000-0000-0000D0000000}"/>
    <cellStyle name="Right Date" xfId="192" xr:uid="{00000000-0005-0000-0000-0000D1000000}"/>
    <cellStyle name="Right Number" xfId="193" xr:uid="{00000000-0005-0000-0000-0000D2000000}"/>
    <cellStyle name="Right Year" xfId="194" xr:uid="{00000000-0005-0000-0000-0000D3000000}"/>
    <cellStyle name="RIN_TB2" xfId="365" xr:uid="{DEC8EE20-4671-496B-88FC-5D5E8DA5BA9E}"/>
    <cellStyle name="SAPError" xfId="195" xr:uid="{00000000-0005-0000-0000-0000D4000000}"/>
    <cellStyle name="SAPError 2" xfId="196" xr:uid="{00000000-0005-0000-0000-0000D5000000}"/>
    <cellStyle name="SAPKey" xfId="197" xr:uid="{00000000-0005-0000-0000-0000D6000000}"/>
    <cellStyle name="SAPKey 2" xfId="198" xr:uid="{00000000-0005-0000-0000-0000D7000000}"/>
    <cellStyle name="SAPLocked" xfId="199" xr:uid="{00000000-0005-0000-0000-0000D8000000}"/>
    <cellStyle name="SAPLocked 2" xfId="200" xr:uid="{00000000-0005-0000-0000-0000D9000000}"/>
    <cellStyle name="SAPOutput" xfId="201" xr:uid="{00000000-0005-0000-0000-0000DA000000}"/>
    <cellStyle name="SAPOutput 2" xfId="202" xr:uid="{00000000-0005-0000-0000-0000DB000000}"/>
    <cellStyle name="SAPSpace" xfId="203" xr:uid="{00000000-0005-0000-0000-0000DC000000}"/>
    <cellStyle name="SAPSpace 2" xfId="204" xr:uid="{00000000-0005-0000-0000-0000DD000000}"/>
    <cellStyle name="SAPText" xfId="205" xr:uid="{00000000-0005-0000-0000-0000DE000000}"/>
    <cellStyle name="SAPText 2" xfId="206" xr:uid="{00000000-0005-0000-0000-0000DF000000}"/>
    <cellStyle name="SAPUnLocked" xfId="207" xr:uid="{00000000-0005-0000-0000-0000E0000000}"/>
    <cellStyle name="SAPUnLocked 2" xfId="208" xr:uid="{00000000-0005-0000-0000-0000E1000000}"/>
    <cellStyle name="Sheet Title" xfId="209" xr:uid="{00000000-0005-0000-0000-0000E2000000}"/>
    <cellStyle name="SheetHeader1" xfId="256" xr:uid="{00000000-0005-0000-0000-0000E3000000}"/>
    <cellStyle name="SheetHeader2" xfId="257" xr:uid="{00000000-0005-0000-0000-0000E4000000}"/>
    <cellStyle name="SheetHeader3" xfId="258" xr:uid="{00000000-0005-0000-0000-0000E5000000}"/>
    <cellStyle name="Style 1" xfId="210" xr:uid="{00000000-0005-0000-0000-0000E6000000}"/>
    <cellStyle name="Style 1 2" xfId="211" xr:uid="{00000000-0005-0000-0000-0000E7000000}"/>
    <cellStyle name="Style 1_29(d) - Gas extensions -tariffs" xfId="212" xr:uid="{00000000-0005-0000-0000-0000E8000000}"/>
    <cellStyle name="Style2" xfId="213" xr:uid="{00000000-0005-0000-0000-0000E9000000}"/>
    <cellStyle name="Style3" xfId="214" xr:uid="{00000000-0005-0000-0000-0000EA000000}"/>
    <cellStyle name="Style4" xfId="215" xr:uid="{00000000-0005-0000-0000-0000EB000000}"/>
    <cellStyle name="Style4 2" xfId="216" xr:uid="{00000000-0005-0000-0000-0000EC000000}"/>
    <cellStyle name="Style4_29(d) - Gas extensions -tariffs" xfId="217" xr:uid="{00000000-0005-0000-0000-0000ED000000}"/>
    <cellStyle name="Style5" xfId="218" xr:uid="{00000000-0005-0000-0000-0000EE000000}"/>
    <cellStyle name="Style5 2" xfId="219" xr:uid="{00000000-0005-0000-0000-0000EF000000}"/>
    <cellStyle name="Style5_29(d) - Gas extensions -tariffs" xfId="220" xr:uid="{00000000-0005-0000-0000-0000F0000000}"/>
    <cellStyle name="Table Head Green" xfId="221" xr:uid="{00000000-0005-0000-0000-0000F1000000}"/>
    <cellStyle name="Table Head Green 2" xfId="350" xr:uid="{96B1A910-FC7C-4A8B-AC17-E7991FE58C03}"/>
    <cellStyle name="Table Head_pldt" xfId="222" xr:uid="{00000000-0005-0000-0000-0000F2000000}"/>
    <cellStyle name="Table Source" xfId="223" xr:uid="{00000000-0005-0000-0000-0000F3000000}"/>
    <cellStyle name="Table Units" xfId="224" xr:uid="{00000000-0005-0000-0000-0000F4000000}"/>
    <cellStyle name="Table_Heading" xfId="259" xr:uid="{00000000-0005-0000-0000-0000F5000000}"/>
    <cellStyle name="TableLvl2" xfId="275" xr:uid="{B5BD0719-D568-4DFD-A244-319985B525F1}"/>
    <cellStyle name="TableLvl3" xfId="276" xr:uid="{5410381B-AE5A-4E41-A698-2D7BDA770ABB}"/>
    <cellStyle name="Technical_Input" xfId="260" xr:uid="{00000000-0005-0000-0000-0000F6000000}"/>
    <cellStyle name="Text" xfId="225" xr:uid="{00000000-0005-0000-0000-0000F7000000}"/>
    <cellStyle name="Text 2" xfId="226" xr:uid="{00000000-0005-0000-0000-0000F8000000}"/>
    <cellStyle name="Text 3" xfId="227" xr:uid="{00000000-0005-0000-0000-0000F9000000}"/>
    <cellStyle name="Text Head 1" xfId="228" xr:uid="{00000000-0005-0000-0000-0000FA000000}"/>
    <cellStyle name="Text Head 2" xfId="229" xr:uid="{00000000-0005-0000-0000-0000FB000000}"/>
    <cellStyle name="Text Indent 2" xfId="230" xr:uid="{00000000-0005-0000-0000-0000FC000000}"/>
    <cellStyle name="Theirs" xfId="231" xr:uid="{00000000-0005-0000-0000-0000FD000000}"/>
    <cellStyle name="Title 2" xfId="232" xr:uid="{00000000-0005-0000-0000-0000FE000000}"/>
    <cellStyle name="TOC 1" xfId="233" xr:uid="{00000000-0005-0000-0000-0000FF000000}"/>
    <cellStyle name="TOC 2" xfId="234" xr:uid="{00000000-0005-0000-0000-000000010000}"/>
    <cellStyle name="TOC 3" xfId="235" xr:uid="{00000000-0005-0000-0000-000001010000}"/>
    <cellStyle name="Total 2" xfId="236" xr:uid="{00000000-0005-0000-0000-000002010000}"/>
    <cellStyle name="Totals" xfId="261" xr:uid="{00000000-0005-0000-0000-000003010000}"/>
    <cellStyle name="unit" xfId="262" xr:uid="{00000000-0005-0000-0000-000004010000}"/>
    <cellStyle name="User_Input" xfId="263" xr:uid="{00000000-0005-0000-0000-000005010000}"/>
    <cellStyle name="Warning Text 2" xfId="237" xr:uid="{00000000-0005-0000-0000-000006010000}"/>
    <cellStyle name="year" xfId="238" xr:uid="{00000000-0005-0000-0000-000007010000}"/>
    <cellStyle name="year 2" xfId="239" xr:uid="{00000000-0005-0000-0000-000008010000}"/>
    <cellStyle name="year 2 2" xfId="352" xr:uid="{80688001-1324-48B6-9C55-A538BC4160FC}"/>
    <cellStyle name="year 3" xfId="351" xr:uid="{2B4C7264-512D-459A-B601-96E42781C7F7}"/>
    <cellStyle name="year_29(d) - Gas extensions -tariffs" xfId="240" xr:uid="{00000000-0005-0000-0000-000009010000}"/>
  </cellStyles>
  <dxfs count="2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56C"/>
      <color rgb="FF263A69"/>
      <color rgb="FF4FBDE0"/>
      <color rgb="FF0F90C0"/>
      <color rgb="FF185CAA"/>
      <color rgb="FF3EB08E"/>
      <color rgb="FF4BACC6"/>
      <color rgb="FFCDDC29"/>
      <color rgb="FF031F73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%20Models/ASG%20&#8211;%20GAAR%202024-28%20-%20EPA%20cost%20build%20up%20&#8211;%202%20SEP%202022%20&#8211;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"/>
      <sheetName val="Sites Locations Risk"/>
    </sheetNames>
    <sheetDataSet>
      <sheetData sheetId="0">
        <row r="10">
          <cell r="B10">
            <v>-1.2031124820793826E-3</v>
          </cell>
          <cell r="C10">
            <v>0.31973270214358873</v>
          </cell>
          <cell r="D10">
            <v>0.30878906282482205</v>
          </cell>
          <cell r="E10">
            <v>0.39021080562919747</v>
          </cell>
          <cell r="F10">
            <v>0.27979681042913124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185</v>
      </c>
      <c r="D10" s="7" t="s">
        <v>176</v>
      </c>
    </row>
    <row r="11" spans="1:47">
      <c r="C11" s="19" t="s">
        <v>59</v>
      </c>
      <c r="D11" s="7" t="s">
        <v>50</v>
      </c>
    </row>
    <row r="12" spans="1:47">
      <c r="C12" s="19" t="s">
        <v>186</v>
      </c>
      <c r="D12" s="7" t="s">
        <v>177</v>
      </c>
    </row>
    <row r="13" spans="1:47">
      <c r="C13" s="19" t="s">
        <v>187</v>
      </c>
      <c r="D13" s="7" t="s">
        <v>178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8"/>
  <sheetViews>
    <sheetView zoomScaleNormal="100" workbookViewId="0">
      <selection activeCell="B1" sqref="B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194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52" t="s">
        <v>134</v>
      </c>
      <c r="H8" s="29"/>
      <c r="I8" s="29"/>
      <c r="J8" s="195"/>
      <c r="K8" s="195"/>
      <c r="L8" s="195"/>
      <c r="M8" s="195"/>
      <c r="N8" s="195"/>
      <c r="O8" s="195"/>
      <c r="P8" s="195"/>
      <c r="S8" s="131" t="str">
        <f>IF(COUNTBLANK($G8),"Check","Ok")</f>
        <v>Ok</v>
      </c>
    </row>
    <row r="9" spans="1:47">
      <c r="C9" s="29" t="s">
        <v>181</v>
      </c>
      <c r="D9" s="30" t="s">
        <v>67</v>
      </c>
      <c r="E9" s="29"/>
      <c r="F9" s="29"/>
      <c r="G9" s="151">
        <v>36861</v>
      </c>
      <c r="H9" s="29"/>
      <c r="I9" s="29"/>
      <c r="J9" s="195"/>
      <c r="K9" s="195"/>
      <c r="L9" s="195"/>
      <c r="M9" s="195"/>
      <c r="N9" s="195"/>
      <c r="O9" s="195"/>
      <c r="P9" s="195"/>
      <c r="S9" s="131" t="str">
        <f>IF(COUNTBLANK($G9),"Check","Ok")</f>
        <v>Ok</v>
      </c>
    </row>
    <row r="10" spans="1:47">
      <c r="C10" s="29" t="s">
        <v>182</v>
      </c>
      <c r="D10" s="30" t="s">
        <v>67</v>
      </c>
      <c r="E10" s="29"/>
      <c r="F10" s="29"/>
      <c r="G10" s="151">
        <v>36678</v>
      </c>
      <c r="H10" s="29"/>
      <c r="I10" s="222"/>
      <c r="J10" s="222"/>
      <c r="K10" s="195"/>
      <c r="L10" s="195"/>
      <c r="M10" s="195"/>
      <c r="N10" s="195"/>
      <c r="O10" s="195"/>
      <c r="P10" s="195"/>
      <c r="S10" s="131" t="str">
        <f>IF(COUNTBLANK($G10),"Check","Ok")</f>
        <v>Ok</v>
      </c>
    </row>
    <row r="11" spans="1:47">
      <c r="C11" s="29" t="s">
        <v>183</v>
      </c>
      <c r="D11" s="30" t="s">
        <v>67</v>
      </c>
      <c r="E11" s="29"/>
      <c r="F11" s="29"/>
      <c r="G11" s="152">
        <v>2018</v>
      </c>
      <c r="H11" s="29"/>
      <c r="I11" s="222"/>
      <c r="J11" s="222"/>
      <c r="K11" s="195"/>
      <c r="L11" s="195"/>
      <c r="M11" s="195"/>
      <c r="N11" s="195"/>
      <c r="O11" s="195"/>
      <c r="P11" s="195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2021</v>
      </c>
      <c r="H12" s="29"/>
      <c r="I12" s="222"/>
      <c r="J12" s="222"/>
      <c r="K12" s="195"/>
      <c r="L12" s="195"/>
      <c r="M12" s="195"/>
      <c r="N12" s="195"/>
      <c r="O12" s="195"/>
      <c r="P12" s="195"/>
      <c r="S12" s="131" t="str">
        <f t="shared" ref="S12:S16" si="0">IF(COUNTBLANK($G12),"Check","Ok")</f>
        <v>Ok</v>
      </c>
    </row>
    <row r="13" spans="1:47">
      <c r="C13" s="29" t="s">
        <v>148</v>
      </c>
      <c r="D13" s="30" t="s">
        <v>67</v>
      </c>
      <c r="E13" s="29"/>
      <c r="F13" s="29"/>
      <c r="G13" s="152">
        <v>2022</v>
      </c>
      <c r="H13" s="29"/>
      <c r="I13" s="29"/>
      <c r="J13" s="195"/>
      <c r="K13" s="195"/>
      <c r="L13" s="195"/>
      <c r="M13" s="195"/>
      <c r="N13" s="195"/>
      <c r="O13" s="195"/>
      <c r="S13" s="131" t="str">
        <f t="shared" si="0"/>
        <v>Ok</v>
      </c>
    </row>
    <row r="14" spans="1:47">
      <c r="C14" s="29" t="s">
        <v>184</v>
      </c>
      <c r="D14" s="30" t="s">
        <v>67</v>
      </c>
      <c r="E14" s="29"/>
      <c r="F14" s="29"/>
      <c r="G14" s="152">
        <v>2023</v>
      </c>
      <c r="H14" s="29"/>
      <c r="I14" s="29"/>
      <c r="J14" s="195"/>
      <c r="K14" s="195"/>
      <c r="L14" s="195"/>
      <c r="M14" s="195"/>
      <c r="N14" s="195"/>
      <c r="O14" s="195"/>
      <c r="P14" s="195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2024</v>
      </c>
      <c r="H15" s="29"/>
      <c r="I15" s="29"/>
      <c r="J15" s="195"/>
      <c r="K15" s="195"/>
      <c r="L15" s="195"/>
      <c r="M15" s="195"/>
      <c r="N15" s="195"/>
      <c r="O15" s="195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2028</v>
      </c>
      <c r="H16" s="29"/>
      <c r="I16" s="29"/>
      <c r="J16" s="195"/>
      <c r="K16" s="195"/>
      <c r="L16" s="195"/>
      <c r="M16" s="195"/>
      <c r="N16" s="195"/>
      <c r="O16" s="195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</sheetData>
  <dataConsolidate/>
  <conditionalFormatting sqref="W16:W17">
    <cfRule type="cellIs" dxfId="253" priority="13" operator="equal">
      <formula>"Check"</formula>
    </cfRule>
    <cfRule type="cellIs" dxfId="252" priority="14" operator="equal">
      <formula>"Ok"</formula>
    </cfRule>
  </conditionalFormatting>
  <conditionalFormatting sqref="V1">
    <cfRule type="cellIs" dxfId="251" priority="3" operator="equal">
      <formula>"Check"</formula>
    </cfRule>
    <cfRule type="cellIs" dxfId="250" priority="4" operator="equal">
      <formula>"Ok"</formula>
    </cfRule>
  </conditionalFormatting>
  <conditionalFormatting sqref="S7:S16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S1">
    <cfRule type="cellIs" dxfId="247" priority="1" operator="equal">
      <formula>"Check"</formula>
    </cfRule>
    <cfRule type="cellIs" dxfId="246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topLeftCell="A61" zoomScale="85" zoomScaleNormal="85" workbookViewId="0">
      <selection activeCell="E20" sqref="E20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224">
        <f t="shared" si="1"/>
        <v>-3.4843205574912606E-3</v>
      </c>
      <c r="H62" s="225"/>
      <c r="I62" s="195"/>
      <c r="J62" s="195"/>
      <c r="K62" s="195"/>
      <c r="L62" s="195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224">
        <f t="shared" si="1"/>
        <v>6.9324090121316573E-3</v>
      </c>
      <c r="H63" s="225"/>
      <c r="I63" s="195"/>
      <c r="J63" s="195"/>
      <c r="K63" s="195"/>
      <c r="L63" s="195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224">
        <f t="shared" si="1"/>
        <v>8.6058519793459354E-3</v>
      </c>
      <c r="H64" s="225"/>
      <c r="I64" s="195"/>
      <c r="J64" s="195"/>
      <c r="K64" s="195"/>
      <c r="L64" s="195"/>
      <c r="T64" s="131" t="str">
        <f>IF(C64&gt;EOMONTH(DATE('Input|General'!$G$13,MONTH('Input|General'!$G$9),1),0),"Ok",IF(ISBLANK($F64),"Check","Ok"))</f>
        <v>Ok</v>
      </c>
    </row>
    <row r="65" spans="3:20">
      <c r="C65" s="64">
        <v>44286</v>
      </c>
      <c r="D65" s="29"/>
      <c r="E65" s="29"/>
      <c r="F65" s="63">
        <v>117.9</v>
      </c>
      <c r="G65" s="224">
        <f>IF(ISBLANK(F65),"",F65/F61-1)</f>
        <v>1.1149228130360234E-2</v>
      </c>
      <c r="H65" s="225"/>
      <c r="I65" s="195"/>
      <c r="J65" s="195"/>
      <c r="K65" s="195"/>
      <c r="L65" s="195"/>
      <c r="T65" s="131" t="str">
        <f>IF(C65&gt;EOMONTH(DATE('Input|General'!$G$13,MONTH('Input|General'!$G$9),1),0),"Ok",IF(ISBLANK($F65),"Check","Ok"))</f>
        <v>Ok</v>
      </c>
    </row>
    <row r="66" spans="3:20">
      <c r="C66" s="64">
        <v>44377</v>
      </c>
      <c r="D66" s="29"/>
      <c r="E66" s="29"/>
      <c r="F66" s="63">
        <v>118.8</v>
      </c>
      <c r="G66" s="224">
        <f>IF(ISBLANK(F66),"",F66/F62-1)</f>
        <v>3.8461538461538325E-2</v>
      </c>
      <c r="H66" s="225"/>
      <c r="I66" s="195"/>
      <c r="J66" s="195"/>
      <c r="K66" s="195"/>
      <c r="L66" s="195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v>119.7</v>
      </c>
      <c r="G67" s="224">
        <f t="shared" ref="G67:G70" si="2">IF(ISBLANK(F67),"",F67/F63-1)</f>
        <v>3.0120481927710774E-2</v>
      </c>
      <c r="H67" s="225"/>
      <c r="I67" s="195"/>
      <c r="J67" s="195"/>
      <c r="K67" s="195"/>
      <c r="L67" s="195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v>121.3</v>
      </c>
      <c r="G68" s="224">
        <f t="shared" si="2"/>
        <v>3.4982935153583528E-2</v>
      </c>
      <c r="H68" s="225"/>
      <c r="I68" s="195"/>
      <c r="J68" s="195"/>
      <c r="K68" s="195"/>
      <c r="L68" s="195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>
        <v>123.9</v>
      </c>
      <c r="G69" s="224">
        <f t="shared" si="2"/>
        <v>5.0890585241730291E-2</v>
      </c>
      <c r="H69" s="225"/>
      <c r="I69" s="195"/>
      <c r="J69" s="195"/>
      <c r="K69" s="195"/>
      <c r="L69" s="195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>
        <v>126.1</v>
      </c>
      <c r="G70" s="224">
        <f t="shared" si="2"/>
        <v>6.1447811447811418E-2</v>
      </c>
      <c r="H70" s="225"/>
      <c r="I70" s="195"/>
      <c r="J70" s="195"/>
      <c r="K70" s="195"/>
      <c r="L70" s="195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>
        <f>AVERAGE(F70,F72)</f>
        <v>128.4307</v>
      </c>
      <c r="G71" s="224">
        <f>IF(ISBLANK(F71),"",F71/F67-1)</f>
        <v>7.293817878028408E-2</v>
      </c>
      <c r="H71" s="225"/>
      <c r="I71" s="195"/>
      <c r="J71" s="195"/>
      <c r="K71" s="195"/>
      <c r="L71" s="195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>
        <f>(F68*(1+G72))</f>
        <v>130.76140000000001</v>
      </c>
      <c r="G72" s="224">
        <v>7.8E-2</v>
      </c>
      <c r="H72" s="225"/>
      <c r="I72" s="195"/>
      <c r="J72" s="195"/>
      <c r="K72" s="195"/>
      <c r="L72" s="195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>
        <f>AVERAGE(F72,F74)</f>
        <v>132.33980000000003</v>
      </c>
      <c r="G73" s="224">
        <f t="shared" ref="G73:G79" si="3">IF(ISBLANK(F73),"",F73/F69-1)</f>
        <v>6.8117836965294831E-2</v>
      </c>
      <c r="H73" s="225"/>
      <c r="I73" s="195"/>
      <c r="J73" s="195"/>
      <c r="K73" s="195"/>
      <c r="L73" s="195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>
        <f>(F70*(1+G74))</f>
        <v>133.91820000000001</v>
      </c>
      <c r="G74" s="224">
        <v>6.2E-2</v>
      </c>
      <c r="H74" s="225"/>
      <c r="I74" s="195"/>
      <c r="J74" s="195"/>
      <c r="K74" s="195"/>
      <c r="L74" s="195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>
        <f>AVERAGE(F74,F76)</f>
        <v>135.1511701</v>
      </c>
      <c r="G75" s="224">
        <f t="shared" si="3"/>
        <v>5.2327598463607128E-2</v>
      </c>
      <c r="H75" s="225"/>
      <c r="I75" s="195"/>
      <c r="J75" s="195"/>
      <c r="K75" s="195"/>
      <c r="L75" s="195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>
        <f>(F72*(1+G76))</f>
        <v>136.38414019999999</v>
      </c>
      <c r="G76" s="224">
        <v>4.2999999999999997E-2</v>
      </c>
      <c r="H76" s="225"/>
      <c r="I76" s="195"/>
      <c r="J76" s="195"/>
      <c r="K76" s="195"/>
      <c r="L76" s="195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>
        <f>AVERAGE(F76,F78)</f>
        <v>137.49473860000001</v>
      </c>
      <c r="G77" s="224">
        <f t="shared" si="3"/>
        <v>3.8952292507620445E-2</v>
      </c>
      <c r="H77" s="225"/>
      <c r="I77" s="195"/>
      <c r="J77" s="195"/>
      <c r="K77" s="195"/>
      <c r="L77" s="195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>
        <f>(F74*(1+G78))</f>
        <v>138.60533699999999</v>
      </c>
      <c r="G78" s="224">
        <v>3.5000000000000003E-2</v>
      </c>
      <c r="H78" s="225"/>
      <c r="I78" s="195"/>
      <c r="J78" s="195"/>
      <c r="K78" s="195"/>
      <c r="L78" s="195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>
        <f>AVERAGE(F78,F80)</f>
        <v>139.54050070299999</v>
      </c>
      <c r="G79" s="224">
        <f t="shared" si="3"/>
        <v>3.2477192759428286E-2</v>
      </c>
      <c r="H79" s="225"/>
      <c r="I79" s="195"/>
      <c r="J79" s="195"/>
      <c r="K79" s="195"/>
      <c r="L79" s="195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>
        <f t="shared" ref="F80:F84" si="4">(F76*(1+G80))</f>
        <v>140.47566440599999</v>
      </c>
      <c r="G80" s="224">
        <v>0.03</v>
      </c>
      <c r="H80" s="225"/>
      <c r="I80" s="195"/>
      <c r="J80" s="195"/>
      <c r="K80" s="195"/>
      <c r="L80" s="195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>
        <f>(F77*(1+G81))</f>
        <v>140.932107065</v>
      </c>
      <c r="G81" s="224">
        <v>2.5000000000000001E-2</v>
      </c>
      <c r="H81" s="225"/>
      <c r="I81" s="195"/>
      <c r="J81" s="195"/>
      <c r="K81" s="195"/>
      <c r="L81" s="195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>
        <f t="shared" si="4"/>
        <v>142.07047042499997</v>
      </c>
      <c r="G82" s="224">
        <v>2.5000000000000001E-2</v>
      </c>
      <c r="H82" s="225"/>
      <c r="I82" s="195"/>
      <c r="J82" s="195"/>
      <c r="K82" s="195"/>
      <c r="L82" s="195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>
        <f t="shared" si="4"/>
        <v>143.02901322057497</v>
      </c>
      <c r="G83" s="224">
        <v>2.5000000000000001E-2</v>
      </c>
      <c r="H83" s="225"/>
      <c r="I83" s="195"/>
      <c r="J83" s="195"/>
      <c r="K83" s="195"/>
      <c r="L83" s="195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>
        <f t="shared" si="4"/>
        <v>143.98755601614997</v>
      </c>
      <c r="G84" s="224">
        <v>2.5000000000000001E-2</v>
      </c>
      <c r="H84" s="225"/>
      <c r="I84" s="195"/>
      <c r="J84" s="195"/>
      <c r="K84" s="195"/>
      <c r="L84" s="195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45" priority="11" operator="equal">
      <formula>"Check"</formula>
    </cfRule>
    <cfRule type="cellIs" dxfId="244" priority="12" operator="equal">
      <formula>"Ok"</formula>
    </cfRule>
  </conditionalFormatting>
  <conditionalFormatting sqref="W1">
    <cfRule type="cellIs" dxfId="243" priority="7" operator="equal">
      <formula>"Check"</formula>
    </cfRule>
    <cfRule type="cellIs" dxfId="242" priority="8" operator="equal">
      <formula>"Ok"</formula>
    </cfRule>
  </conditionalFormatting>
  <conditionalFormatting sqref="T1">
    <cfRule type="cellIs" dxfId="241" priority="5" operator="equal">
      <formula>"Check"</formula>
    </cfRule>
    <cfRule type="cellIs" dxfId="240" priority="6" operator="equal">
      <formula>"Ok"</formula>
    </cfRule>
  </conditionalFormatting>
  <conditionalFormatting sqref="X51:X57">
    <cfRule type="cellIs" dxfId="239" priority="3" operator="equal">
      <formula>"Check"</formula>
    </cfRule>
    <cfRule type="cellIs" dxfId="238" priority="4" operator="equal">
      <formula>"Ok"</formula>
    </cfRule>
  </conditionalFormatting>
  <conditionalFormatting sqref="X58:X62 T9:T84">
    <cfRule type="cellIs" dxfId="237" priority="1" operator="equal">
      <formula>"Check"</formula>
    </cfRule>
    <cfRule type="cellIs" dxfId="236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5"/>
  <sheetViews>
    <sheetView zoomScaleNormal="100" workbookViewId="0"/>
  </sheetViews>
  <sheetFormatPr defaultColWidth="0" defaultRowHeight="11.25" zeroHeight="1"/>
  <cols>
    <col min="1" max="2" width="1.6640625" style="103" customWidth="1"/>
    <col min="3" max="3" width="32" style="103" customWidth="1"/>
    <col min="4" max="6" width="13.33203125" style="103" customWidth="1"/>
    <col min="7" max="9" width="3.33203125" style="103" customWidth="1"/>
    <col min="10" max="12" width="10.83203125" style="103" customWidth="1"/>
    <col min="13" max="13" width="12.5" style="103" customWidth="1"/>
    <col min="14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195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35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43435</v>
      </c>
      <c r="K10" s="156">
        <f t="shared" si="0"/>
        <v>43800</v>
      </c>
      <c r="L10" s="156">
        <f t="shared" si="0"/>
        <v>44166</v>
      </c>
      <c r="M10" s="156">
        <f t="shared" si="0"/>
        <v>44531</v>
      </c>
      <c r="N10" s="156">
        <f t="shared" si="0"/>
        <v>44896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195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6"/>
      <c r="K12" s="236"/>
      <c r="L12" s="236"/>
      <c r="M12" s="236"/>
      <c r="N12" s="236"/>
      <c r="O12" s="236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43070</v>
      </c>
      <c r="G13" s="32"/>
      <c r="H13" s="32"/>
      <c r="I13" s="30"/>
      <c r="J13" s="161">
        <v>52.957611143130066</v>
      </c>
      <c r="K13" s="161">
        <v>53.628115090028857</v>
      </c>
      <c r="L13" s="161">
        <v>54.283368266048043</v>
      </c>
      <c r="M13" s="161">
        <v>55.346133774432417</v>
      </c>
      <c r="N13" s="161">
        <v>56.087063759587913</v>
      </c>
      <c r="O13" s="206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43070</v>
      </c>
      <c r="G15" s="32"/>
      <c r="H15" s="32"/>
      <c r="I15" s="30"/>
      <c r="J15" s="129">
        <f>J13</f>
        <v>52.957611143130066</v>
      </c>
      <c r="K15" s="129">
        <f t="shared" ref="K15:T15" si="1">K13</f>
        <v>53.628115090028857</v>
      </c>
      <c r="L15" s="129">
        <f t="shared" si="1"/>
        <v>54.283368266048043</v>
      </c>
      <c r="M15" s="129">
        <f t="shared" si="1"/>
        <v>55.346133774432417</v>
      </c>
      <c r="N15" s="129">
        <f t="shared" si="1"/>
        <v>56.087063759587913</v>
      </c>
      <c r="O15" s="129">
        <f>O13</f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195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6"/>
      <c r="L17" s="236"/>
      <c r="M17" s="236"/>
      <c r="N17" s="236"/>
      <c r="O17" s="236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6"/>
      <c r="K18" s="236"/>
      <c r="L18" s="236"/>
      <c r="M18" s="236"/>
      <c r="N18" s="236"/>
      <c r="O18" s="236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43070</v>
      </c>
      <c r="G19" s="32"/>
      <c r="H19" s="32"/>
      <c r="I19" s="30"/>
      <c r="J19" s="161">
        <v>0.78822741351726799</v>
      </c>
      <c r="K19" s="161">
        <v>0.80193801336764337</v>
      </c>
      <c r="L19" s="161">
        <v>0.81923203776083497</v>
      </c>
      <c r="M19" s="161">
        <v>0.83351901912812987</v>
      </c>
      <c r="N19" s="161">
        <v>0.84312840680123524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201</v>
      </c>
      <c r="D20" s="30" t="s">
        <v>68</v>
      </c>
      <c r="E20" s="30" t="str">
        <f t="shared" ref="E20:E27" si="3">$E$15</f>
        <v>$millions</v>
      </c>
      <c r="F20" s="158">
        <f t="shared" si="2"/>
        <v>43070</v>
      </c>
      <c r="G20" s="32"/>
      <c r="H20" s="32"/>
      <c r="I20" s="30"/>
      <c r="J20" s="161">
        <v>2.71</v>
      </c>
      <c r="K20" s="161">
        <v>2.74</v>
      </c>
      <c r="L20" s="161">
        <v>2.78</v>
      </c>
      <c r="M20" s="161">
        <v>2.82</v>
      </c>
      <c r="N20" s="161">
        <v>2.85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43070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43070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43070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43070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43070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>$E$15</f>
        <v>$millions</v>
      </c>
      <c r="F26" s="158">
        <f t="shared" si="2"/>
        <v>43070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43070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43070</v>
      </c>
      <c r="G29" s="32"/>
      <c r="H29" s="32"/>
      <c r="I29" s="30"/>
      <c r="J29" s="129">
        <f>SUM(J19:J27)</f>
        <v>3.498227413517268</v>
      </c>
      <c r="K29" s="129">
        <f t="shared" ref="K29:S29" si="4">SUM(K19:K27)</f>
        <v>3.5419380133676435</v>
      </c>
      <c r="L29" s="129">
        <f t="shared" si="4"/>
        <v>3.5992320377608347</v>
      </c>
      <c r="M29" s="129">
        <f t="shared" si="4"/>
        <v>3.6535190191281295</v>
      </c>
      <c r="N29" s="129">
        <f>SUM(N19:N27)</f>
        <v>3.6931284068012351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29"/>
      <c r="K30" s="229"/>
      <c r="L30" s="229"/>
      <c r="M30" s="229"/>
      <c r="N30" s="2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196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45078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95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44896</v>
      </c>
      <c r="G36" s="32"/>
      <c r="H36" s="32"/>
      <c r="I36" s="30"/>
      <c r="J36" s="161"/>
      <c r="K36" s="161"/>
      <c r="L36" s="161"/>
      <c r="M36" s="161"/>
      <c r="N36" s="161"/>
      <c r="O36" s="161">
        <v>31.608229179498768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44896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31.608229179498768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105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157</v>
      </c>
      <c r="D40" s="30"/>
      <c r="E40" s="30"/>
      <c r="F40" s="105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105"/>
      <c r="G41" s="32"/>
      <c r="H41" s="32"/>
      <c r="I41" s="30"/>
      <c r="J41" s="23"/>
      <c r="K41" s="23"/>
      <c r="L41" s="23"/>
      <c r="M41" s="23"/>
      <c r="N41" s="23"/>
      <c r="O41" s="195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239">
        <f>$F$52</f>
        <v>44896</v>
      </c>
      <c r="G42" s="32"/>
      <c r="H42" s="32"/>
      <c r="I42" s="30"/>
      <c r="J42" s="161"/>
      <c r="K42" s="161"/>
      <c r="L42" s="161"/>
      <c r="M42" s="161"/>
      <c r="N42" s="161"/>
      <c r="O42" s="161">
        <v>0.43795968482053105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201</v>
      </c>
      <c r="D43" s="30" t="s">
        <v>68</v>
      </c>
      <c r="E43" s="30" t="str">
        <f t="shared" ref="E43:E50" si="7">$E$52</f>
        <v>$millions</v>
      </c>
      <c r="F43" s="239">
        <f t="shared" ref="F43:F50" si="8">$F$52</f>
        <v>44896</v>
      </c>
      <c r="G43" s="32"/>
      <c r="H43" s="32"/>
      <c r="I43" s="30"/>
      <c r="J43" s="161"/>
      <c r="K43" s="161"/>
      <c r="L43" s="161"/>
      <c r="M43" s="161"/>
      <c r="N43" s="161"/>
      <c r="O43" s="161">
        <v>1.6080546668613074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239">
        <f t="shared" si="8"/>
        <v>44896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44896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44896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44896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44896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>$F$52</f>
        <v>44896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44896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155</v>
      </c>
      <c r="D52" s="140" t="s">
        <v>30</v>
      </c>
      <c r="E52" s="130" t="s">
        <v>15</v>
      </c>
      <c r="F52" s="159">
        <v>44896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>SUM(O42:O50)</f>
        <v>2.0460143516818383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73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43435</v>
      </c>
      <c r="K57" s="156">
        <f t="shared" ref="K57:O57" si="10">K$4</f>
        <v>43800</v>
      </c>
      <c r="L57" s="156">
        <f t="shared" si="10"/>
        <v>44166</v>
      </c>
      <c r="M57" s="156">
        <f t="shared" si="10"/>
        <v>44531</v>
      </c>
      <c r="N57" s="156">
        <f t="shared" si="10"/>
        <v>44896</v>
      </c>
      <c r="O57" s="156">
        <f t="shared" si="10"/>
        <v>45078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195"/>
      <c r="K59" s="195"/>
      <c r="L59" s="195"/>
      <c r="M59" s="195"/>
      <c r="N59" s="195"/>
      <c r="O59" s="195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v>56.461202050584006</v>
      </c>
      <c r="K60" s="161">
        <v>57.043175539999993</v>
      </c>
      <c r="L60" s="161">
        <v>57.59168140618268</v>
      </c>
      <c r="M60" s="226">
        <v>56.505266139817323</v>
      </c>
      <c r="N60" s="226">
        <v>52.406321301125345</v>
      </c>
      <c r="O60" s="161"/>
      <c r="P60" s="150"/>
      <c r="Q60" s="150"/>
      <c r="R60" s="150"/>
      <c r="S60" s="150"/>
      <c r="T60" s="150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61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172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61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 hidden="1">
      <c r="A63" s="29"/>
      <c r="B63" s="29"/>
      <c r="C63" s="67"/>
      <c r="D63" s="30"/>
      <c r="E63" s="30"/>
      <c r="F63" s="158"/>
      <c r="G63" s="32"/>
      <c r="H63" s="32"/>
      <c r="I63" s="30"/>
      <c r="J63" s="227" t="s">
        <v>206</v>
      </c>
      <c r="K63" s="227" t="s">
        <v>207</v>
      </c>
      <c r="L63" s="227" t="s">
        <v>208</v>
      </c>
      <c r="M63" s="228" t="s">
        <v>209</v>
      </c>
      <c r="N63" s="228" t="s">
        <v>209</v>
      </c>
      <c r="O63" s="161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198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-0.60980507292822561</v>
      </c>
      <c r="K64" s="161">
        <v>1.8414755068624415</v>
      </c>
      <c r="L64" s="161">
        <v>0.71213740053764518</v>
      </c>
      <c r="M64" s="161">
        <v>-1.2487256284413246</v>
      </c>
      <c r="N64" s="161">
        <v>0</v>
      </c>
      <c r="O64" s="161"/>
      <c r="P64" s="150"/>
      <c r="Q64" s="150"/>
      <c r="R64" s="150"/>
      <c r="S64" s="150"/>
      <c r="T64" s="150"/>
      <c r="U64" s="150"/>
      <c r="V64" s="29"/>
      <c r="W64" s="29"/>
      <c r="X64" s="29"/>
    </row>
    <row r="65" spans="1:24">
      <c r="A65" s="29"/>
      <c r="B65" s="29"/>
      <c r="C65" s="61" t="s">
        <v>199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7.9999999998835845E-7</v>
      </c>
      <c r="K65" s="161">
        <v>2.206947</v>
      </c>
      <c r="L65" s="161">
        <v>2.2521570299999993</v>
      </c>
      <c r="M65" s="161">
        <v>1.2410590000000001E-2</v>
      </c>
      <c r="N65" s="161">
        <v>0</v>
      </c>
      <c r="O65" s="161"/>
      <c r="P65" s="150"/>
      <c r="Q65" s="150"/>
      <c r="R65" s="150"/>
      <c r="S65" s="150"/>
      <c r="T65" s="150"/>
      <c r="U65" s="150"/>
      <c r="V65" s="29"/>
      <c r="W65" s="29"/>
      <c r="X65" s="29"/>
    </row>
    <row r="66" spans="1:24">
      <c r="A66" s="29"/>
      <c r="B66" s="29"/>
      <c r="C66" s="61" t="s">
        <v>200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>
        <v>0.29265105000000002</v>
      </c>
      <c r="K66" s="161">
        <v>1.0450458499999999</v>
      </c>
      <c r="L66" s="161">
        <v>2.0083890699999998</v>
      </c>
      <c r="M66" s="161">
        <v>4.3187076699999913</v>
      </c>
      <c r="N66" s="161">
        <v>0</v>
      </c>
      <c r="O66" s="150"/>
      <c r="P66" s="150"/>
      <c r="Q66" s="150"/>
      <c r="R66" s="150"/>
      <c r="S66" s="150"/>
      <c r="T66" s="150"/>
      <c r="U66" s="150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 t="s">
        <v>201</v>
      </c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226">
        <v>4.0843866799999997</v>
      </c>
      <c r="K68" s="226">
        <v>3.9376387117247376</v>
      </c>
      <c r="L68" s="226">
        <v>3.4630701400000001</v>
      </c>
      <c r="M68" s="161">
        <v>1.8760027100000003</v>
      </c>
      <c r="N68" s="161">
        <v>4.056435864756887</v>
      </c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171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52.693968593512231</v>
      </c>
      <c r="K70" s="129">
        <f>K60-SUM(K64:K68)</f>
        <v>48.012068471412817</v>
      </c>
      <c r="L70" s="129">
        <f>L60-SUM(L64:L68)</f>
        <v>49.155927765645032</v>
      </c>
      <c r="M70" s="129">
        <f>M60-SUM(M64:M68)</f>
        <v>51.546870798258652</v>
      </c>
      <c r="N70" s="129">
        <f t="shared" ref="N70:S70" si="12">N60-SUM(N64:N68)</f>
        <v>48.34988543636846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105"/>
      <c r="J73" s="242"/>
      <c r="K73" s="242"/>
      <c r="L73" s="242"/>
      <c r="M73" s="244"/>
      <c r="N73" s="244"/>
      <c r="O73" s="195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v>0</v>
      </c>
      <c r="M74" s="161">
        <v>0</v>
      </c>
      <c r="N74" s="161">
        <v>0</v>
      </c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/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/>
      <c r="K75" s="161"/>
      <c r="L75" s="161"/>
      <c r="M75" s="161"/>
      <c r="N75" s="161"/>
      <c r="O75" s="161"/>
      <c r="P75" s="150"/>
      <c r="Q75" s="150"/>
      <c r="R75" s="150"/>
      <c r="S75" s="150"/>
      <c r="T75" s="150"/>
      <c r="U75" s="150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</v>
      </c>
      <c r="K79" s="184">
        <f t="shared" ref="K79:S79" si="14">SUM(K74:K77)</f>
        <v>0</v>
      </c>
      <c r="L79" s="184">
        <f t="shared" si="14"/>
        <v>0</v>
      </c>
      <c r="M79" s="184">
        <f>SUM(M74:M77)</f>
        <v>0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45078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205</v>
      </c>
      <c r="D85" s="30" t="s">
        <v>34</v>
      </c>
      <c r="E85" s="30" t="str">
        <f>$E$79</f>
        <v>$millions</v>
      </c>
      <c r="F85" s="169">
        <v>44531</v>
      </c>
      <c r="G85" s="32"/>
      <c r="H85" s="32"/>
      <c r="I85" s="32"/>
      <c r="J85" s="161"/>
      <c r="K85" s="161"/>
      <c r="L85" s="161"/>
      <c r="M85" s="161"/>
      <c r="N85" s="161"/>
      <c r="O85" s="161">
        <v>-5.1686655065</v>
      </c>
      <c r="P85" s="242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212</v>
      </c>
      <c r="D86" s="30" t="s">
        <v>34</v>
      </c>
      <c r="E86" s="30" t="str">
        <f t="shared" ref="E86:E91" si="15">$E$79</f>
        <v>$millions</v>
      </c>
      <c r="F86" s="169">
        <v>44531</v>
      </c>
      <c r="G86" s="32"/>
      <c r="H86" s="32"/>
      <c r="I86" s="32"/>
      <c r="J86" s="161"/>
      <c r="K86" s="161"/>
      <c r="L86" s="161"/>
      <c r="M86" s="161"/>
      <c r="N86" s="161"/>
      <c r="O86" s="161">
        <v>0.75977099999999997</v>
      </c>
      <c r="P86" s="242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/>
      <c r="D87" s="30" t="s">
        <v>34</v>
      </c>
      <c r="E87" s="30" t="str">
        <f t="shared" si="15"/>
        <v>$millions</v>
      </c>
      <c r="F87" s="169">
        <v>45078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/>
      <c r="D88" s="30" t="s">
        <v>34</v>
      </c>
      <c r="E88" s="30" t="str">
        <f t="shared" si="15"/>
        <v>$millions</v>
      </c>
      <c r="F88" s="169">
        <v>45078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45078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/>
      <c r="D91" s="30" t="s">
        <v>34</v>
      </c>
      <c r="E91" s="30" t="str">
        <f t="shared" si="15"/>
        <v>$millions</v>
      </c>
      <c r="F91" s="169">
        <v>45078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5" priority="59" operator="equal">
      <formula>"Check"</formula>
    </cfRule>
    <cfRule type="cellIs" dxfId="234" priority="60" operator="equal">
      <formula>"Ok"</formula>
    </cfRule>
  </conditionalFormatting>
  <conditionalFormatting sqref="X79">
    <cfRule type="cellIs" dxfId="233" priority="57" operator="equal">
      <formula>"Check"</formula>
    </cfRule>
    <cfRule type="cellIs" dxfId="232" priority="58" operator="equal">
      <formula>"Ok"</formula>
    </cfRule>
  </conditionalFormatting>
  <conditionalFormatting sqref="X15">
    <cfRule type="cellIs" dxfId="231" priority="55" operator="equal">
      <formula>"Check"</formula>
    </cfRule>
    <cfRule type="cellIs" dxfId="230" priority="56" operator="equal">
      <formula>"Ok"</formula>
    </cfRule>
  </conditionalFormatting>
  <conditionalFormatting sqref="W1">
    <cfRule type="cellIs" dxfId="229" priority="53" operator="equal">
      <formula>"Check"</formula>
    </cfRule>
    <cfRule type="cellIs" dxfId="228" priority="54" operator="equal">
      <formula>"Ok"</formula>
    </cfRule>
  </conditionalFormatting>
  <conditionalFormatting sqref="S1:T1">
    <cfRule type="cellIs" dxfId="227" priority="51" operator="equal">
      <formula>"Check"</formula>
    </cfRule>
    <cfRule type="cellIs" dxfId="226" priority="52" operator="equal">
      <formula>"Ok"</formula>
    </cfRule>
  </conditionalFormatting>
  <conditionalFormatting sqref="J15:T15">
    <cfRule type="cellIs" dxfId="225" priority="50" operator="equal">
      <formula>0</formula>
    </cfRule>
  </conditionalFormatting>
  <conditionalFormatting sqref="J79:S79">
    <cfRule type="cellIs" dxfId="224" priority="49" operator="equal">
      <formula>0</formula>
    </cfRule>
  </conditionalFormatting>
  <conditionalFormatting sqref="X71:X73">
    <cfRule type="cellIs" dxfId="223" priority="47" operator="equal">
      <formula>"Check"</formula>
    </cfRule>
    <cfRule type="cellIs" dxfId="222" priority="48" operator="equal">
      <formula>"Ok"</formula>
    </cfRule>
  </conditionalFormatting>
  <conditionalFormatting sqref="N60:T60 J74:S77 U64:U66 U75 J56:T56 J64:T68">
    <cfRule type="expression" dxfId="221" priority="45">
      <formula>J$57=J$4</formula>
    </cfRule>
  </conditionalFormatting>
  <conditionalFormatting sqref="P13:T13 O19:T19 J20:T27">
    <cfRule type="expression" dxfId="220" priority="44">
      <formula>J$10=J$4</formula>
    </cfRule>
  </conditionalFormatting>
  <conditionalFormatting sqref="L60:O60">
    <cfRule type="expression" dxfId="219" priority="41">
      <formula>L$10=L$4</formula>
    </cfRule>
  </conditionalFormatting>
  <conditionalFormatting sqref="X70">
    <cfRule type="cellIs" dxfId="218" priority="39" operator="equal">
      <formula>"Check"</formula>
    </cfRule>
    <cfRule type="cellIs" dxfId="217" priority="40" operator="equal">
      <formula>"Ok"</formula>
    </cfRule>
  </conditionalFormatting>
  <conditionalFormatting sqref="J70:S70">
    <cfRule type="cellIs" dxfId="216" priority="37" operator="equal">
      <formula>0</formula>
    </cfRule>
  </conditionalFormatting>
  <conditionalFormatting sqref="J91:T91 J93:T93 J85:T89">
    <cfRule type="expression" dxfId="215" priority="36">
      <formula>J$83=J$4</formula>
    </cfRule>
  </conditionalFormatting>
  <conditionalFormatting sqref="X29">
    <cfRule type="cellIs" dxfId="214" priority="32" operator="equal">
      <formula>"Check"</formula>
    </cfRule>
    <cfRule type="cellIs" dxfId="213" priority="33" operator="equal">
      <formula>"Ok"</formula>
    </cfRule>
  </conditionalFormatting>
  <conditionalFormatting sqref="J29:T29">
    <cfRule type="cellIs" dxfId="212" priority="31" operator="equal">
      <formula>0</formula>
    </cfRule>
  </conditionalFormatting>
  <conditionalFormatting sqref="O60">
    <cfRule type="expression" dxfId="211" priority="25">
      <formula>O$10=O$4</formula>
    </cfRule>
  </conditionalFormatting>
  <conditionalFormatting sqref="T79">
    <cfRule type="cellIs" dxfId="210" priority="24" operator="equal">
      <formula>0</formula>
    </cfRule>
  </conditionalFormatting>
  <conditionalFormatting sqref="T74:T77">
    <cfRule type="expression" dxfId="209" priority="23">
      <formula>T$57=T$4</formula>
    </cfRule>
  </conditionalFormatting>
  <conditionalFormatting sqref="T70">
    <cfRule type="cellIs" dxfId="208" priority="22" operator="equal">
      <formula>0</formula>
    </cfRule>
  </conditionalFormatting>
  <conditionalFormatting sqref="O13">
    <cfRule type="expression" dxfId="207" priority="20">
      <formula>O$10=O$4</formula>
    </cfRule>
  </conditionalFormatting>
  <conditionalFormatting sqref="X38">
    <cfRule type="cellIs" dxfId="206" priority="18" operator="equal">
      <formula>"Check"</formula>
    </cfRule>
    <cfRule type="cellIs" dxfId="205" priority="19" operator="equal">
      <formula>"Ok"</formula>
    </cfRule>
  </conditionalFormatting>
  <conditionalFormatting sqref="J38:T38">
    <cfRule type="cellIs" dxfId="204" priority="17" operator="equal">
      <formula>0</formula>
    </cfRule>
  </conditionalFormatting>
  <conditionalFormatting sqref="J42:N50 P42:T50">
    <cfRule type="expression" dxfId="203" priority="16">
      <formula>J$33=J$4</formula>
    </cfRule>
  </conditionalFormatting>
  <conditionalFormatting sqref="X52">
    <cfRule type="cellIs" dxfId="202" priority="14" operator="equal">
      <formula>"Check"</formula>
    </cfRule>
    <cfRule type="cellIs" dxfId="201" priority="15" operator="equal">
      <formula>"Ok"</formula>
    </cfRule>
  </conditionalFormatting>
  <conditionalFormatting sqref="J52:T52">
    <cfRule type="cellIs" dxfId="200" priority="13" operator="equal">
      <formula>0</formula>
    </cfRule>
  </conditionalFormatting>
  <conditionalFormatting sqref="J36">
    <cfRule type="expression" dxfId="199" priority="11">
      <formula>J$33=J$4</formula>
    </cfRule>
  </conditionalFormatting>
  <conditionalFormatting sqref="K36:T36">
    <cfRule type="expression" dxfId="198" priority="8">
      <formula>K$33=K$4</formula>
    </cfRule>
  </conditionalFormatting>
  <conditionalFormatting sqref="O42:O50">
    <cfRule type="expression" dxfId="197" priority="7">
      <formula>O$33=O$4</formula>
    </cfRule>
  </conditionalFormatting>
  <conditionalFormatting sqref="J13:N13">
    <cfRule type="expression" dxfId="196" priority="4">
      <formula>J$10=J$4</formula>
    </cfRule>
  </conditionalFormatting>
  <conditionalFormatting sqref="J19:N19">
    <cfRule type="expression" dxfId="195" priority="3">
      <formula>J$10=J$4</formula>
    </cfRule>
  </conditionalFormatting>
  <conditionalFormatting sqref="J60:K60">
    <cfRule type="expression" dxfId="194" priority="2">
      <formula>J$57=J$4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AF641206-1102-4FBB-AD94-1A9B392B8A45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11"/>
  <sheetViews>
    <sheetView zoomScaleNormal="100" workbookViewId="0">
      <selection activeCell="A18" sqref="A18"/>
    </sheetView>
  </sheetViews>
  <sheetFormatPr defaultColWidth="9.33203125" defaultRowHeight="11.25" zeroHeight="1" outlineLevelRow="1"/>
  <cols>
    <col min="1" max="2" width="1.5" style="29" customWidth="1"/>
    <col min="3" max="3" width="34.6640625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2" width="10.83203125" style="29" customWidth="1"/>
    <col min="23" max="23" width="15.33203125" style="29" customWidth="1"/>
    <col min="24" max="24" width="13.6640625" style="29" customWidth="1"/>
    <col min="25" max="16383" width="9.33203125" style="29"/>
    <col min="16384" max="16384" width="8" style="29" customWidth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51"/>
      <c r="L3" s="251"/>
      <c r="M3" s="251"/>
      <c r="N3" s="180"/>
      <c r="O3" s="251"/>
      <c r="P3" s="251"/>
      <c r="Q3" s="251"/>
      <c r="R3" s="251"/>
      <c r="S3" s="251"/>
      <c r="T3" s="25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43070</v>
      </c>
      <c r="K4" s="217">
        <f>DATE(PPFirstYear,MONTH('Input|General'!$G$9),1)</f>
        <v>43435</v>
      </c>
      <c r="L4" s="217">
        <f>DATE(PPFirstYear+1,MONTH('Input|General'!$G$9),1)</f>
        <v>43800</v>
      </c>
      <c r="M4" s="217">
        <f>DATE(PPFirstYear+2,MONTH('Input|General'!$G$9),1)</f>
        <v>44166</v>
      </c>
      <c r="N4" s="217">
        <f>DATE(PPFirstYear+3,MONTH('Input|General'!$G$9),1)</f>
        <v>44531</v>
      </c>
      <c r="O4" s="217">
        <f>DATE(PPFirstYear+4,MONTH('Input|General'!$G$9),1)</f>
        <v>44896</v>
      </c>
      <c r="P4" s="217">
        <f>DATE(PPFirstYear+5,MONTH('Input|General'!$G$10),1)</f>
        <v>45078</v>
      </c>
      <c r="Q4" s="217">
        <f>DATE(PPFirstYear+6,MONTH('Input|General'!$G$10),1)</f>
        <v>45444</v>
      </c>
      <c r="R4" s="217">
        <f>DATE(PPFirstYear+7,MONTH('Input|General'!$G$10),1)</f>
        <v>45809</v>
      </c>
      <c r="S4" s="217">
        <f>DATE(PPFirstYear+8,MONTH('Input|General'!$G$10),1)</f>
        <v>46174</v>
      </c>
      <c r="T4" s="217">
        <f>DATE(PPFirstYear+9,MONTH('Input|General'!$G$10),1)</f>
        <v>46539</v>
      </c>
      <c r="U4" s="217">
        <f>DATE(PPFirstYear+10,MONTH('Input|General'!$G$10),1)</f>
        <v>46905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43070</v>
      </c>
      <c r="K10" s="156">
        <f t="shared" ref="K10:O10" si="0">K4</f>
        <v>43435</v>
      </c>
      <c r="L10" s="156">
        <f t="shared" si="0"/>
        <v>43800</v>
      </c>
      <c r="M10" s="156">
        <f t="shared" si="0"/>
        <v>44166</v>
      </c>
      <c r="N10" s="156">
        <f t="shared" si="0"/>
        <v>44531</v>
      </c>
      <c r="O10" s="156">
        <f t="shared" si="0"/>
        <v>44896</v>
      </c>
      <c r="P10" s="156">
        <f>P4</f>
        <v>45078</v>
      </c>
      <c r="Q10" s="250">
        <f t="shared" ref="Q10:U10" si="1">Q4</f>
        <v>45444</v>
      </c>
      <c r="R10" s="250">
        <f t="shared" si="1"/>
        <v>45809</v>
      </c>
      <c r="S10" s="250">
        <f t="shared" si="1"/>
        <v>46174</v>
      </c>
      <c r="T10" s="250">
        <f t="shared" si="1"/>
        <v>46539</v>
      </c>
      <c r="U10" s="250">
        <f t="shared" si="1"/>
        <v>46905</v>
      </c>
    </row>
    <row r="11" spans="1:50" ht="11.25" customHeight="1" outlineLevel="1">
      <c r="C11" s="67"/>
      <c r="J11" s="29"/>
      <c r="P11" s="143"/>
      <c r="Q11" s="190"/>
      <c r="R11" s="190"/>
      <c r="S11" s="190"/>
      <c r="T11" s="190"/>
      <c r="U11" s="190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1.9090909090909047E-2</v>
      </c>
      <c r="K12" s="143">
        <f>IF(K10=K4,LOOKUP(EOMONTH(K4,0),'Input|Inflation'!$C$9:$C$84,'Input|Inflation'!$G$9:$G$84),"")</f>
        <v>1.7841213202497874E-2</v>
      </c>
      <c r="L12" s="143">
        <f>IF(L10=L4,LOOKUP(EOMONTH(L4,0),'Input|Inflation'!$C$9:$C$84,'Input|Inflation'!$G$9:$G$84),"")</f>
        <v>1.8404907975460238E-2</v>
      </c>
      <c r="M12" s="143">
        <f>IF(M10=M4,LOOKUP(EOMONTH(M4,0),'Input|Inflation'!$C$9:$C$84,'Input|Inflation'!$G$9:$G$84),"")</f>
        <v>8.6058519793459354E-3</v>
      </c>
      <c r="N12" s="143">
        <f>IF(N10=N4,LOOKUP(EOMONTH(N4,0),'Input|Inflation'!$C$9:$C$84,'Input|Inflation'!$G$9:$G$84),"")</f>
        <v>3.4982935153583528E-2</v>
      </c>
      <c r="O12" s="143">
        <f>IF(O10=O4,LOOKUP(EOMONTH(O4,0),'Input|Inflation'!$C$9:$C$84,'Input|Inflation'!$G$9:$G$84),"")</f>
        <v>7.8E-2</v>
      </c>
      <c r="P12" s="143">
        <f>IF(P10=P4,LOOKUP(EOMONTH(P4,0),'Input|Inflation'!$C$9:$C$84,'Input|Inflation'!$G$9:$G$84),"")</f>
        <v>6.2E-2</v>
      </c>
      <c r="Q12" s="190">
        <f>IF(Q10=Q4,LOOKUP(EOMONTH(Q4,0),'Input|Inflation'!$C$9:$C$84,'Input|Inflation'!$G$9:$G$84),"")</f>
        <v>3.5000000000000003E-2</v>
      </c>
      <c r="R12" s="190">
        <f>IF(R10=R4,LOOKUP(EOMONTH(R4,0),'Input|Inflation'!$C$9:$C$84,'Input|Inflation'!$G$9:$G$84),"")</f>
        <v>2.5000000000000001E-2</v>
      </c>
      <c r="S12" s="190">
        <f>IF(S10=S4,LOOKUP(EOMONTH(S4,0),'Input|Inflation'!$C$9:$C$84,'Input|Inflation'!$G$9:$G$84),"")</f>
        <v>2.5000000000000001E-2</v>
      </c>
      <c r="T12" s="190">
        <f>IF(T10=T4,LOOKUP(EOMONTH(T4,0),'Input|Inflation'!$C$9:$C$84,'Input|Inflation'!$G$9:$G$84),"")</f>
        <v>2.5000000000000001E-2</v>
      </c>
      <c r="U12" s="190">
        <f>IF(U10=U4,LOOKUP(EOMONTH(U4,0),'Input|Inflation'!$C$9:$C$84,'Input|Inflation'!$G$9:$G$84),"")</f>
        <v>2.5000000000000001E-2</v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  <c r="Q13" s="195"/>
      <c r="R13" s="195"/>
      <c r="S13" s="195"/>
      <c r="T13" s="195"/>
      <c r="U13" s="195"/>
    </row>
    <row r="14" spans="1:50" ht="11.25" customHeight="1" outlineLevel="1">
      <c r="C14" s="67" t="s">
        <v>98</v>
      </c>
      <c r="I14" s="29"/>
      <c r="J14" s="156">
        <f>J4</f>
        <v>43070</v>
      </c>
      <c r="K14" s="156">
        <f t="shared" ref="K14:U14" si="2">K4</f>
        <v>43435</v>
      </c>
      <c r="L14" s="156">
        <f t="shared" si="2"/>
        <v>43800</v>
      </c>
      <c r="M14" s="156">
        <f t="shared" si="2"/>
        <v>44166</v>
      </c>
      <c r="N14" s="156">
        <f t="shared" si="2"/>
        <v>44531</v>
      </c>
      <c r="O14" s="156">
        <f t="shared" si="2"/>
        <v>44896</v>
      </c>
      <c r="P14" s="156">
        <f t="shared" si="2"/>
        <v>45078</v>
      </c>
      <c r="Q14" s="250">
        <f t="shared" si="2"/>
        <v>45444</v>
      </c>
      <c r="R14" s="250">
        <f t="shared" si="2"/>
        <v>45809</v>
      </c>
      <c r="S14" s="250">
        <f t="shared" si="2"/>
        <v>46174</v>
      </c>
      <c r="T14" s="250">
        <f t="shared" si="2"/>
        <v>46539</v>
      </c>
      <c r="U14" s="250">
        <f t="shared" si="2"/>
        <v>46905</v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43070</v>
      </c>
      <c r="D16" s="144" t="str">
        <f t="shared" ref="D16:D20" si="3">IF(ISNONTEXT($C16),"calculated","")</f>
        <v>calculated</v>
      </c>
      <c r="E16" s="30" t="str">
        <f>IF(ISNONTEXT($C16),"index","")</f>
        <v>index</v>
      </c>
      <c r="J16" s="22">
        <f t="shared" ref="J16:O16" si="4">IF(AND($C16&gt;J$14,ISNONTEXT($C16)),K16/(1+K$12),IF(AND($C16=J$14,J$14=J$4),1,IF(AND($C16&lt;J$14,J$14=J$4),I16*(1+J$12),0)))</f>
        <v>1</v>
      </c>
      <c r="K16" s="22">
        <f t="shared" si="4"/>
        <v>1.0178412132024979</v>
      </c>
      <c r="L16" s="22">
        <f t="shared" si="4"/>
        <v>1.0365744870651206</v>
      </c>
      <c r="M16" s="22">
        <f t="shared" si="4"/>
        <v>1.0454950936663694</v>
      </c>
      <c r="N16" s="22">
        <f t="shared" si="4"/>
        <v>1.0820695807314897</v>
      </c>
      <c r="O16" s="22">
        <f t="shared" si="4"/>
        <v>1.1664710080285461</v>
      </c>
      <c r="P16" s="22">
        <f>IF(AND($C16&gt;P$14,ISNONTEXT($C16)),Q16/(1+P$12),IF(AND($C16=P$14,P$14=P$4),1,IF(AND($C16&lt;P$14,P$14=P$4),O16*(1+P$12),0)))</f>
        <v>1.2387922105263161</v>
      </c>
      <c r="Q16" s="22">
        <f>IF(AND($C16&gt;Q$14,ISNONTEXT($C16)),R16/(1+Q$12),IF(AND($C16=Q$14,Q$14=Q$4),1,IF(AND($C16&lt;Q$14,Q$14=Q$4),P16*(1+Q$12),0)))</f>
        <v>1.282149937894737</v>
      </c>
      <c r="R16" s="22">
        <f t="shared" ref="R16:R22" si="5">IF(AND($C16&gt;R$14,ISNONTEXT($C16)),S16/(1+R$12),IF(AND($C16=R$14,R$14=R$4),1,IF(AND($C16&lt;R$14,R$14=R$4),Q16*(1+R$12),0)))</f>
        <v>1.3142036863421054</v>
      </c>
      <c r="S16" s="22">
        <f t="shared" ref="S16:S22" si="6">IF(AND($C16&gt;S$14,ISNONTEXT($C16)),T16/(1+S$12),IF(AND($C16=S$14,S$14=S$4),1,IF(AND($C16&lt;S$14,S$14=S$4),R16*(1+S$12),0)))</f>
        <v>1.3470587785006578</v>
      </c>
      <c r="T16" s="22">
        <f t="shared" ref="T16:T22" si="7">IF(AND($C16&gt;T$14,ISNONTEXT($C16)),U16/(1+T$12),IF(AND($C16=T$14,T$14=T$4),1,IF(AND($C16&lt;T$14,T$14=T$4),S16*(1+T$12),0)))</f>
        <v>1.380735247963174</v>
      </c>
      <c r="U16" s="22">
        <f t="shared" ref="U16:U22" si="8">IF(AND($C16&gt;U$14,ISNONTEXT($C16)),V16/(1+U$12),IF(AND($C16=U$14,U$14=U$4),1,IF(AND($C16&lt;U$14,U$14=U$4),T16*(1+U$12),0)))</f>
        <v>1.4152536291622533</v>
      </c>
    </row>
    <row r="17" spans="3:22" ht="11.25" customHeight="1" outlineLevel="1">
      <c r="C17" s="163">
        <v>43435</v>
      </c>
      <c r="D17" s="144" t="str">
        <f t="shared" si="3"/>
        <v>calculated</v>
      </c>
      <c r="E17" s="30" t="str">
        <f t="shared" ref="E17:E22" si="9">IF(ISNONTEXT($C17),"index","")</f>
        <v>index</v>
      </c>
      <c r="I17" s="22"/>
      <c r="J17" s="22">
        <f t="shared" ref="J17:O17" si="10">IF(AND($C17&gt;J$14,ISNONTEXT($C17)),K17/(1+K$12),IF(AND($C17=J$14,J$14=J$4),1,IF(AND($C17&lt;J$14,J$14=J$4),I17*(1+J$12),0)))</f>
        <v>0.98247151621384743</v>
      </c>
      <c r="K17" s="22">
        <f t="shared" si="10"/>
        <v>1</v>
      </c>
      <c r="L17" s="22">
        <f t="shared" si="10"/>
        <v>1.0184049079754602</v>
      </c>
      <c r="M17" s="22">
        <f t="shared" si="10"/>
        <v>1.0271691498685365</v>
      </c>
      <c r="N17" s="22">
        <f t="shared" si="10"/>
        <v>1.0631025416301489</v>
      </c>
      <c r="O17" s="22">
        <f t="shared" si="10"/>
        <v>1.1460245398773006</v>
      </c>
      <c r="P17" s="22">
        <f t="shared" ref="P17" si="11">IF(AND($C17&gt;P$14,ISNONTEXT($C17)),Q17/(1+P$12),IF(AND($C17=P$14,P$14=P$4),1,IF(AND($C17&lt;P$14,P$14=P$4),O17*(1+P$12),0)))</f>
        <v>1.2170780613496932</v>
      </c>
      <c r="Q17" s="22">
        <f>IF(AND($C17&gt;Q$14,ISNONTEXT($C17)),R17/(1+Q$12),IF(AND($C17=Q$14,Q$14=Q$4),1,IF(AND($C17&lt;Q$14,Q$14=Q$4),P17*(1+Q$12),0)))</f>
        <v>1.2596757934969325</v>
      </c>
      <c r="R17" s="22">
        <f t="shared" si="5"/>
        <v>1.2911676883343557</v>
      </c>
      <c r="S17" s="22">
        <f t="shared" si="6"/>
        <v>1.3234468805427144</v>
      </c>
      <c r="T17" s="22">
        <f t="shared" si="7"/>
        <v>1.3565330525562822</v>
      </c>
      <c r="U17" s="22">
        <f t="shared" si="8"/>
        <v>1.3904463788701891</v>
      </c>
    </row>
    <row r="18" spans="3:22" ht="11.25" customHeight="1" outlineLevel="1">
      <c r="C18" s="163">
        <v>43800</v>
      </c>
      <c r="D18" s="144" t="str">
        <f t="shared" si="3"/>
        <v>calculated</v>
      </c>
      <c r="E18" s="30" t="str">
        <f t="shared" si="9"/>
        <v>index</v>
      </c>
      <c r="I18" s="22"/>
      <c r="J18" s="22">
        <f t="shared" ref="J18:O18" si="12">IF(AND($C18&gt;J$14,ISNONTEXT($C18)),K18/(1+K$12),IF(AND($C18=J$14,J$14=J$4),1,IF(AND($C18&lt;J$14,J$14=J$4),I18*(1+J$12),0)))</f>
        <v>0.9647160068846814</v>
      </c>
      <c r="K18" s="22">
        <f t="shared" si="12"/>
        <v>0.98192771084337338</v>
      </c>
      <c r="L18" s="22">
        <f t="shared" si="12"/>
        <v>1</v>
      </c>
      <c r="M18" s="22">
        <f t="shared" si="12"/>
        <v>1.0086058519793459</v>
      </c>
      <c r="N18" s="22">
        <f t="shared" si="12"/>
        <v>1.0438898450946643</v>
      </c>
      <c r="O18" s="22">
        <f t="shared" si="12"/>
        <v>1.1253132530120482</v>
      </c>
      <c r="P18" s="22">
        <f t="shared" ref="P18" si="13">IF(AND($C18&gt;P$14,ISNONTEXT($C18)),Q18/(1+P$12),IF(AND($C18=P$14,P$14=P$4),1,IF(AND($C18&lt;P$14,P$14=P$4),O18*(1+P$12),0)))</f>
        <v>1.1950826746987953</v>
      </c>
      <c r="Q18" s="22">
        <f t="shared" ref="Q18:Q21" si="14">IF(AND($C18&gt;Q$14,ISNONTEXT($C18)),R18/(1+Q$12),IF(AND($C18=Q$14,Q$14=Q$4),1,IF(AND($C18&lt;Q$14,Q$14=Q$4),P18*(1+Q$12),0)))</f>
        <v>1.2369105683132531</v>
      </c>
      <c r="R18" s="22">
        <f t="shared" si="5"/>
        <v>1.2678333325210842</v>
      </c>
      <c r="S18" s="22">
        <f t="shared" si="6"/>
        <v>1.2995291658341113</v>
      </c>
      <c r="T18" s="22">
        <f t="shared" si="7"/>
        <v>1.3320173949799639</v>
      </c>
      <c r="U18" s="22">
        <f t="shared" si="8"/>
        <v>1.3653178298544628</v>
      </c>
    </row>
    <row r="19" spans="3:22" ht="11.25" customHeight="1" outlineLevel="1">
      <c r="C19" s="163">
        <v>44166</v>
      </c>
      <c r="D19" s="144" t="str">
        <f t="shared" si="3"/>
        <v>calculated</v>
      </c>
      <c r="E19" s="30" t="str">
        <f t="shared" si="9"/>
        <v>index</v>
      </c>
      <c r="I19" s="22"/>
      <c r="J19" s="22">
        <f t="shared" ref="J19:O19" si="15">IF(AND($C19&gt;J$14,ISNONTEXT($C19)),K19/(1+K$12),IF(AND($C19=J$14,J$14=J$4),1,IF(AND($C19&lt;J$14,J$14=J$4),I19*(1+J$12),0)))</f>
        <v>0.956484641638225</v>
      </c>
      <c r="K19" s="22">
        <f t="shared" si="15"/>
        <v>0.97354948805460739</v>
      </c>
      <c r="L19" s="22">
        <f t="shared" si="15"/>
        <v>0.99146757679180886</v>
      </c>
      <c r="M19" s="22">
        <f t="shared" si="15"/>
        <v>1</v>
      </c>
      <c r="N19" s="22">
        <f t="shared" si="15"/>
        <v>1.0349829351535835</v>
      </c>
      <c r="O19" s="22">
        <f t="shared" si="15"/>
        <v>1.115711604095563</v>
      </c>
      <c r="P19" s="22">
        <f t="shared" ref="P19" si="16">IF(AND($C19&gt;P$14,ISNONTEXT($C19)),Q19/(1+P$12),IF(AND($C19=P$14,P$14=P$4),1,IF(AND($C19&lt;P$14,P$14=P$4),O19*(1+P$12),0)))</f>
        <v>1.1848857235494881</v>
      </c>
      <c r="Q19" s="22">
        <f t="shared" si="14"/>
        <v>1.2263567238737201</v>
      </c>
      <c r="R19" s="22">
        <f t="shared" si="5"/>
        <v>1.2570156419705629</v>
      </c>
      <c r="S19" s="22">
        <f t="shared" si="6"/>
        <v>1.2884410330198268</v>
      </c>
      <c r="T19" s="22">
        <f t="shared" si="7"/>
        <v>1.3206520588453223</v>
      </c>
      <c r="U19" s="22">
        <f t="shared" si="8"/>
        <v>1.3536683603164552</v>
      </c>
    </row>
    <row r="20" spans="3:22" ht="11.25" customHeight="1" outlineLevel="1">
      <c r="C20" s="163">
        <v>44531</v>
      </c>
      <c r="D20" s="144" t="str">
        <f t="shared" si="3"/>
        <v>calculated</v>
      </c>
      <c r="E20" s="30" t="str">
        <f t="shared" si="9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7">IF(AND($C20&gt;K$14,ISNONTEXT($C20)),L20/(1+L$12),IF(AND($C20=K$14,K$14=K$4),1,IF(AND($C20&lt;K$14,K$14=K$4),J20*(1+K$12),0)))</f>
        <v>0.94064303380049463</v>
      </c>
      <c r="L20" s="22">
        <f t="shared" si="17"/>
        <v>0.95795548227535043</v>
      </c>
      <c r="M20" s="22">
        <f t="shared" si="17"/>
        <v>0.9661995053586151</v>
      </c>
      <c r="N20" s="22">
        <f t="shared" si="17"/>
        <v>1</v>
      </c>
      <c r="O20" s="22">
        <f t="shared" si="17"/>
        <v>1.0780000000000001</v>
      </c>
      <c r="P20" s="22">
        <f t="shared" ref="P20" si="18">IF(AND($C20&gt;P$14,ISNONTEXT($C20)),Q20/(1+P$12),IF(AND($C20=P$14,P$14=P$4),1,IF(AND($C20&lt;P$14,P$14=P$4),O20*(1+P$12),0)))</f>
        <v>1.1448360000000002</v>
      </c>
      <c r="Q20" s="22">
        <f t="shared" si="14"/>
        <v>1.1849052600000001</v>
      </c>
      <c r="R20" s="22">
        <f t="shared" si="5"/>
        <v>1.2145278915</v>
      </c>
      <c r="S20" s="22">
        <f t="shared" si="6"/>
        <v>1.2448910887874998</v>
      </c>
      <c r="T20" s="22">
        <f t="shared" si="7"/>
        <v>1.2760133660071871</v>
      </c>
      <c r="U20" s="22">
        <f t="shared" si="8"/>
        <v>1.3079137001573666</v>
      </c>
    </row>
    <row r="21" spans="3:22" ht="11.25" customHeight="1" outlineLevel="1">
      <c r="C21" s="163">
        <v>44896</v>
      </c>
      <c r="D21" s="144" t="str">
        <f>IF(ISNONTEXT($C21),"calculated","")</f>
        <v>calculated</v>
      </c>
      <c r="E21" s="30" t="str">
        <f t="shared" si="9"/>
        <v>index</v>
      </c>
      <c r="I21" s="22"/>
      <c r="J21" s="22">
        <f>IF(AND($C21&gt;J$14,ISNONTEXT($C21)),K21/(1+K$12),IF(AND($C21=J$14,J$14=J$4),1,IF(AND($C21&lt;J$14,J$14=J$4),I21*(1+J$12),0)))</f>
        <v>0.85728663045822373</v>
      </c>
      <c r="K21" s="22">
        <f t="shared" ref="K21" si="19">IF(AND($C21&gt;K$14,ISNONTEXT($C21)),L21/(1+L$12),IF(AND($C21=K$14,K$14=K$4),1,IF(AND($C21&lt;K$14,K$14=K$4),J21*(1+K$12),0)))</f>
        <v>0.87258166400787995</v>
      </c>
      <c r="L21" s="22">
        <f t="shared" ref="L21" si="20">IF(AND($C21&gt;L$14,ISNONTEXT($C21)),M21/(1+M$12),IF(AND($C21=L$14,L$14=L$4),1,IF(AND($C21&lt;L$14,L$14=L$4),K21*(1+L$12),0)))</f>
        <v>0.88864144923501898</v>
      </c>
      <c r="M21" s="22">
        <f t="shared" ref="M21" si="21">IF(AND($C21&gt;M$14,ISNONTEXT($C21)),N21/(1+N$12),IF(AND($C21=M$14,M$14=M$4),1,IF(AND($C21&lt;M$14,M$14=M$4),L21*(1+M$12),0)))</f>
        <v>0.89628896600984698</v>
      </c>
      <c r="N21" s="22">
        <f t="shared" ref="N21:O21" si="22">IF(AND($C21&gt;N$14,ISNONTEXT($C21)),O21/(1+O$12),IF(AND($C21=N$14,N$14=N$4),1,IF(AND($C21&lt;N$14,N$14=N$4),M21*(1+N$12),0)))</f>
        <v>0.92764378478664189</v>
      </c>
      <c r="O21" s="22">
        <f t="shared" si="22"/>
        <v>1</v>
      </c>
      <c r="P21" s="22">
        <f t="shared" ref="P21" si="23">IF(AND($C21&gt;P$14,ISNONTEXT($C21)),Q21/(1+P$12),IF(AND($C21=P$14,P$14=P$4),1,IF(AND($C21&lt;P$14,P$14=P$4),O21*(1+P$12),0)))</f>
        <v>1.0620000000000001</v>
      </c>
      <c r="Q21" s="22">
        <f t="shared" si="14"/>
        <v>1.09917</v>
      </c>
      <c r="R21" s="22">
        <f t="shared" si="5"/>
        <v>1.1266492499999998</v>
      </c>
      <c r="S21" s="22">
        <f t="shared" si="6"/>
        <v>1.1548154812499998</v>
      </c>
      <c r="T21" s="22">
        <f t="shared" si="7"/>
        <v>1.1836858682812497</v>
      </c>
      <c r="U21" s="22">
        <f t="shared" si="8"/>
        <v>1.2132780149882807</v>
      </c>
    </row>
    <row r="22" spans="3:22" ht="11.25" customHeight="1" outlineLevel="1">
      <c r="C22" s="163">
        <v>45078</v>
      </c>
      <c r="D22" s="144" t="str">
        <f>IF(ISNONTEXT($C22),"calculated","")</f>
        <v>calculated</v>
      </c>
      <c r="E22" s="30" t="str">
        <f t="shared" si="9"/>
        <v>index</v>
      </c>
      <c r="I22" s="22"/>
      <c r="J22" s="22">
        <f>IF(AND($C22&gt;J$14,ISNONTEXT($C22)),K22/(1+K$12),IF(AND($C22=J$14,J$14=J$4),1,IF(AND($C22&lt;J$14,J$14=J$4),I22*(1+J$12),0)))</f>
        <v>0.80723788178740463</v>
      </c>
      <c r="K22" s="22">
        <f t="shared" ref="K22" si="24">IF(AND($C22&gt;K$14,ISNONTEXT($C22)),L22/(1+L$12),IF(AND($C22=K$14,K$14=K$4),1,IF(AND($C22&lt;K$14,K$14=K$4),J22*(1+K$12),0)))</f>
        <v>0.82163998494150647</v>
      </c>
      <c r="L22" s="22">
        <f t="shared" ref="L22" si="25">IF(AND($C22&gt;L$14,ISNONTEXT($C22)),M22/(1+M$12),IF(AND($C22=L$14,L$14=L$4),1,IF(AND($C22&lt;L$14,L$14=L$4),K22*(1+L$12),0)))</f>
        <v>0.83676219325331347</v>
      </c>
      <c r="M22" s="22">
        <f t="shared" ref="M22" si="26">IF(AND($C22&gt;M$14,ISNONTEXT($C22)),N22/(1+N$12),IF(AND($C22=M$14,M$14=M$4),1,IF(AND($C22&lt;M$14,M$14=M$4),L22*(1+M$12),0)))</f>
        <v>0.84396324483036433</v>
      </c>
      <c r="N22" s="22">
        <f t="shared" ref="N22:O22" si="27">IF(AND($C22&gt;N$14,ISNONTEXT($C22)),O22/(1+O$12),IF(AND($C22=N$14,N$14=N$4),1,IF(AND($C22&lt;N$14,N$14=N$4),M22*(1+N$12),0)))</f>
        <v>0.87348755629627295</v>
      </c>
      <c r="O22" s="22">
        <f t="shared" si="27"/>
        <v>0.94161958568738224</v>
      </c>
      <c r="P22" s="22">
        <f t="shared" ref="P22" si="28">IF(AND($C22&gt;P$14,ISNONTEXT($C22)),Q22/(1+P$12),IF(AND($C22=P$14,P$14=P$4),1,IF(AND($C22&lt;P$14,P$14=P$4),O22*(1+P$12),0)))</f>
        <v>1</v>
      </c>
      <c r="Q22" s="22">
        <f>IF(AND($C22&gt;Q$14,ISNONTEXT($C22)),R22/(1+Q$12),IF(AND($C22=Q$14,Q$14=Q$4),1,IF(AND($C22&lt;Q$14,Q$14=Q$4),P22*(1+Q$12),0)))</f>
        <v>1.0349999999999999</v>
      </c>
      <c r="R22" s="22">
        <f t="shared" si="5"/>
        <v>1.0608749999999998</v>
      </c>
      <c r="S22" s="22">
        <f t="shared" si="6"/>
        <v>1.0873968749999996</v>
      </c>
      <c r="T22" s="22">
        <f t="shared" si="7"/>
        <v>1.1145817968749996</v>
      </c>
      <c r="U22" s="22">
        <f t="shared" si="8"/>
        <v>1.1424463417968744</v>
      </c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43070</v>
      </c>
      <c r="K24" s="156">
        <f t="shared" ref="K24:U24" si="29">K4</f>
        <v>43435</v>
      </c>
      <c r="L24" s="156">
        <f t="shared" si="29"/>
        <v>43800</v>
      </c>
      <c r="M24" s="156">
        <f t="shared" si="29"/>
        <v>44166</v>
      </c>
      <c r="N24" s="156">
        <f t="shared" si="29"/>
        <v>44531</v>
      </c>
      <c r="O24" s="156">
        <f t="shared" si="29"/>
        <v>44896</v>
      </c>
      <c r="P24" s="156">
        <f t="shared" si="29"/>
        <v>45078</v>
      </c>
      <c r="Q24" s="250">
        <f t="shared" si="29"/>
        <v>45444</v>
      </c>
      <c r="R24" s="250">
        <f t="shared" si="29"/>
        <v>45809</v>
      </c>
      <c r="S24" s="250">
        <f t="shared" si="29"/>
        <v>46174</v>
      </c>
      <c r="T24" s="250">
        <f t="shared" si="29"/>
        <v>46539</v>
      </c>
      <c r="U24" s="250">
        <f t="shared" si="29"/>
        <v>46905</v>
      </c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  <c r="V25" s="237"/>
    </row>
    <row r="26" spans="3:22" ht="11.25" customHeight="1" outlineLevel="1">
      <c r="C26" s="163">
        <f t="array" ref="C26:C32">TRANSPOSE(J10:P10)</f>
        <v>43070</v>
      </c>
      <c r="D26" s="144" t="str">
        <f t="shared" ref="D26:D32" si="30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31">IF(AND(K$24=K$4,ISNONTEXT($C26)),1/K16*(1+K$12)^0.5,0)</f>
        <v>0.99119701180635511</v>
      </c>
      <c r="L26" s="22">
        <f t="shared" si="31"/>
        <v>0.97355328462275847</v>
      </c>
      <c r="M26" s="22">
        <f t="shared" si="31"/>
        <v>0.96059150742016974</v>
      </c>
      <c r="N26" s="22">
        <f t="shared" si="31"/>
        <v>0.94018086141191581</v>
      </c>
      <c r="O26" s="22">
        <f t="shared" si="31"/>
        <v>0.89009309365362654</v>
      </c>
      <c r="P26" s="22">
        <f t="shared" si="31"/>
        <v>0.83188595591929437</v>
      </c>
      <c r="Q26" s="22">
        <f>IF(AND(Q$24=Q$4,ISNONTEXT($C26)),1/Q16*(1+Q$12)^0.5,0)</f>
        <v>0.79347154915380369</v>
      </c>
      <c r="R26" s="22">
        <f t="shared" si="31"/>
        <v>0.77036980423008916</v>
      </c>
      <c r="S26" s="22">
        <f t="shared" si="31"/>
        <v>0.75158029680984317</v>
      </c>
      <c r="T26" s="22">
        <f t="shared" si="31"/>
        <v>0.7332490700583838</v>
      </c>
      <c r="U26" s="22">
        <f t="shared" ref="U26" si="32">IF(AND(U$24=U$4,ISNONTEXT($C26)),1/U16*(1+U$12)^0.5,0)</f>
        <v>0.71536494639842318</v>
      </c>
      <c r="V26" s="145"/>
    </row>
    <row r="27" spans="3:22" ht="11.25" customHeight="1" outlineLevel="1">
      <c r="C27" s="163">
        <v>43435</v>
      </c>
      <c r="D27" s="144" t="str">
        <f t="shared" si="30"/>
        <v>calculated</v>
      </c>
      <c r="E27" s="30" t="str">
        <f t="shared" ref="E27:E32" si="33">IF(ISNONTEXT($C27),"index","")</f>
        <v>index</v>
      </c>
      <c r="I27" s="22"/>
      <c r="J27" s="22">
        <f t="shared" ref="J27:T27" si="34">IF(AND(J$24=J$4,ISNONTEXT($C27)),1/J17*(1+J$12)^0.5,0)</f>
        <v>1.0275110369962634</v>
      </c>
      <c r="K27" s="22">
        <f t="shared" si="34"/>
        <v>1.0088811690196711</v>
      </c>
      <c r="L27" s="22">
        <f t="shared" si="34"/>
        <v>0.99092265633770504</v>
      </c>
      <c r="M27" s="22">
        <f t="shared" si="34"/>
        <v>0.97772962530456164</v>
      </c>
      <c r="N27" s="22">
        <f t="shared" si="34"/>
        <v>0.95695482860927372</v>
      </c>
      <c r="O27" s="22">
        <f t="shared" si="34"/>
        <v>0.90597343430757193</v>
      </c>
      <c r="P27" s="22">
        <f t="shared" si="34"/>
        <v>0.84672781061901436</v>
      </c>
      <c r="Q27" s="22">
        <f t="shared" si="34"/>
        <v>0.80762804423237311</v>
      </c>
      <c r="R27" s="22">
        <f t="shared" si="34"/>
        <v>0.78411413615212477</v>
      </c>
      <c r="S27" s="22">
        <f t="shared" si="34"/>
        <v>0.76498940112402425</v>
      </c>
      <c r="T27" s="22">
        <f t="shared" si="34"/>
        <v>0.74633112304782867</v>
      </c>
      <c r="U27" s="22">
        <f t="shared" ref="U27" si="35">IF(AND(U$24=U$4,ISNONTEXT($C27)),1/U17*(1+U$12)^0.5,0)</f>
        <v>0.7281279249247109</v>
      </c>
      <c r="V27" s="145"/>
    </row>
    <row r="28" spans="3:22" ht="11.25" customHeight="1" outlineLevel="1">
      <c r="C28" s="163">
        <v>43800</v>
      </c>
      <c r="D28" s="144" t="str">
        <f t="shared" si="30"/>
        <v>calculated</v>
      </c>
      <c r="E28" s="30" t="str">
        <f t="shared" si="33"/>
        <v>index</v>
      </c>
      <c r="I28" s="22"/>
      <c r="J28" s="22">
        <f t="shared" ref="J28:T28" si="36">IF(AND(J$24=J$4,ISNONTEXT($C28)),1/J18*(1+J$12)^0.5,0)</f>
        <v>1.0464222830759493</v>
      </c>
      <c r="K28" s="22">
        <f t="shared" si="36"/>
        <v>1.0274495340936529</v>
      </c>
      <c r="L28" s="22">
        <f t="shared" si="36"/>
        <v>1.0091604966383991</v>
      </c>
      <c r="M28" s="22">
        <f t="shared" si="36"/>
        <v>0.99572464908317337</v>
      </c>
      <c r="N28" s="22">
        <f t="shared" si="36"/>
        <v>0.97456749416649968</v>
      </c>
      <c r="O28" s="22">
        <f t="shared" si="36"/>
        <v>0.92264779199421421</v>
      </c>
      <c r="P28" s="22">
        <f t="shared" si="36"/>
        <v>0.86231175805372007</v>
      </c>
      <c r="Q28" s="22">
        <f t="shared" si="36"/>
        <v>0.8224923640648707</v>
      </c>
      <c r="R28" s="22">
        <f t="shared" si="36"/>
        <v>0.79854568467026199</v>
      </c>
      <c r="S28" s="22">
        <f t="shared" si="36"/>
        <v>0.77906896065391429</v>
      </c>
      <c r="T28" s="22">
        <f t="shared" si="36"/>
        <v>0.76006727868674573</v>
      </c>
      <c r="U28" s="22">
        <f t="shared" ref="U28" si="37">IF(AND(U$24=U$4,ISNONTEXT($C28)),1/U18*(1+U$12)^0.5,0)</f>
        <v>0.74152905237731292</v>
      </c>
      <c r="V28" s="145"/>
    </row>
    <row r="29" spans="3:22" ht="11.25" customHeight="1" outlineLevel="1">
      <c r="C29" s="163">
        <v>44166</v>
      </c>
      <c r="D29" s="144" t="str">
        <f t="shared" si="30"/>
        <v>calculated</v>
      </c>
      <c r="E29" s="30" t="str">
        <f t="shared" si="33"/>
        <v>index</v>
      </c>
      <c r="I29" s="22"/>
      <c r="J29" s="22">
        <f t="shared" ref="J29:T29" si="38">IF(AND(J$24=J$4,ISNONTEXT($C29)),1/J19*(1+J$12)^0.5,0)</f>
        <v>1.0554276383519903</v>
      </c>
      <c r="K29" s="22">
        <f t="shared" si="38"/>
        <v>1.0362916127003108</v>
      </c>
      <c r="L29" s="22">
        <f t="shared" si="38"/>
        <v>1.0178451824958725</v>
      </c>
      <c r="M29" s="22">
        <f t="shared" si="38"/>
        <v>1.0042937080253693</v>
      </c>
      <c r="N29" s="22">
        <f t="shared" si="38"/>
        <v>0.98295447776517875</v>
      </c>
      <c r="O29" s="22">
        <f t="shared" si="38"/>
        <v>0.93058796232118701</v>
      </c>
      <c r="P29" s="22">
        <f t="shared" si="38"/>
        <v>0.86973268540358006</v>
      </c>
      <c r="Q29" s="22">
        <f t="shared" si="38"/>
        <v>0.82957061160415535</v>
      </c>
      <c r="R29" s="22">
        <f t="shared" si="38"/>
        <v>0.8054178506312798</v>
      </c>
      <c r="S29" s="22">
        <f t="shared" si="38"/>
        <v>0.78577351281100483</v>
      </c>
      <c r="T29" s="22">
        <f t="shared" si="38"/>
        <v>0.76660830518146827</v>
      </c>
      <c r="U29" s="22">
        <f t="shared" ref="U29" si="39">IF(AND(U$24=U$4,ISNONTEXT($C29)),1/U19*(1+U$12)^0.5,0)</f>
        <v>0.74791054164045701</v>
      </c>
      <c r="V29" s="145"/>
    </row>
    <row r="30" spans="3:22" ht="11.25" customHeight="1" outlineLevel="1">
      <c r="C30" s="163">
        <v>44531</v>
      </c>
      <c r="D30" s="144" t="str">
        <f t="shared" si="30"/>
        <v>calculated</v>
      </c>
      <c r="E30" s="30" t="str">
        <f t="shared" si="33"/>
        <v>index</v>
      </c>
      <c r="I30" s="22"/>
      <c r="J30" s="22">
        <f t="shared" ref="J30:T30" si="40">IF(AND(J$24=J$4,ISNONTEXT($C30)),1/J20*(1+J$12)^0.5,0)</f>
        <v>1.0923495949837576</v>
      </c>
      <c r="K30" s="22">
        <f t="shared" si="40"/>
        <v>1.0725441349876081</v>
      </c>
      <c r="L30" s="22">
        <f t="shared" si="40"/>
        <v>1.0534523945115131</v>
      </c>
      <c r="M30" s="22">
        <f t="shared" si="40"/>
        <v>1.0394268496883727</v>
      </c>
      <c r="N30" s="22">
        <f t="shared" si="40"/>
        <v>1.0173411105197625</v>
      </c>
      <c r="O30" s="22">
        <f t="shared" si="40"/>
        <v>0.96314266066177434</v>
      </c>
      <c r="P30" s="22">
        <f t="shared" si="40"/>
        <v>0.90015848753800543</v>
      </c>
      <c r="Q30" s="22">
        <f t="shared" si="40"/>
        <v>0.85859142651522202</v>
      </c>
      <c r="R30" s="22">
        <f t="shared" si="40"/>
        <v>0.83359373107145252</v>
      </c>
      <c r="S30" s="22">
        <f t="shared" si="40"/>
        <v>0.81326217665507583</v>
      </c>
      <c r="T30" s="22">
        <f t="shared" si="40"/>
        <v>0.7934265138098302</v>
      </c>
      <c r="U30" s="22">
        <f t="shared" ref="U30" si="41">IF(AND(U$24=U$4,ISNONTEXT($C30)),1/U20*(1+U$12)^0.5,0)</f>
        <v>0.77407464761934652</v>
      </c>
      <c r="V30" s="145"/>
    </row>
    <row r="31" spans="3:22" ht="11.25" customHeight="1" outlineLevel="1">
      <c r="C31" s="163">
        <v>44896</v>
      </c>
      <c r="D31" s="144" t="str">
        <f t="shared" si="30"/>
        <v>calculated</v>
      </c>
      <c r="E31" s="30" t="str">
        <f t="shared" si="33"/>
        <v>index</v>
      </c>
      <c r="I31" s="22"/>
      <c r="J31" s="22">
        <f t="shared" ref="J31:T32" si="42">IF(AND(J$24=J$4,ISNONTEXT($C31)),1/J21*(1+J$12)^0.5,0)</f>
        <v>1.1775528633924908</v>
      </c>
      <c r="K31" s="22">
        <f t="shared" si="42"/>
        <v>1.1562025775166416</v>
      </c>
      <c r="L31" s="22">
        <f t="shared" si="42"/>
        <v>1.1356216812834108</v>
      </c>
      <c r="M31" s="22">
        <f t="shared" si="42"/>
        <v>1.1205021439640659</v>
      </c>
      <c r="N31" s="22">
        <f t="shared" si="42"/>
        <v>1.0966937171403039</v>
      </c>
      <c r="O31" s="22">
        <f t="shared" si="42"/>
        <v>1.0382677881933928</v>
      </c>
      <c r="P31" s="22">
        <f t="shared" si="42"/>
        <v>0.97037084956596997</v>
      </c>
      <c r="Q31" s="22">
        <f t="shared" si="42"/>
        <v>0.92556155778340954</v>
      </c>
      <c r="R31" s="22">
        <f t="shared" si="42"/>
        <v>0.89861404209502582</v>
      </c>
      <c r="S31" s="22">
        <f t="shared" si="42"/>
        <v>0.87669662643417168</v>
      </c>
      <c r="T31" s="22">
        <f t="shared" si="42"/>
        <v>0.8553137818869968</v>
      </c>
      <c r="U31" s="22">
        <f t="shared" ref="U31" si="43">IF(AND(U$24=U$4,ISNONTEXT($C31)),1/U21*(1+U$12)^0.5,0)</f>
        <v>0.83445247013365553</v>
      </c>
      <c r="V31" s="145"/>
    </row>
    <row r="32" spans="3:22" ht="11.25" customHeight="1" outlineLevel="1">
      <c r="C32" s="163">
        <v>45078</v>
      </c>
      <c r="D32" s="144" t="str">
        <f t="shared" si="30"/>
        <v>calculated</v>
      </c>
      <c r="E32" s="30" t="str">
        <f t="shared" si="33"/>
        <v>index</v>
      </c>
      <c r="I32" s="22"/>
      <c r="J32" s="22">
        <f t="shared" si="42"/>
        <v>1.2505611409228252</v>
      </c>
      <c r="K32" s="22">
        <f t="shared" si="42"/>
        <v>1.2278871373226736</v>
      </c>
      <c r="L32" s="22">
        <f t="shared" si="42"/>
        <v>1.2060302255229827</v>
      </c>
      <c r="M32" s="22">
        <f t="shared" si="42"/>
        <v>1.1899732768898381</v>
      </c>
      <c r="N32" s="22">
        <f t="shared" si="42"/>
        <v>1.1646887276030027</v>
      </c>
      <c r="O32" s="22">
        <f t="shared" si="42"/>
        <v>1.1026403910613833</v>
      </c>
      <c r="P32" s="22">
        <f t="shared" si="42"/>
        <v>1.0305338422390602</v>
      </c>
      <c r="Q32" s="22">
        <f t="shared" si="42"/>
        <v>0.98294637436598098</v>
      </c>
      <c r="R32" s="22">
        <f t="shared" si="42"/>
        <v>0.95432811270491757</v>
      </c>
      <c r="S32" s="22">
        <f t="shared" si="42"/>
        <v>0.9310518172730905</v>
      </c>
      <c r="T32" s="22">
        <f t="shared" si="42"/>
        <v>0.90834323636399072</v>
      </c>
      <c r="U32" s="22">
        <f t="shared" ref="U32" si="44">IF(AND(U$24=U$4,ISNONTEXT($C32)),1/U22*(1+U$12)^0.5,0)</f>
        <v>0.8861885232819422</v>
      </c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45444</v>
      </c>
      <c r="R36" s="160">
        <f t="shared" ref="R36:U36" si="45">R4</f>
        <v>45809</v>
      </c>
      <c r="S36" s="160">
        <f t="shared" si="45"/>
        <v>46174</v>
      </c>
      <c r="T36" s="160">
        <f t="shared" si="45"/>
        <v>46539</v>
      </c>
      <c r="U36" s="160">
        <f t="shared" si="45"/>
        <v>46905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V37" s="195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46">percent</f>
        <v>Per cent</v>
      </c>
      <c r="J38" s="202"/>
      <c r="K38" s="150"/>
      <c r="L38" s="150"/>
      <c r="M38" s="150"/>
      <c r="N38" s="150"/>
      <c r="O38" s="150"/>
      <c r="P38" s="150"/>
      <c r="Q38" s="165">
        <v>2.1242861060464758E-3</v>
      </c>
      <c r="R38" s="165">
        <v>3.9129284246962005E-3</v>
      </c>
      <c r="S38" s="165">
        <v>5.2133092949322689E-3</v>
      </c>
      <c r="T38" s="165">
        <v>2.8470656375887415E-3</v>
      </c>
      <c r="U38" s="165">
        <v>2.8470656375887415E-3</v>
      </c>
      <c r="V38" s="195"/>
    </row>
    <row r="39" spans="1:50" ht="11.25" customHeight="1" outlineLevel="1">
      <c r="C39" s="61" t="s">
        <v>203</v>
      </c>
      <c r="D39" s="30" t="s">
        <v>100</v>
      </c>
      <c r="E39" s="30" t="str">
        <f t="shared" si="46"/>
        <v>Per cent</v>
      </c>
      <c r="J39" s="202"/>
      <c r="K39" s="150"/>
      <c r="L39" s="150"/>
      <c r="M39" s="150"/>
      <c r="N39" s="150"/>
      <c r="O39" s="150"/>
      <c r="P39" s="150"/>
      <c r="Q39" s="165">
        <v>1.0277900031881337E-2</v>
      </c>
      <c r="R39" s="165">
        <v>1.4232427099892142E-2</v>
      </c>
      <c r="S39" s="165">
        <v>1.4860880327046111E-2</v>
      </c>
      <c r="T39" s="165">
        <v>8.6671719416965051E-3</v>
      </c>
      <c r="U39" s="165">
        <v>6.7592073439644903E-3</v>
      </c>
      <c r="V39" s="195"/>
    </row>
    <row r="40" spans="1:50" ht="11.25" customHeight="1" outlineLevel="1">
      <c r="C40" s="61" t="s">
        <v>204</v>
      </c>
      <c r="D40" s="30" t="s">
        <v>100</v>
      </c>
      <c r="E40" s="30" t="str">
        <f t="shared" si="46"/>
        <v>Per cent</v>
      </c>
      <c r="J40" s="202"/>
      <c r="K40" s="150"/>
      <c r="L40" s="150"/>
      <c r="M40" s="150"/>
      <c r="N40" s="150"/>
      <c r="O40" s="234"/>
      <c r="P40" s="150"/>
      <c r="Q40" s="60">
        <f>AVERAGE(Q38:Q39)</f>
        <v>6.201093068963907E-3</v>
      </c>
      <c r="R40" s="60">
        <f t="shared" ref="R40:T40" si="47">AVERAGE(R38:R39)</f>
        <v>9.0726777622941717E-3</v>
      </c>
      <c r="S40" s="60">
        <f t="shared" si="47"/>
        <v>1.0037094810989189E-2</v>
      </c>
      <c r="T40" s="60">
        <f t="shared" si="47"/>
        <v>5.7571187896426233E-3</v>
      </c>
      <c r="U40" s="60">
        <f>AVERAGE(U38:U39)</f>
        <v>4.8031364907766159E-3</v>
      </c>
      <c r="V40" s="195"/>
    </row>
    <row r="41" spans="1:50" ht="11.25" customHeight="1" outlineLevel="1">
      <c r="C41" s="61"/>
      <c r="D41" s="30" t="s">
        <v>100</v>
      </c>
      <c r="E41" s="30" t="str">
        <f t="shared" si="46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6"/>
      <c r="U41" s="60"/>
    </row>
    <row r="42" spans="1:50" ht="11.25" customHeight="1" outlineLevel="1">
      <c r="C42" s="61"/>
      <c r="D42" s="30" t="s">
        <v>100</v>
      </c>
      <c r="E42" s="30" t="str">
        <f t="shared" si="46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6"/>
      <c r="U42" s="60"/>
    </row>
    <row r="43" spans="1:50" ht="11.25" customHeight="1" outlineLevel="1">
      <c r="C43" s="61"/>
      <c r="D43" s="30" t="s">
        <v>100</v>
      </c>
      <c r="E43" s="30" t="str">
        <f t="shared" si="46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6"/>
      <c r="U43" s="60"/>
    </row>
    <row r="44" spans="1:50" ht="11.25" customHeight="1" outlineLevel="1">
      <c r="C44" s="61"/>
      <c r="D44" s="30" t="s">
        <v>100</v>
      </c>
      <c r="E44" s="30" t="str">
        <f t="shared" si="46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6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46"/>
        <v>Per cent</v>
      </c>
      <c r="J45" s="202"/>
      <c r="K45" s="150"/>
      <c r="L45" s="150"/>
      <c r="M45" s="150"/>
      <c r="N45" s="150"/>
      <c r="O45" s="234"/>
      <c r="P45" s="150"/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195"/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48">IF(J36=J4,IF(COUNTA($C38:$C45)=COUNT(J38:J45),"Ok","Check"),"")</f>
        <v/>
      </c>
      <c r="K47" s="132" t="str">
        <f t="shared" si="48"/>
        <v/>
      </c>
      <c r="L47" s="132" t="str">
        <f t="shared" si="48"/>
        <v/>
      </c>
      <c r="M47" s="132" t="str">
        <f t="shared" si="48"/>
        <v/>
      </c>
      <c r="N47" s="132" t="str">
        <f t="shared" si="48"/>
        <v/>
      </c>
      <c r="O47" s="132" t="str">
        <f t="shared" si="48"/>
        <v/>
      </c>
      <c r="P47" s="132" t="str">
        <f t="shared" si="48"/>
        <v/>
      </c>
      <c r="Q47" s="132" t="str">
        <f t="shared" si="48"/>
        <v>Ok</v>
      </c>
      <c r="R47" s="132" t="str">
        <f t="shared" si="48"/>
        <v>Ok</v>
      </c>
      <c r="S47" s="132" t="str">
        <f t="shared" si="48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45444</v>
      </c>
      <c r="R49" s="160">
        <f t="shared" ref="R49:U49" si="49">R4</f>
        <v>45809</v>
      </c>
      <c r="S49" s="160">
        <f t="shared" si="49"/>
        <v>46174</v>
      </c>
      <c r="T49" s="160">
        <f t="shared" si="49"/>
        <v>46539</v>
      </c>
      <c r="U49" s="160">
        <f t="shared" si="49"/>
        <v>46905</v>
      </c>
    </row>
    <row r="50" spans="1:50" ht="11.25" customHeight="1" outlineLevel="1"/>
    <row r="51" spans="1:50" ht="11.25" customHeight="1" outlineLevel="1">
      <c r="C51" s="146" t="str">
        <f t="shared" ref="C51:C58" si="50">C38</f>
        <v>WPI - DAE</v>
      </c>
      <c r="D51" s="30" t="s">
        <v>100</v>
      </c>
      <c r="E51" s="30" t="str">
        <f t="shared" ref="E51:E58" si="51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50"/>
        <v>WPI - BIS Oxford</v>
      </c>
      <c r="D52" s="30" t="s">
        <v>100</v>
      </c>
      <c r="E52" s="30" t="str">
        <f t="shared" si="51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195"/>
    </row>
    <row r="53" spans="1:50" ht="11.25" customHeight="1" outlineLevel="1">
      <c r="C53" s="146" t="str">
        <f t="shared" si="50"/>
        <v>WPI - average</v>
      </c>
      <c r="D53" s="30" t="s">
        <v>100</v>
      </c>
      <c r="E53" s="30" t="str">
        <f t="shared" si="51"/>
        <v>Per cent</v>
      </c>
      <c r="J53" s="202"/>
      <c r="K53" s="150"/>
      <c r="L53" s="150"/>
      <c r="M53" s="150"/>
      <c r="N53" s="150"/>
      <c r="O53" s="150"/>
      <c r="P53" s="150"/>
      <c r="Q53" s="60">
        <v>0.62</v>
      </c>
      <c r="R53" s="60">
        <v>0.62</v>
      </c>
      <c r="S53" s="60">
        <v>0.62</v>
      </c>
      <c r="T53" s="60">
        <v>0.62</v>
      </c>
      <c r="U53" s="60">
        <v>0.62</v>
      </c>
      <c r="V53" s="195"/>
    </row>
    <row r="54" spans="1:50" ht="11.25" customHeight="1" outlineLevel="1">
      <c r="C54" s="146">
        <f t="shared" si="50"/>
        <v>0</v>
      </c>
      <c r="D54" s="30" t="s">
        <v>100</v>
      </c>
      <c r="E54" s="30" t="str">
        <f t="shared" si="51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  <c r="V54" s="195"/>
    </row>
    <row r="55" spans="1:50" ht="11.25" customHeight="1" outlineLevel="1">
      <c r="C55" s="146">
        <f t="shared" si="50"/>
        <v>0</v>
      </c>
      <c r="D55" s="30" t="s">
        <v>100</v>
      </c>
      <c r="E55" s="30" t="str">
        <f t="shared" si="51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  <c r="V55" s="195"/>
    </row>
    <row r="56" spans="1:50" ht="11.25" customHeight="1" outlineLevel="1">
      <c r="C56" s="146">
        <f t="shared" si="50"/>
        <v>0</v>
      </c>
      <c r="D56" s="30" t="s">
        <v>100</v>
      </c>
      <c r="E56" s="30" t="str">
        <f t="shared" si="51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  <c r="V56" s="195"/>
    </row>
    <row r="57" spans="1:50" ht="11.25" customHeight="1" outlineLevel="1">
      <c r="C57" s="146">
        <f t="shared" si="50"/>
        <v>0</v>
      </c>
      <c r="D57" s="30" t="s">
        <v>100</v>
      </c>
      <c r="E57" s="30" t="str">
        <f t="shared" si="51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  <c r="V57" s="195"/>
    </row>
    <row r="58" spans="1:50" ht="11.25" customHeight="1" outlineLevel="1">
      <c r="C58" s="146" t="str">
        <f t="shared" si="50"/>
        <v>CPI</v>
      </c>
      <c r="D58" s="30" t="s">
        <v>100</v>
      </c>
      <c r="E58" s="30" t="str">
        <f t="shared" si="51"/>
        <v>Per cent</v>
      </c>
      <c r="J58" s="202"/>
      <c r="K58" s="150"/>
      <c r="L58" s="150"/>
      <c r="M58" s="150"/>
      <c r="N58" s="150"/>
      <c r="O58" s="150"/>
      <c r="P58" s="150"/>
      <c r="Q58" s="60">
        <v>0.38</v>
      </c>
      <c r="R58" s="60">
        <v>0.38</v>
      </c>
      <c r="S58" s="60">
        <v>0.38</v>
      </c>
      <c r="T58" s="60">
        <v>0.38</v>
      </c>
      <c r="U58" s="60">
        <v>0.38</v>
      </c>
      <c r="V58" s="195"/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52">IF(Q49=Q$4,IF(SUM(Q51:Q58)=1,"Ok","Check"),"")</f>
        <v>Ok</v>
      </c>
      <c r="R60" s="132" t="str">
        <f t="shared" si="52"/>
        <v>Ok</v>
      </c>
      <c r="S60" s="132" t="str">
        <f t="shared" si="52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  <c r="Q63" s="220"/>
      <c r="R63" s="220"/>
      <c r="S63" s="220"/>
      <c r="T63" s="220"/>
      <c r="U63" s="220"/>
      <c r="W63" s="195"/>
      <c r="X63" s="195"/>
      <c r="Y63" s="195"/>
      <c r="Z63" s="195"/>
      <c r="AA63" s="195"/>
      <c r="AB63" s="195"/>
      <c r="AC63" s="195"/>
      <c r="AD63" s="195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45078</v>
      </c>
      <c r="Q64" s="160">
        <f t="shared" ref="Q64:U64" si="53">Q4</f>
        <v>45444</v>
      </c>
      <c r="R64" s="160">
        <f t="shared" si="53"/>
        <v>45809</v>
      </c>
      <c r="S64" s="160">
        <f t="shared" si="53"/>
        <v>46174</v>
      </c>
      <c r="T64" s="160">
        <f t="shared" si="53"/>
        <v>46539</v>
      </c>
      <c r="U64" s="160">
        <f t="shared" si="53"/>
        <v>46905</v>
      </c>
      <c r="W64" s="195"/>
      <c r="X64" s="195"/>
      <c r="Y64" s="195"/>
      <c r="Z64" s="195"/>
      <c r="AA64" s="195"/>
      <c r="AB64" s="195"/>
      <c r="AC64" s="195"/>
      <c r="AD64" s="195"/>
    </row>
    <row r="65" spans="3:35" outlineLevel="1">
      <c r="C65" s="111"/>
      <c r="G65" s="32"/>
      <c r="H65" s="32"/>
      <c r="K65" s="23"/>
      <c r="L65" s="23"/>
      <c r="M65" s="23"/>
      <c r="N65" s="23"/>
      <c r="O65" s="23"/>
      <c r="Q65" s="220"/>
      <c r="R65" s="220"/>
      <c r="S65" s="220"/>
      <c r="T65" s="220"/>
      <c r="U65" s="220"/>
      <c r="V65" s="246"/>
      <c r="W65" s="195"/>
      <c r="X65" s="195"/>
      <c r="Y65" s="195"/>
      <c r="Z65" s="195"/>
      <c r="AA65" s="195"/>
      <c r="AB65" s="195"/>
      <c r="AC65" s="195"/>
      <c r="AD65" s="195"/>
    </row>
    <row r="66" spans="3:35" outlineLevel="1">
      <c r="C66" s="61" t="s">
        <v>164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43">
        <v>779612.48511496116</v>
      </c>
      <c r="Q66" s="243">
        <v>792536.93120389292</v>
      </c>
      <c r="R66" s="243">
        <v>800063.06523665751</v>
      </c>
      <c r="S66" s="243">
        <v>804433.83868334617</v>
      </c>
      <c r="T66" s="243">
        <v>804529.94082408934</v>
      </c>
      <c r="U66" s="243">
        <v>802014.31909549085</v>
      </c>
      <c r="V66" s="246"/>
      <c r="W66" s="245"/>
      <c r="X66" s="245"/>
      <c r="Y66" s="195"/>
      <c r="Z66" s="195"/>
      <c r="AA66" s="195"/>
      <c r="AB66" s="195"/>
      <c r="AC66" s="195"/>
      <c r="AD66" s="195"/>
    </row>
    <row r="67" spans="3:35" outlineLevel="1">
      <c r="C67" s="61" t="s">
        <v>202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243">
        <v>12573.6982574065</v>
      </c>
      <c r="Q67" s="243">
        <v>12833.373820990941</v>
      </c>
      <c r="R67" s="243">
        <v>13058.329161249871</v>
      </c>
      <c r="S67" s="243">
        <v>13255.212676152212</v>
      </c>
      <c r="T67" s="243">
        <v>13414.740243805596</v>
      </c>
      <c r="U67" s="243">
        <v>13553.654374758717</v>
      </c>
      <c r="V67" s="246"/>
      <c r="W67" s="245"/>
      <c r="X67" s="245"/>
      <c r="Y67" s="195"/>
      <c r="Z67" s="195"/>
      <c r="AA67" s="195"/>
      <c r="AB67" s="195"/>
      <c r="AC67" s="195"/>
      <c r="AD67" s="195"/>
    </row>
    <row r="68" spans="3:35" outlineLevel="1">
      <c r="C68" s="61"/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/>
      <c r="Q68" s="194"/>
      <c r="R68" s="194"/>
      <c r="S68" s="194"/>
      <c r="T68" s="194"/>
      <c r="U68" s="194"/>
      <c r="V68" s="246"/>
      <c r="W68" s="195"/>
      <c r="X68" s="195"/>
      <c r="Y68" s="195"/>
      <c r="Z68" s="195"/>
      <c r="AA68" s="195"/>
      <c r="AB68" s="195"/>
      <c r="AC68" s="195"/>
      <c r="AD68" s="195"/>
    </row>
    <row r="69" spans="3:35" outlineLevel="1">
      <c r="C69" s="61"/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223"/>
      <c r="S69" s="194"/>
      <c r="T69" s="194"/>
      <c r="U69" s="194"/>
      <c r="W69" s="195"/>
      <c r="X69" s="195"/>
      <c r="Y69" s="195"/>
      <c r="Z69" s="195"/>
      <c r="AA69" s="195"/>
      <c r="AB69" s="195"/>
      <c r="AC69" s="195"/>
      <c r="AD69" s="195"/>
      <c r="AF69" s="220"/>
      <c r="AG69" s="220"/>
      <c r="AH69" s="220"/>
      <c r="AI69" s="220"/>
    </row>
    <row r="70" spans="3:35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  <c r="W70" s="195"/>
      <c r="X70" s="195"/>
      <c r="Y70" s="195"/>
      <c r="Z70" s="195"/>
      <c r="AA70" s="195"/>
      <c r="AB70" s="195"/>
      <c r="AC70" s="195"/>
      <c r="AD70" s="195"/>
      <c r="AE70" s="220"/>
    </row>
    <row r="71" spans="3:35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  <c r="W71" s="195"/>
      <c r="X71" s="195"/>
      <c r="Y71" s="195"/>
      <c r="Z71" s="195"/>
      <c r="AA71" s="195"/>
      <c r="AB71" s="195"/>
      <c r="AC71" s="195"/>
      <c r="AD71" s="195"/>
    </row>
    <row r="72" spans="3:35" outlineLevel="1">
      <c r="C72" s="111"/>
      <c r="G72" s="32"/>
      <c r="H72" s="32"/>
      <c r="K72" s="23"/>
      <c r="L72" s="23"/>
      <c r="M72" s="23"/>
      <c r="N72" s="23"/>
      <c r="O72" s="23"/>
    </row>
    <row r="73" spans="3:35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54">IF(J64=J$4,IF(COUNTA($C66:$C71)=COUNT(J66:J71),"Ok","Check"),"")</f>
        <v/>
      </c>
      <c r="K73" s="132" t="str">
        <f t="shared" si="54"/>
        <v/>
      </c>
      <c r="L73" s="132" t="str">
        <f t="shared" si="54"/>
        <v/>
      </c>
      <c r="M73" s="132" t="str">
        <f t="shared" si="54"/>
        <v/>
      </c>
      <c r="N73" s="132" t="str">
        <f t="shared" si="54"/>
        <v/>
      </c>
      <c r="O73" s="132"/>
      <c r="P73" s="132" t="str">
        <f t="shared" si="54"/>
        <v>Ok</v>
      </c>
      <c r="Q73" s="132" t="str">
        <f t="shared" si="54"/>
        <v>Ok</v>
      </c>
      <c r="R73" s="132" t="str">
        <f t="shared" si="54"/>
        <v>Ok</v>
      </c>
      <c r="S73" s="132" t="str">
        <f t="shared" si="54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35" outlineLevel="1">
      <c r="C74" s="111"/>
      <c r="G74" s="32"/>
      <c r="H74" s="32"/>
      <c r="K74" s="23"/>
      <c r="L74" s="23"/>
      <c r="M74" s="23"/>
      <c r="N74" s="23"/>
      <c r="O74" s="23"/>
    </row>
    <row r="75" spans="3:35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45444</v>
      </c>
      <c r="R75" s="160">
        <f t="shared" ref="R75:U75" si="55">R4</f>
        <v>45809</v>
      </c>
      <c r="S75" s="160">
        <f t="shared" si="55"/>
        <v>46174</v>
      </c>
      <c r="T75" s="160">
        <f t="shared" si="55"/>
        <v>46539</v>
      </c>
      <c r="U75" s="160">
        <f t="shared" si="55"/>
        <v>46905</v>
      </c>
    </row>
    <row r="76" spans="3:35" outlineLevel="1">
      <c r="C76" s="111"/>
      <c r="G76" s="32"/>
      <c r="H76" s="32"/>
      <c r="K76" s="23"/>
      <c r="L76" s="23"/>
      <c r="M76" s="23"/>
      <c r="N76" s="23"/>
      <c r="O76" s="23"/>
      <c r="W76" s="195"/>
      <c r="X76" s="195"/>
      <c r="Y76" s="195"/>
      <c r="Z76" s="195"/>
    </row>
    <row r="77" spans="3:35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56">IF(ISBLANK(I66),"",IF(ISBLANK(J66),"",LN(J66)-LN(I66)))</f>
        <v/>
      </c>
      <c r="K77" s="117" t="str">
        <f t="shared" si="56"/>
        <v/>
      </c>
      <c r="L77" s="117" t="str">
        <f t="shared" si="56"/>
        <v/>
      </c>
      <c r="M77" s="117" t="str">
        <f t="shared" si="56"/>
        <v/>
      </c>
      <c r="N77" s="117" t="str">
        <f>IF(ISBLANK(M66),"",IF(ISBLANK(N66),"",LN(N66)-LN(M66)))</f>
        <v/>
      </c>
      <c r="O77" s="117" t="str">
        <f t="shared" ref="O77:U77" si="57">IF(ISBLANK(N66),"",IF(ISBLANK(O66),"",LN(O66)-LN(N66)))</f>
        <v/>
      </c>
      <c r="P77" s="117" t="str">
        <f t="shared" si="57"/>
        <v/>
      </c>
      <c r="Q77" s="117">
        <f>IF(ISBLANK(P66),"",IF(ISBLANK(Q66),"",LN(Q66)-LN(P66)))</f>
        <v>1.6442123278324061E-2</v>
      </c>
      <c r="R77" s="117">
        <f>IF(ISBLANK(Q66),"",IF(ISBLANK(R66),"",LN(R66)-LN(Q66)))</f>
        <v>9.4514505528664472E-3</v>
      </c>
      <c r="S77" s="117">
        <f>IF(ISBLANK(R66),"",IF(ISBLANK(S66),"",LN(S66)-LN(R66)))</f>
        <v>5.4481678927604804E-3</v>
      </c>
      <c r="T77" s="117">
        <f t="shared" si="57"/>
        <v>1.1945842669902618E-4</v>
      </c>
      <c r="U77" s="117">
        <f t="shared" si="57"/>
        <v>-3.1317204852570057E-3</v>
      </c>
      <c r="W77" s="195"/>
      <c r="X77" s="195"/>
      <c r="Y77" s="195"/>
      <c r="Z77" s="195"/>
    </row>
    <row r="78" spans="3:35" outlineLevel="1">
      <c r="C78" s="146" t="str">
        <f t="shared" ref="C78:C82" si="58">C67</f>
        <v>Mains length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T78" si="59">IF(ISBLANK(I67),"",IF(ISBLANK(J67),"",LN(J67)-LN(I67)))</f>
        <v/>
      </c>
      <c r="K78" s="117" t="str">
        <f t="shared" si="59"/>
        <v/>
      </c>
      <c r="L78" s="117" t="str">
        <f t="shared" si="59"/>
        <v/>
      </c>
      <c r="M78" s="117" t="str">
        <f t="shared" si="59"/>
        <v/>
      </c>
      <c r="N78" s="117" t="str">
        <f t="shared" si="59"/>
        <v/>
      </c>
      <c r="O78" s="117" t="str">
        <f t="shared" si="59"/>
        <v/>
      </c>
      <c r="P78" s="117" t="str">
        <f t="shared" si="59"/>
        <v/>
      </c>
      <c r="Q78" s="117">
        <f>IF(ISBLANK(P67),"",IF(ISBLANK(Q67),"",LN(Q67)-LN(P67)))</f>
        <v>2.0441915173341485E-2</v>
      </c>
      <c r="R78" s="117">
        <f>IF(ISBLANK(Q67),"",IF(ISBLANK(R67),"",LN(R67)-LN(Q67)))</f>
        <v>1.7377072574999985E-2</v>
      </c>
      <c r="S78" s="117">
        <f t="shared" si="59"/>
        <v>1.4964704509855764E-2</v>
      </c>
      <c r="T78" s="117">
        <f t="shared" si="59"/>
        <v>1.196323598670368E-2</v>
      </c>
      <c r="U78" s="117">
        <f>IF(ISBLANK(T67),"",IF(ISBLANK(U67),"",LN(U67)-LN(T67)))</f>
        <v>1.0302085943928674E-2</v>
      </c>
      <c r="W78" s="195"/>
      <c r="X78" s="195"/>
      <c r="Y78" s="195"/>
      <c r="Z78" s="195"/>
    </row>
    <row r="79" spans="3:35" outlineLevel="1">
      <c r="C79" s="146">
        <f t="shared" si="58"/>
        <v>0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60">IF(ISBLANK(I68),"",IF(ISBLANK(J68),"",LN(J68)-LN(I68)))</f>
        <v/>
      </c>
      <c r="K79" s="117" t="str">
        <f t="shared" si="60"/>
        <v/>
      </c>
      <c r="L79" s="117" t="str">
        <f t="shared" si="60"/>
        <v/>
      </c>
      <c r="M79" s="117" t="str">
        <f t="shared" si="60"/>
        <v/>
      </c>
      <c r="N79" s="117" t="str">
        <f t="shared" si="60"/>
        <v/>
      </c>
      <c r="O79" s="117" t="str">
        <f t="shared" si="60"/>
        <v/>
      </c>
      <c r="P79" s="117" t="str">
        <f t="shared" si="60"/>
        <v/>
      </c>
      <c r="Q79" s="117" t="str">
        <f t="shared" si="60"/>
        <v/>
      </c>
      <c r="R79" s="117" t="str">
        <f t="shared" si="60"/>
        <v/>
      </c>
      <c r="S79" s="117" t="str">
        <f t="shared" si="60"/>
        <v/>
      </c>
      <c r="T79" s="117" t="str">
        <f t="shared" si="60"/>
        <v/>
      </c>
      <c r="U79" s="117" t="str">
        <f t="shared" si="60"/>
        <v/>
      </c>
    </row>
    <row r="80" spans="3:35" outlineLevel="1">
      <c r="C80" s="146">
        <f t="shared" si="58"/>
        <v>0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61">IF(ISBLANK(I69),"",IF(ISBLANK(J69),"",LN(J69)-LN(I69)))</f>
        <v/>
      </c>
      <c r="K80" s="117" t="str">
        <f t="shared" si="61"/>
        <v/>
      </c>
      <c r="L80" s="117" t="str">
        <f t="shared" si="61"/>
        <v/>
      </c>
      <c r="M80" s="117" t="str">
        <f t="shared" si="61"/>
        <v/>
      </c>
      <c r="N80" s="117" t="str">
        <f t="shared" si="61"/>
        <v/>
      </c>
      <c r="O80" s="117" t="str">
        <f t="shared" si="61"/>
        <v/>
      </c>
      <c r="P80" s="117" t="str">
        <f t="shared" si="61"/>
        <v/>
      </c>
      <c r="Q80" s="117" t="str">
        <f t="shared" si="61"/>
        <v/>
      </c>
      <c r="R80" s="117" t="str">
        <f t="shared" si="61"/>
        <v/>
      </c>
      <c r="S80" s="117" t="str">
        <f t="shared" si="61"/>
        <v/>
      </c>
      <c r="T80" s="117" t="str">
        <f t="shared" si="61"/>
        <v/>
      </c>
      <c r="U80" s="117" t="str">
        <f t="shared" si="61"/>
        <v/>
      </c>
    </row>
    <row r="81" spans="3:23" outlineLevel="1">
      <c r="C81" s="146">
        <f t="shared" si="58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62">IF(ISBLANK(I70),"",IF(ISBLANK(J70),"",LN(J70)-LN(I70)))</f>
        <v/>
      </c>
      <c r="K81" s="117" t="str">
        <f t="shared" si="62"/>
        <v/>
      </c>
      <c r="L81" s="117" t="str">
        <f t="shared" si="62"/>
        <v/>
      </c>
      <c r="M81" s="117" t="str">
        <f t="shared" si="62"/>
        <v/>
      </c>
      <c r="N81" s="117" t="str">
        <f t="shared" si="62"/>
        <v/>
      </c>
      <c r="O81" s="117" t="str">
        <f t="shared" si="62"/>
        <v/>
      </c>
      <c r="P81" s="117" t="str">
        <f t="shared" si="62"/>
        <v/>
      </c>
      <c r="Q81" s="117" t="str">
        <f t="shared" si="62"/>
        <v/>
      </c>
      <c r="R81" s="117" t="str">
        <f t="shared" si="62"/>
        <v/>
      </c>
      <c r="S81" s="117" t="str">
        <f t="shared" si="62"/>
        <v/>
      </c>
      <c r="T81" s="117" t="str">
        <f t="shared" si="62"/>
        <v/>
      </c>
      <c r="U81" s="117" t="str">
        <f t="shared" si="62"/>
        <v/>
      </c>
    </row>
    <row r="82" spans="3:23" outlineLevel="1">
      <c r="C82" s="146">
        <f t="shared" si="58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63">IF(ISBLANK(I71),"",IF(ISBLANK(J71),"",LN(J71)-LN(I71)))</f>
        <v/>
      </c>
      <c r="K82" s="117" t="str">
        <f t="shared" si="63"/>
        <v/>
      </c>
      <c r="L82" s="117" t="str">
        <f t="shared" si="63"/>
        <v/>
      </c>
      <c r="M82" s="117" t="str">
        <f t="shared" si="63"/>
        <v/>
      </c>
      <c r="N82" s="117" t="str">
        <f t="shared" si="63"/>
        <v/>
      </c>
      <c r="O82" s="117" t="str">
        <f t="shared" si="63"/>
        <v/>
      </c>
      <c r="P82" s="117" t="str">
        <f t="shared" si="63"/>
        <v/>
      </c>
      <c r="Q82" s="117" t="str">
        <f t="shared" si="63"/>
        <v/>
      </c>
      <c r="R82" s="117" t="str">
        <f t="shared" si="63"/>
        <v/>
      </c>
      <c r="S82" s="117" t="str">
        <f t="shared" si="63"/>
        <v/>
      </c>
      <c r="T82" s="117" t="str">
        <f t="shared" si="63"/>
        <v/>
      </c>
      <c r="U82" s="117" t="str">
        <f t="shared" si="63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165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8" t="s">
        <v>166</v>
      </c>
      <c r="K84" s="208" t="s">
        <v>167</v>
      </c>
      <c r="L84" s="208" t="s">
        <v>168</v>
      </c>
      <c r="M84" s="208" t="s">
        <v>188</v>
      </c>
      <c r="N84" s="208" t="s">
        <v>169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24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5">
        <v>0.45</v>
      </c>
      <c r="K86" s="215">
        <v>0.45</v>
      </c>
      <c r="L86" s="215">
        <v>0.45</v>
      </c>
      <c r="M86" s="215">
        <v>0.45</v>
      </c>
      <c r="N86" s="215">
        <v>0.45</v>
      </c>
      <c r="O86" s="248"/>
      <c r="P86" s="191"/>
      <c r="Q86" s="191"/>
      <c r="R86" s="191"/>
      <c r="S86" s="191"/>
      <c r="T86" s="191"/>
    </row>
    <row r="87" spans="3:23" outlineLevel="1">
      <c r="C87" s="146" t="str">
        <f t="shared" ref="C87:C91" si="64">C67</f>
        <v>Mains length</v>
      </c>
      <c r="D87" s="30" t="s">
        <v>100</v>
      </c>
      <c r="E87" s="30" t="s">
        <v>18</v>
      </c>
      <c r="F87" s="30" t="s">
        <v>36</v>
      </c>
      <c r="G87" s="32"/>
      <c r="H87" s="32"/>
      <c r="J87" s="215">
        <v>0.55000000000000004</v>
      </c>
      <c r="K87" s="215">
        <v>0.55000000000000004</v>
      </c>
      <c r="L87" s="215">
        <v>0.55000000000000004</v>
      </c>
      <c r="M87" s="215">
        <v>0.55000000000000004</v>
      </c>
      <c r="N87" s="215">
        <v>0.55000000000000004</v>
      </c>
      <c r="O87" s="248"/>
      <c r="P87" s="191"/>
      <c r="Q87" s="191"/>
      <c r="R87" s="191"/>
      <c r="S87" s="191"/>
      <c r="T87" s="191"/>
    </row>
    <row r="88" spans="3:23" outlineLevel="1">
      <c r="C88" s="146">
        <f t="shared" si="64"/>
        <v>0</v>
      </c>
      <c r="D88" s="30" t="s">
        <v>100</v>
      </c>
      <c r="E88" s="30" t="s">
        <v>18</v>
      </c>
      <c r="F88" s="30" t="s">
        <v>36</v>
      </c>
      <c r="G88" s="32"/>
      <c r="H88" s="32"/>
      <c r="J88" s="215"/>
      <c r="K88" s="215"/>
      <c r="L88" s="215"/>
      <c r="M88" s="215"/>
      <c r="N88" s="215"/>
      <c r="O88" s="249"/>
      <c r="P88" s="191"/>
      <c r="Q88" s="191"/>
      <c r="R88" s="191"/>
      <c r="S88" s="191"/>
      <c r="T88" s="191"/>
    </row>
    <row r="89" spans="3:23" outlineLevel="1">
      <c r="C89" s="146">
        <f t="shared" si="64"/>
        <v>0</v>
      </c>
      <c r="D89" s="30" t="s">
        <v>100</v>
      </c>
      <c r="E89" s="30" t="s">
        <v>18</v>
      </c>
      <c r="F89" s="30" t="s">
        <v>36</v>
      </c>
      <c r="G89" s="32"/>
      <c r="H89" s="32"/>
      <c r="J89" s="215"/>
      <c r="K89" s="215"/>
      <c r="L89" s="215"/>
      <c r="M89" s="215"/>
      <c r="N89" s="215"/>
      <c r="O89" s="191"/>
      <c r="P89" s="191"/>
      <c r="Q89" s="191"/>
      <c r="R89" s="191"/>
      <c r="S89" s="191"/>
      <c r="T89" s="191"/>
    </row>
    <row r="90" spans="3:23" outlineLevel="1">
      <c r="C90" s="146">
        <f t="shared" si="64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64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170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45444</v>
      </c>
      <c r="R95" s="160">
        <f t="shared" ref="R95:U95" si="65">R4</f>
        <v>45809</v>
      </c>
      <c r="S95" s="160">
        <f t="shared" si="65"/>
        <v>46174</v>
      </c>
      <c r="T95" s="160">
        <f t="shared" si="65"/>
        <v>46539</v>
      </c>
      <c r="U95" s="160">
        <f t="shared" si="65"/>
        <v>46905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66">IF(J$95=J$4,SUMPRODUCT(J$77:J$82,$J$86:$J$91),"")</f>
        <v/>
      </c>
      <c r="K97" s="117" t="str">
        <f t="shared" si="66"/>
        <v/>
      </c>
      <c r="L97" s="117" t="str">
        <f t="shared" si="66"/>
        <v/>
      </c>
      <c r="M97" s="117" t="str">
        <f t="shared" si="66"/>
        <v/>
      </c>
      <c r="N97" s="117" t="str">
        <f t="shared" si="66"/>
        <v/>
      </c>
      <c r="O97" s="117" t="str">
        <f t="shared" si="66"/>
        <v/>
      </c>
      <c r="P97" s="117" t="str">
        <f t="shared" si="66"/>
        <v/>
      </c>
      <c r="Q97" s="117">
        <f>IF(Q$95=Q$4,SUMPRODUCT(Q$77:Q$82,$J$86:$J$91),"")</f>
        <v>1.8642008820583644E-2</v>
      </c>
      <c r="R97" s="117">
        <f>IF(R$95=R$4,SUMPRODUCT(R$77:R$82,$J$86:$J$91),"")</f>
        <v>1.3810542665039893E-2</v>
      </c>
      <c r="S97" s="117">
        <f t="shared" si="66"/>
        <v>1.0682263032162888E-2</v>
      </c>
      <c r="T97" s="117">
        <f>IF(T$95=T$4,SUMPRODUCT(T$77:T$82,$J$86:$J$91),"")</f>
        <v>6.6335360847015867E-3</v>
      </c>
      <c r="U97" s="117">
        <f>IF(U$95=U$4,SUMPRODUCT(U$77:U$82,$J$86:$J$91),"")</f>
        <v>4.2568730507951177E-3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67">IF(J$95=J$4,SUMPRODUCT(J$77:J$82,$K$86:$K$91),"")</f>
        <v/>
      </c>
      <c r="K98" s="117" t="str">
        <f t="shared" si="67"/>
        <v/>
      </c>
      <c r="L98" s="117" t="str">
        <f t="shared" si="67"/>
        <v/>
      </c>
      <c r="M98" s="117" t="str">
        <f t="shared" si="67"/>
        <v/>
      </c>
      <c r="N98" s="117" t="str">
        <f t="shared" si="67"/>
        <v/>
      </c>
      <c r="O98" s="117" t="str">
        <f t="shared" si="67"/>
        <v/>
      </c>
      <c r="P98" s="117" t="str">
        <f t="shared" si="67"/>
        <v/>
      </c>
      <c r="Q98" s="117">
        <f>IF(Q$95=Q$4,SUMPRODUCT(Q$77:Q$82,$K$86:$K$91),"")</f>
        <v>1.8642008820583644E-2</v>
      </c>
      <c r="R98" s="117">
        <f>IF(R$95=R$4,SUMPRODUCT(R$77:R$82,$K$86:$K$91),"")</f>
        <v>1.3810542665039893E-2</v>
      </c>
      <c r="S98" s="117">
        <f t="shared" si="67"/>
        <v>1.0682263032162888E-2</v>
      </c>
      <c r="T98" s="117">
        <f>IF(T$95=T$4,SUMPRODUCT(T$77:T$82,$K$86:$K$91),"")</f>
        <v>6.6335360847015867E-3</v>
      </c>
      <c r="U98" s="117">
        <f>IF(U$95=U$4,SUMPRODUCT(U$77:U$82,$K$86:$K$91),"")</f>
        <v>4.2568730507951177E-3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68">IF(J$95=J$4,SUMPRODUCT(J$77:J$82,$L$86:$L$91),"")</f>
        <v/>
      </c>
      <c r="K99" s="117" t="str">
        <f t="shared" si="68"/>
        <v/>
      </c>
      <c r="L99" s="117" t="str">
        <f t="shared" si="68"/>
        <v/>
      </c>
      <c r="M99" s="117" t="str">
        <f t="shared" si="68"/>
        <v/>
      </c>
      <c r="N99" s="117" t="str">
        <f t="shared" si="68"/>
        <v/>
      </c>
      <c r="O99" s="117" t="str">
        <f t="shared" si="68"/>
        <v/>
      </c>
      <c r="P99" s="117" t="str">
        <f t="shared" si="68"/>
        <v/>
      </c>
      <c r="Q99" s="117">
        <f t="shared" si="68"/>
        <v>1.8642008820583644E-2</v>
      </c>
      <c r="R99" s="117">
        <f t="shared" si="68"/>
        <v>1.3810542665039893E-2</v>
      </c>
      <c r="S99" s="117">
        <f t="shared" si="68"/>
        <v>1.0682263032162888E-2</v>
      </c>
      <c r="T99" s="117">
        <f>IF(T$95=T$4,SUMPRODUCT(T$77:T$82,$L$86:$L$91),"")</f>
        <v>6.6335360847015867E-3</v>
      </c>
      <c r="U99" s="117">
        <f>IF(U$95=U$4,SUMPRODUCT(U$77:U$82,$L$86:$L$91),"")</f>
        <v>4.2568730507951177E-3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69">IF(J$95=J$4,SUMPRODUCT(J$77:J$82,$M$86:$M$91),"")</f>
        <v/>
      </c>
      <c r="K100" s="117" t="str">
        <f t="shared" si="69"/>
        <v/>
      </c>
      <c r="L100" s="117" t="str">
        <f t="shared" si="69"/>
        <v/>
      </c>
      <c r="M100" s="117" t="str">
        <f t="shared" si="69"/>
        <v/>
      </c>
      <c r="N100" s="117" t="str">
        <f t="shared" si="69"/>
        <v/>
      </c>
      <c r="O100" s="117" t="str">
        <f t="shared" si="69"/>
        <v/>
      </c>
      <c r="P100" s="117" t="str">
        <f t="shared" si="69"/>
        <v/>
      </c>
      <c r="Q100" s="117">
        <f t="shared" si="69"/>
        <v>1.8642008820583644E-2</v>
      </c>
      <c r="R100" s="117">
        <f t="shared" si="69"/>
        <v>1.3810542665039893E-2</v>
      </c>
      <c r="S100" s="117">
        <f t="shared" si="69"/>
        <v>1.0682263032162888E-2</v>
      </c>
      <c r="T100" s="117">
        <f>IF(T$95=T$4,SUMPRODUCT(T$77:T$82,$M$86:$M$91),"")</f>
        <v>6.6335360847015867E-3</v>
      </c>
      <c r="U100" s="117">
        <f>IF(U$95=U$4,SUMPRODUCT(U$77:U$82,$M$86:$M$91),"")</f>
        <v>4.2568730507951177E-3</v>
      </c>
      <c r="W100" s="132"/>
    </row>
    <row r="101" spans="1:50" outlineLevel="1">
      <c r="C101" s="218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1.8642008820583644E-2</v>
      </c>
      <c r="R101" s="117">
        <f t="shared" ref="R101:U101" si="70">IF(R$95=R$4,SUMPRODUCT(R$77:R$82,$N$86:$N$91),"")</f>
        <v>1.3810542665039893E-2</v>
      </c>
      <c r="S101" s="117">
        <f t="shared" si="70"/>
        <v>1.0682263032162888E-2</v>
      </c>
      <c r="T101" s="117">
        <f t="shared" si="70"/>
        <v>6.6335360847015867E-3</v>
      </c>
      <c r="U101" s="117">
        <f t="shared" si="70"/>
        <v>4.2568730507951177E-3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45444</v>
      </c>
      <c r="R105" s="160">
        <f t="shared" ref="R105:U105" si="71">R4</f>
        <v>45809</v>
      </c>
      <c r="S105" s="160">
        <f t="shared" si="71"/>
        <v>46174</v>
      </c>
      <c r="T105" s="160">
        <f t="shared" si="71"/>
        <v>46539</v>
      </c>
      <c r="U105" s="160">
        <f t="shared" si="71"/>
        <v>46905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  <c r="V106" s="195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0</v>
      </c>
      <c r="R107" s="167">
        <v>0</v>
      </c>
      <c r="S107" s="167">
        <v>0</v>
      </c>
      <c r="T107" s="167">
        <v>0</v>
      </c>
      <c r="U107" s="167">
        <v>0</v>
      </c>
      <c r="V107" s="248"/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72">IF(J105=J$4,IF(ISBLANK(J107),"Check","Ok"),"")</f>
        <v/>
      </c>
      <c r="K109" s="132" t="str">
        <f t="shared" si="72"/>
        <v/>
      </c>
      <c r="L109" s="132" t="str">
        <f t="shared" si="72"/>
        <v/>
      </c>
      <c r="M109" s="132" t="str">
        <f t="shared" si="72"/>
        <v/>
      </c>
      <c r="N109" s="132" t="str">
        <f t="shared" si="72"/>
        <v/>
      </c>
      <c r="O109" s="132" t="str">
        <f t="shared" si="72"/>
        <v/>
      </c>
      <c r="P109" s="132" t="str">
        <f t="shared" si="72"/>
        <v/>
      </c>
      <c r="Q109" s="132" t="str">
        <f t="shared" si="72"/>
        <v>Ok</v>
      </c>
      <c r="R109" s="132" t="str">
        <f t="shared" si="72"/>
        <v>Ok</v>
      </c>
      <c r="S109" s="132" t="str">
        <f t="shared" si="72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</sheetData>
  <mergeCells count="2">
    <mergeCell ref="K3:M3"/>
    <mergeCell ref="O3:T3"/>
  </mergeCells>
  <conditionalFormatting sqref="W1">
    <cfRule type="cellIs" dxfId="193" priority="133" operator="equal">
      <formula>"Check"</formula>
    </cfRule>
    <cfRule type="cellIs" dxfId="192" priority="134" operator="equal">
      <formula>"Ok"</formula>
    </cfRule>
  </conditionalFormatting>
  <conditionalFormatting sqref="T1">
    <cfRule type="cellIs" dxfId="191" priority="97" operator="equal">
      <formula>"Check"</formula>
    </cfRule>
    <cfRule type="cellIs" dxfId="190" priority="98" operator="equal">
      <formula>"Ok"</formula>
    </cfRule>
  </conditionalFormatting>
  <conditionalFormatting sqref="W60">
    <cfRule type="cellIs" dxfId="189" priority="85" operator="equal">
      <formula>"Check"</formula>
    </cfRule>
    <cfRule type="cellIs" dxfId="188" priority="86" operator="equal">
      <formula>"Ok"</formula>
    </cfRule>
  </conditionalFormatting>
  <conditionalFormatting sqref="J60:T60">
    <cfRule type="cellIs" dxfId="187" priority="77" operator="equal">
      <formula>"Check"</formula>
    </cfRule>
    <cfRule type="cellIs" dxfId="186" priority="78" operator="equal">
      <formula>"Ok"</formula>
    </cfRule>
  </conditionalFormatting>
  <conditionalFormatting sqref="J36:U36">
    <cfRule type="expression" dxfId="185" priority="68">
      <formula>J$36=J$4</formula>
    </cfRule>
  </conditionalFormatting>
  <conditionalFormatting sqref="J41:T44 J45:U45 J38:U40">
    <cfRule type="expression" dxfId="184" priority="66">
      <formula>J$36=J$4</formula>
    </cfRule>
  </conditionalFormatting>
  <conditionalFormatting sqref="J51:U58">
    <cfRule type="expression" dxfId="183" priority="65">
      <formula>J$49=J$4</formula>
    </cfRule>
  </conditionalFormatting>
  <conditionalFormatting sqref="W109">
    <cfRule type="cellIs" dxfId="182" priority="59" operator="equal">
      <formula>"Check"</formula>
    </cfRule>
    <cfRule type="cellIs" dxfId="181" priority="60" operator="equal">
      <formula>"Ok"</formula>
    </cfRule>
  </conditionalFormatting>
  <conditionalFormatting sqref="J109:T109">
    <cfRule type="cellIs" dxfId="180" priority="57" operator="equal">
      <formula>"Check"</formula>
    </cfRule>
    <cfRule type="cellIs" dxfId="179" priority="58" operator="equal">
      <formula>"Ok"</formula>
    </cfRule>
  </conditionalFormatting>
  <conditionalFormatting sqref="W47">
    <cfRule type="cellIs" dxfId="178" priority="55" operator="equal">
      <formula>"Check"</formula>
    </cfRule>
    <cfRule type="cellIs" dxfId="177" priority="56" operator="equal">
      <formula>"Ok"</formula>
    </cfRule>
  </conditionalFormatting>
  <conditionalFormatting sqref="J47:T47">
    <cfRule type="cellIs" dxfId="176" priority="53" operator="equal">
      <formula>"Check"</formula>
    </cfRule>
    <cfRule type="cellIs" dxfId="175" priority="54" operator="equal">
      <formula>"Ok"</formula>
    </cfRule>
  </conditionalFormatting>
  <conditionalFormatting sqref="W73">
    <cfRule type="cellIs" dxfId="174" priority="51" operator="equal">
      <formula>"Check"</formula>
    </cfRule>
    <cfRule type="cellIs" dxfId="173" priority="52" operator="equal">
      <formula>"Ok"</formula>
    </cfRule>
  </conditionalFormatting>
  <conditionalFormatting sqref="J73:T73">
    <cfRule type="cellIs" dxfId="172" priority="49" operator="equal">
      <formula>"Check"</formula>
    </cfRule>
    <cfRule type="cellIs" dxfId="171" priority="50" operator="equal">
      <formula>"Ok"</formula>
    </cfRule>
  </conditionalFormatting>
  <conditionalFormatting sqref="J64:U64">
    <cfRule type="expression" dxfId="170" priority="43">
      <formula>J$64=J$4</formula>
    </cfRule>
  </conditionalFormatting>
  <conditionalFormatting sqref="J70:T71 J66:U69">
    <cfRule type="expression" dxfId="169" priority="41">
      <formula>J$64=J$4</formula>
    </cfRule>
  </conditionalFormatting>
  <conditionalFormatting sqref="J49:U49">
    <cfRule type="expression" dxfId="168" priority="38">
      <formula>J$36=J$4</formula>
    </cfRule>
  </conditionalFormatting>
  <conditionalFormatting sqref="J75:U75">
    <cfRule type="expression" dxfId="167" priority="37">
      <formula>J$36=J$4</formula>
    </cfRule>
  </conditionalFormatting>
  <conditionalFormatting sqref="J105:U105">
    <cfRule type="expression" dxfId="166" priority="36">
      <formula>J$36=J$4</formula>
    </cfRule>
  </conditionalFormatting>
  <conditionalFormatting sqref="J26:U32">
    <cfRule type="cellIs" dxfId="165" priority="34" operator="equal">
      <formula>0</formula>
    </cfRule>
  </conditionalFormatting>
  <conditionalFormatting sqref="J16:U22">
    <cfRule type="cellIs" dxfId="164" priority="33" operator="equal">
      <formula>0</formula>
    </cfRule>
  </conditionalFormatting>
  <conditionalFormatting sqref="W93:W101">
    <cfRule type="cellIs" dxfId="163" priority="29" operator="equal">
      <formula>"Check"</formula>
    </cfRule>
    <cfRule type="cellIs" dxfId="162" priority="30" operator="equal">
      <formula>"Ok"</formula>
    </cfRule>
  </conditionalFormatting>
  <conditionalFormatting sqref="K90:M91">
    <cfRule type="expression" dxfId="161" priority="28">
      <formula>K$84=K$4</formula>
    </cfRule>
  </conditionalFormatting>
  <conditionalFormatting sqref="J96:T96 J93:T94">
    <cfRule type="cellIs" dxfId="160" priority="26" operator="equal">
      <formula>"Check"</formula>
    </cfRule>
    <cfRule type="cellIs" dxfId="159" priority="27" operator="equal">
      <formula>"Ok"</formula>
    </cfRule>
  </conditionalFormatting>
  <conditionalFormatting sqref="J95:U95">
    <cfRule type="expression" dxfId="158" priority="25">
      <formula>J$95=J$4</formula>
    </cfRule>
  </conditionalFormatting>
  <conditionalFormatting sqref="J107:U107">
    <cfRule type="expression" dxfId="157" priority="138">
      <formula>J$105=J$4</formula>
    </cfRule>
  </conditionalFormatting>
  <conditionalFormatting sqref="K86:M89">
    <cfRule type="expression" dxfId="156" priority="24">
      <formula>K$84=K$4</formula>
    </cfRule>
  </conditionalFormatting>
  <conditionalFormatting sqref="U109">
    <cfRule type="cellIs" dxfId="155" priority="4" operator="equal">
      <formula>"Check"</formula>
    </cfRule>
    <cfRule type="cellIs" dxfId="154" priority="5" operator="equal">
      <formula>"Ok"</formula>
    </cfRule>
  </conditionalFormatting>
  <conditionalFormatting sqref="U47">
    <cfRule type="cellIs" dxfId="153" priority="17" operator="equal">
      <formula>"Check"</formula>
    </cfRule>
    <cfRule type="cellIs" dxfId="152" priority="18" operator="equal">
      <formula>"Ok"</formula>
    </cfRule>
  </conditionalFormatting>
  <conditionalFormatting sqref="U38:U39 U41:U44">
    <cfRule type="expression" dxfId="151" priority="16">
      <formula>U$36=U$4</formula>
    </cfRule>
  </conditionalFormatting>
  <conditionalFormatting sqref="U51:U58">
    <cfRule type="expression" dxfId="150" priority="13">
      <formula>U$49=U$4</formula>
    </cfRule>
  </conditionalFormatting>
  <conditionalFormatting sqref="U60">
    <cfRule type="cellIs" dxfId="149" priority="11" operator="equal">
      <formula>"Check"</formula>
    </cfRule>
    <cfRule type="cellIs" dxfId="148" priority="12" operator="equal">
      <formula>"Ok"</formula>
    </cfRule>
  </conditionalFormatting>
  <conditionalFormatting sqref="U73">
    <cfRule type="cellIs" dxfId="147" priority="8" operator="equal">
      <formula>"Check"</formula>
    </cfRule>
    <cfRule type="cellIs" dxfId="146" priority="9" operator="equal">
      <formula>"Ok"</formula>
    </cfRule>
  </conditionalFormatting>
  <conditionalFormatting sqref="U70:U71">
    <cfRule type="expression" dxfId="145" priority="7">
      <formula>U$64=U$4</formula>
    </cfRule>
  </conditionalFormatting>
  <conditionalFormatting sqref="U107">
    <cfRule type="expression" dxfId="144" priority="6">
      <formula>U$105=U$4</formula>
    </cfRule>
  </conditionalFormatting>
  <dataValidations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2"/>
  <sheetViews>
    <sheetView tabSelected="1" topLeftCell="N1" zoomScale="115" zoomScaleNormal="115" workbookViewId="0">
      <selection activeCell="T13" sqref="T13"/>
    </sheetView>
  </sheetViews>
  <sheetFormatPr defaultColWidth="0" defaultRowHeight="11.25" zeroHeight="1" outlineLevelRow="1"/>
  <cols>
    <col min="1" max="2" width="1.5" style="29" customWidth="1"/>
    <col min="3" max="3" width="35.1640625" style="29" customWidth="1"/>
    <col min="4" max="4" width="6.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51"/>
      <c r="O3" s="251"/>
      <c r="P3" s="251"/>
      <c r="Q3" s="251"/>
      <c r="R3" s="251"/>
      <c r="S3" s="251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45444</v>
      </c>
      <c r="Q10" s="160">
        <f t="shared" si="1"/>
        <v>45809</v>
      </c>
      <c r="R10" s="160">
        <f t="shared" si="1"/>
        <v>46174</v>
      </c>
      <c r="S10" s="160">
        <f t="shared" si="1"/>
        <v>46539</v>
      </c>
      <c r="T10" s="160">
        <f t="shared" si="1"/>
        <v>46905</v>
      </c>
    </row>
    <row r="11" spans="1:48" outlineLevel="1">
      <c r="G11" s="32"/>
      <c r="H11" s="32"/>
    </row>
    <row r="12" spans="1:48" outlineLevel="1">
      <c r="C12" s="61" t="s">
        <v>213</v>
      </c>
      <c r="D12" s="30" t="s">
        <v>68</v>
      </c>
      <c r="E12" s="148" t="s">
        <v>15</v>
      </c>
      <c r="F12" s="169">
        <v>45078</v>
      </c>
      <c r="G12" s="32"/>
      <c r="H12" s="32"/>
      <c r="J12" s="150"/>
      <c r="K12" s="150"/>
      <c r="L12" s="150"/>
      <c r="M12" s="150"/>
      <c r="N12" s="150"/>
      <c r="O12" s="168"/>
      <c r="P12" s="240">
        <v>4.4098915185480543</v>
      </c>
      <c r="Q12" s="240">
        <v>5.2271304768371305</v>
      </c>
      <c r="R12" s="240">
        <v>1.9845079795140759</v>
      </c>
      <c r="S12" s="240">
        <v>0.55924828923400938</v>
      </c>
      <c r="T12" s="240">
        <v>0.25827208222246689</v>
      </c>
      <c r="U12" s="232"/>
    </row>
    <row r="13" spans="1:48" outlineLevel="1">
      <c r="C13" s="61" t="s">
        <v>211</v>
      </c>
      <c r="D13" s="30" t="s">
        <v>68</v>
      </c>
      <c r="E13" s="148" t="s">
        <v>15</v>
      </c>
      <c r="F13" s="169">
        <v>44531</v>
      </c>
      <c r="G13" s="32"/>
      <c r="H13" s="32"/>
      <c r="J13" s="150"/>
      <c r="K13" s="150"/>
      <c r="L13" s="150"/>
      <c r="M13" s="150"/>
      <c r="N13" s="150"/>
      <c r="O13" s="168"/>
      <c r="P13" s="241">
        <f>[1]Costing!B10</f>
        <v>-1.2031124820793826E-3</v>
      </c>
      <c r="Q13" s="241">
        <f>[1]Costing!C10</f>
        <v>0.31973270214358873</v>
      </c>
      <c r="R13" s="241">
        <f>[1]Costing!D10</f>
        <v>0.30878906282482205</v>
      </c>
      <c r="S13" s="241">
        <f>[1]Costing!E10</f>
        <v>0.39021080562919747</v>
      </c>
      <c r="T13" s="241">
        <f>[1]Costing!F10</f>
        <v>0.27979681042913124</v>
      </c>
      <c r="U13" s="232"/>
      <c r="W13" s="195"/>
    </row>
    <row r="14" spans="1:48" outlineLevel="1">
      <c r="C14" s="61"/>
      <c r="D14" s="30" t="s">
        <v>68</v>
      </c>
      <c r="E14" s="148" t="s">
        <v>15</v>
      </c>
      <c r="F14" s="169">
        <v>45078</v>
      </c>
      <c r="G14" s="32"/>
      <c r="H14" s="32"/>
      <c r="J14" s="150"/>
      <c r="K14" s="150"/>
      <c r="L14" s="150"/>
      <c r="M14" s="150"/>
      <c r="N14" s="150"/>
      <c r="O14" s="168"/>
      <c r="P14" s="168"/>
      <c r="Q14" s="168"/>
      <c r="R14" s="168"/>
      <c r="S14" s="168"/>
      <c r="T14" s="168"/>
      <c r="U14" s="232"/>
      <c r="V14" s="220"/>
    </row>
    <row r="15" spans="1:48" outlineLevel="1">
      <c r="C15" s="61"/>
      <c r="D15" s="30" t="s">
        <v>68</v>
      </c>
      <c r="E15" s="148" t="s">
        <v>15</v>
      </c>
      <c r="F15" s="169">
        <v>45078</v>
      </c>
      <c r="G15" s="32"/>
      <c r="H15" s="32"/>
      <c r="J15" s="150"/>
      <c r="K15" s="150"/>
      <c r="L15" s="150"/>
      <c r="M15" s="150"/>
      <c r="N15" s="150"/>
      <c r="O15" s="168"/>
      <c r="P15" s="168"/>
      <c r="Q15" s="168"/>
      <c r="R15" s="168"/>
      <c r="S15" s="168"/>
      <c r="T15" s="168"/>
      <c r="U15" s="232"/>
    </row>
    <row r="16" spans="1:48" outlineLevel="1">
      <c r="C16" s="61"/>
      <c r="D16" s="30" t="s">
        <v>68</v>
      </c>
      <c r="E16" s="148" t="s">
        <v>15</v>
      </c>
      <c r="F16" s="169">
        <v>45078</v>
      </c>
      <c r="G16" s="32"/>
      <c r="H16" s="32"/>
      <c r="J16" s="150"/>
      <c r="K16" s="150"/>
      <c r="L16" s="150"/>
      <c r="M16" s="150"/>
      <c r="N16" s="150"/>
      <c r="O16" s="168"/>
      <c r="P16" s="168"/>
      <c r="Q16" s="168"/>
      <c r="R16" s="168"/>
      <c r="S16" s="168"/>
      <c r="T16" s="168"/>
      <c r="U16" s="232"/>
    </row>
    <row r="17" spans="1:48" outlineLevel="1">
      <c r="C17" s="61"/>
      <c r="D17" s="30" t="s">
        <v>68</v>
      </c>
      <c r="E17" s="148" t="s">
        <v>15</v>
      </c>
      <c r="F17" s="169">
        <v>45078</v>
      </c>
      <c r="G17" s="32"/>
      <c r="H17" s="32"/>
      <c r="J17" s="150"/>
      <c r="K17" s="150"/>
      <c r="L17" s="150"/>
      <c r="M17" s="150"/>
      <c r="N17" s="150"/>
      <c r="O17" s="168"/>
      <c r="P17" s="168"/>
      <c r="Q17" s="168"/>
      <c r="R17" s="168"/>
      <c r="S17" s="168"/>
      <c r="T17" s="168"/>
      <c r="U17" s="232"/>
    </row>
    <row r="18" spans="1:48" outlineLevel="1">
      <c r="C18" s="61"/>
      <c r="D18" s="30" t="s">
        <v>68</v>
      </c>
      <c r="E18" s="148" t="s">
        <v>15</v>
      </c>
      <c r="F18" s="169">
        <v>45078</v>
      </c>
      <c r="G18" s="32"/>
      <c r="H18" s="32"/>
      <c r="J18" s="150"/>
      <c r="K18" s="150"/>
      <c r="L18" s="150"/>
      <c r="M18" s="150"/>
      <c r="N18" s="150"/>
      <c r="O18" s="168"/>
      <c r="P18" s="168"/>
      <c r="Q18" s="168"/>
      <c r="R18" s="168"/>
      <c r="S18" s="168"/>
      <c r="T18" s="168"/>
      <c r="U18" s="232"/>
    </row>
    <row r="19" spans="1:48" outlineLevel="1">
      <c r="C19" s="61"/>
      <c r="D19" s="30" t="s">
        <v>68</v>
      </c>
      <c r="E19" s="148" t="s">
        <v>15</v>
      </c>
      <c r="F19" s="169">
        <v>45078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  <c r="U19" s="232"/>
    </row>
    <row r="20" spans="1:48" outlineLevel="1">
      <c r="C20" s="61"/>
      <c r="D20" s="30" t="s">
        <v>68</v>
      </c>
      <c r="E20" s="148" t="s">
        <v>15</v>
      </c>
      <c r="F20" s="169">
        <v>45078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  <c r="U20" s="232"/>
    </row>
    <row r="21" spans="1:48" outlineLevel="1">
      <c r="G21" s="32"/>
      <c r="H21" s="32"/>
      <c r="U21" s="233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45444</v>
      </c>
      <c r="Q26" s="160">
        <f t="shared" si="4"/>
        <v>45809</v>
      </c>
      <c r="R26" s="160">
        <f t="shared" si="4"/>
        <v>46174</v>
      </c>
      <c r="S26" s="160">
        <f t="shared" si="4"/>
        <v>46539</v>
      </c>
      <c r="T26" s="160">
        <f t="shared" si="4"/>
        <v>46905</v>
      </c>
    </row>
    <row r="27" spans="1:48" outlineLevel="1">
      <c r="G27" s="32"/>
      <c r="H27" s="32"/>
    </row>
    <row r="28" spans="1:48" outlineLevel="1">
      <c r="C28" s="61" t="s">
        <v>210</v>
      </c>
      <c r="D28" s="30" t="s">
        <v>68</v>
      </c>
      <c r="E28" s="148" t="s">
        <v>15</v>
      </c>
      <c r="F28" s="169">
        <v>44531</v>
      </c>
      <c r="G28" s="32"/>
      <c r="H28" s="32"/>
      <c r="J28" s="150"/>
      <c r="K28" s="150"/>
      <c r="L28" s="150"/>
      <c r="M28" s="150"/>
      <c r="N28" s="168"/>
      <c r="O28" s="168"/>
      <c r="P28" s="168">
        <v>1.4610000000000001</v>
      </c>
      <c r="Q28" s="168">
        <v>0.81100000000000005</v>
      </c>
      <c r="R28" s="168">
        <v>0.56100000000000005</v>
      </c>
      <c r="S28" s="168">
        <v>0.56100000000000005</v>
      </c>
      <c r="T28" s="168">
        <v>0.56100000000000005</v>
      </c>
    </row>
    <row r="29" spans="1:48" outlineLevel="1">
      <c r="C29" s="61"/>
      <c r="D29" s="30" t="s">
        <v>68</v>
      </c>
      <c r="E29" s="148" t="s">
        <v>15</v>
      </c>
      <c r="F29" s="169">
        <v>44531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  <c r="U29" s="219"/>
    </row>
    <row r="30" spans="1:48" outlineLevel="1">
      <c r="C30" s="61"/>
      <c r="D30" s="30" t="s">
        <v>68</v>
      </c>
      <c r="E30" s="148" t="s">
        <v>15</v>
      </c>
      <c r="F30" s="169">
        <v>45078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  <c r="U30" s="219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>IF(P26=P4,IF(COUNTA($C28:$C30)=COUNT(P28:P30),"Ok","Check"),"")</f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45444</v>
      </c>
      <c r="Q36" s="160">
        <f t="shared" si="7"/>
        <v>45809</v>
      </c>
      <c r="R36" s="160">
        <f t="shared" si="7"/>
        <v>46174</v>
      </c>
      <c r="S36" s="160">
        <f t="shared" si="7"/>
        <v>46539</v>
      </c>
      <c r="T36" s="160">
        <f t="shared" si="7"/>
        <v>46905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7">
        <v>45078</v>
      </c>
      <c r="G38" s="32"/>
      <c r="H38" s="32"/>
      <c r="J38" s="168"/>
      <c r="K38" s="168"/>
      <c r="L38" s="168"/>
      <c r="M38" s="168"/>
      <c r="N38" s="168"/>
      <c r="O38" s="168"/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221"/>
    </row>
    <row r="39" spans="1:48" outlineLevel="1">
      <c r="G39" s="32"/>
      <c r="H39" s="32"/>
      <c r="U39" s="221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3" priority="32" operator="equal">
      <formula>"Check"</formula>
    </cfRule>
    <cfRule type="cellIs" dxfId="142" priority="33" operator="equal">
      <formula>"Ok"</formula>
    </cfRule>
  </conditionalFormatting>
  <conditionalFormatting sqref="W1">
    <cfRule type="cellIs" dxfId="141" priority="34" operator="equal">
      <formula>"Check"</formula>
    </cfRule>
    <cfRule type="cellIs" dxfId="140" priority="35" operator="equal">
      <formula>"Ok"</formula>
    </cfRule>
  </conditionalFormatting>
  <conditionalFormatting sqref="J10:T10">
    <cfRule type="expression" dxfId="139" priority="30">
      <formula>J$10=J$4</formula>
    </cfRule>
  </conditionalFormatting>
  <conditionalFormatting sqref="J14:O14 J15:T20 J12:T13">
    <cfRule type="expression" dxfId="138" priority="29">
      <formula>J$10=J$4</formula>
    </cfRule>
  </conditionalFormatting>
  <conditionalFormatting sqref="X22">
    <cfRule type="cellIs" dxfId="137" priority="25" operator="equal">
      <formula>"Check"</formula>
    </cfRule>
    <cfRule type="cellIs" dxfId="136" priority="26" operator="equal">
      <formula>"Ok"</formula>
    </cfRule>
  </conditionalFormatting>
  <conditionalFormatting sqref="J22:U22">
    <cfRule type="cellIs" dxfId="135" priority="23" operator="equal">
      <formula>"Check"</formula>
    </cfRule>
    <cfRule type="cellIs" dxfId="134" priority="24" operator="equal">
      <formula>"Ok"</formula>
    </cfRule>
  </conditionalFormatting>
  <conditionalFormatting sqref="X32">
    <cfRule type="cellIs" dxfId="133" priority="21" operator="equal">
      <formula>"Check"</formula>
    </cfRule>
    <cfRule type="cellIs" dxfId="132" priority="22" operator="equal">
      <formula>"Ok"</formula>
    </cfRule>
  </conditionalFormatting>
  <conditionalFormatting sqref="J32:U32">
    <cfRule type="cellIs" dxfId="131" priority="19" operator="equal">
      <formula>"Check"</formula>
    </cfRule>
    <cfRule type="cellIs" dxfId="130" priority="20" operator="equal">
      <formula>"Ok"</formula>
    </cfRule>
  </conditionalFormatting>
  <conditionalFormatting sqref="J28:M30 O29:T30">
    <cfRule type="expression" dxfId="129" priority="18">
      <formula>J$26=J$4</formula>
    </cfRule>
  </conditionalFormatting>
  <conditionalFormatting sqref="X40">
    <cfRule type="cellIs" dxfId="128" priority="16" operator="equal">
      <formula>"Check"</formula>
    </cfRule>
    <cfRule type="cellIs" dxfId="127" priority="17" operator="equal">
      <formula>"Ok"</formula>
    </cfRule>
  </conditionalFormatting>
  <conditionalFormatting sqref="J40:U40">
    <cfRule type="cellIs" dxfId="126" priority="14" operator="equal">
      <formula>"Check"</formula>
    </cfRule>
    <cfRule type="cellIs" dxfId="125" priority="15" operator="equal">
      <formula>"Ok"</formula>
    </cfRule>
  </conditionalFormatting>
  <conditionalFormatting sqref="O28:T28">
    <cfRule type="expression" dxfId="124" priority="13">
      <formula>O$10=O$4</formula>
    </cfRule>
  </conditionalFormatting>
  <conditionalFormatting sqref="N28:N30">
    <cfRule type="expression" dxfId="123" priority="12">
      <formula>N$10=N$4</formula>
    </cfRule>
  </conditionalFormatting>
  <conditionalFormatting sqref="J38:T38">
    <cfRule type="expression" dxfId="122" priority="9">
      <formula>J$36=J$4</formula>
    </cfRule>
  </conditionalFormatting>
  <conditionalFormatting sqref="J26:N26">
    <cfRule type="expression" dxfId="121" priority="8">
      <formula>J$10=J$4</formula>
    </cfRule>
  </conditionalFormatting>
  <conditionalFormatting sqref="J36:N36">
    <cfRule type="expression" dxfId="120" priority="7">
      <formula>J$10=J$4</formula>
    </cfRule>
  </conditionalFormatting>
  <conditionalFormatting sqref="O26">
    <cfRule type="expression" dxfId="119" priority="6">
      <formula>O$10=O$4</formula>
    </cfRule>
  </conditionalFormatting>
  <conditionalFormatting sqref="O36">
    <cfRule type="expression" dxfId="118" priority="5">
      <formula>O$10=O$4</formula>
    </cfRule>
  </conditionalFormatting>
  <conditionalFormatting sqref="P26:T26">
    <cfRule type="expression" dxfId="117" priority="4">
      <formula>P$10=P$4</formula>
    </cfRule>
  </conditionalFormatting>
  <conditionalFormatting sqref="P36:T36">
    <cfRule type="expression" dxfId="116" priority="3">
      <formula>P$10=P$4</formula>
    </cfRule>
  </conditionalFormatting>
  <conditionalFormatting sqref="P14:T14">
    <cfRule type="expression" dxfId="115" priority="1">
      <formula>P$10=P$4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2:V13 V15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F28:F30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1"/>
  <sheetViews>
    <sheetView zoomScaleNormal="100" workbookViewId="0">
      <selection activeCell="A27" sqref="A27"/>
    </sheetView>
  </sheetViews>
  <sheetFormatPr defaultColWidth="0" defaultRowHeight="11.25" zeroHeight="1" outlineLevelRow="1"/>
  <cols>
    <col min="1" max="2" width="1.5" style="29" customWidth="1"/>
    <col min="3" max="3" width="32.5" style="29" customWidth="1"/>
    <col min="4" max="4" width="10.6640625" style="30" customWidth="1"/>
    <col min="5" max="5" width="15.83203125" style="30" customWidth="1"/>
    <col min="6" max="6" width="17.5" style="30" customWidth="1"/>
    <col min="7" max="9" width="3.5" style="30" customWidth="1"/>
    <col min="10" max="10" width="16.1640625" style="29" customWidth="1"/>
    <col min="11" max="11" width="13" style="29" customWidth="1"/>
    <col min="12" max="12" width="13.33203125" style="29" customWidth="1"/>
    <col min="13" max="13" width="13" style="29" customWidth="1"/>
    <col min="14" max="15" width="13.1640625" style="29" customWidth="1"/>
    <col min="16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51"/>
      <c r="O3" s="251"/>
      <c r="P3" s="251"/>
      <c r="Q3" s="251"/>
      <c r="R3" s="251"/>
      <c r="S3" s="251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45078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L9" s="231"/>
    </row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43435</v>
      </c>
      <c r="K10" s="160">
        <f t="shared" ref="K10:O10" si="0">K$4</f>
        <v>43800</v>
      </c>
      <c r="L10" s="160">
        <f t="shared" si="0"/>
        <v>44166</v>
      </c>
      <c r="M10" s="160">
        <f t="shared" si="0"/>
        <v>44531</v>
      </c>
      <c r="N10" s="160">
        <f t="shared" si="0"/>
        <v>44896</v>
      </c>
      <c r="O10" s="160">
        <f t="shared" si="0"/>
        <v>45078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51.546870798258652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45078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60.036059361940247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/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43070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55.346133774432417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45078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68.562359402514332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238"/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189</v>
      </c>
      <c r="D16" s="108" t="s">
        <v>91</v>
      </c>
      <c r="E16" s="30" t="str">
        <f>'Input|Reported opex'!E38</f>
        <v>$millions</v>
      </c>
      <c r="F16" s="158">
        <f>'Input|Reported opex'!F38</f>
        <v>44896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31.608229179498768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189</v>
      </c>
      <c r="D17" s="110" t="s">
        <v>30</v>
      </c>
      <c r="E17" s="30" t="str">
        <f>$E$8</f>
        <v>$millions</v>
      </c>
      <c r="F17" s="158">
        <f>$F$8</f>
        <v>45078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33.567939388627693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190</v>
      </c>
      <c r="D18" s="110" t="s">
        <v>30</v>
      </c>
      <c r="E18" s="30" t="str">
        <f>$E$8</f>
        <v>$millions</v>
      </c>
      <c r="F18" s="158">
        <f>$F$8</f>
        <v>45078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>O17*2</f>
        <v>67.135878777255385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45078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43070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3.6535190191281295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45078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4.5259509019056736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191</v>
      </c>
      <c r="D24" s="108" t="s">
        <v>91</v>
      </c>
      <c r="E24" s="30" t="str">
        <f>'Input|Reported opex'!E52</f>
        <v>$millions</v>
      </c>
      <c r="F24" s="158">
        <f>'Input|Reported opex'!F52</f>
        <v>44896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2.0460143516818383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191</v>
      </c>
      <c r="D25" s="110" t="s">
        <v>30</v>
      </c>
      <c r="E25" s="30" t="str">
        <f>$E$8</f>
        <v>$millions</v>
      </c>
      <c r="F25" s="158">
        <f>$F$8</f>
        <v>45078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2.1728672414861125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192</v>
      </c>
      <c r="D26" s="110" t="s">
        <v>30</v>
      </c>
      <c r="E26" s="30" t="str">
        <f>$E$8</f>
        <v>$millions</v>
      </c>
      <c r="F26" s="158">
        <f>$F$8</f>
        <v>45078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4.3457344829722251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45078</v>
      </c>
      <c r="J28" s="115">
        <f t="shared" ref="J28:S28" si="3">J13</f>
        <v>0</v>
      </c>
      <c r="K28" s="115">
        <f>K13</f>
        <v>0</v>
      </c>
      <c r="L28" s="115">
        <f t="shared" si="3"/>
        <v>0</v>
      </c>
      <c r="M28" s="115">
        <f t="shared" si="3"/>
        <v>60.036059361940247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45078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45078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45078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>IF(YEAR(O$4)=InterveningPeriod,-SUM($J15:$S15)+SUM($J18:$S18),0)</f>
        <v>-1.4264806252589466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45078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>IF(YEAR(O$4)=InterveningPeriod,SUM($J28:$S28,$J31:$S31,$J33:$S33),0)</f>
        <v>58.6095787366813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45078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>IF(YEAR(O$4)=InterveningPeriod,-(SUM($J21:$S21)-SUM($J23:$S23)+SUM($J26:$S26)),0)</f>
        <v>0.18021641893344853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ESV levies</v>
      </c>
      <c r="D39" s="108" t="s">
        <v>91</v>
      </c>
      <c r="E39" s="110" t="str">
        <f>'Input|Reported opex'!E85</f>
        <v>$millions</v>
      </c>
      <c r="F39" s="158">
        <f>'Input|Reported opex'!F85</f>
        <v>44531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-5.1686655065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ESV levies</v>
      </c>
      <c r="D40" s="110" t="s">
        <v>30</v>
      </c>
      <c r="E40" s="30" t="str">
        <f>$E$8</f>
        <v>$millions</v>
      </c>
      <c r="F40" s="158">
        <f>$F$8</f>
        <v>45078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-5.9172743437994342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Expensed corporate overhead</v>
      </c>
      <c r="D42" s="108" t="s">
        <v>91</v>
      </c>
      <c r="E42" s="30" t="str">
        <f>'Input|Reported opex'!$E$86</f>
        <v>$millions</v>
      </c>
      <c r="F42" s="158">
        <f>'Input|Reported opex'!$F$86</f>
        <v>44531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0.75977099999999997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Expensed corporate overhead</v>
      </c>
      <c r="D43" s="110" t="s">
        <v>30</v>
      </c>
      <c r="E43" s="30" t="str">
        <f>$E$8</f>
        <v>$millions</v>
      </c>
      <c r="F43" s="158">
        <f>$F$8</f>
        <v>45078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0.86981319255600009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>
        <f>'Input|Reported opex'!$C$87</f>
        <v>0</v>
      </c>
      <c r="D45" s="108" t="s">
        <v>91</v>
      </c>
      <c r="E45" s="30" t="str">
        <f>'Input|Reported opex'!$E$87</f>
        <v>$millions</v>
      </c>
      <c r="F45" s="158">
        <f>'Input|Reported opex'!$F$87</f>
        <v>45078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>
        <f>C45</f>
        <v>0</v>
      </c>
      <c r="D46" s="110" t="s">
        <v>30</v>
      </c>
      <c r="E46" s="30" t="str">
        <f>$E$8</f>
        <v>$millions</v>
      </c>
      <c r="F46" s="158">
        <f>$F$8</f>
        <v>45078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>
        <f>'Input|Reported opex'!$C$88</f>
        <v>0</v>
      </c>
      <c r="D48" s="108" t="s">
        <v>91</v>
      </c>
      <c r="E48" s="30" t="str">
        <f>'Input|Reported opex'!$E$88</f>
        <v>$millions</v>
      </c>
      <c r="F48" s="158">
        <f>'Input|Reported opex'!$F$88</f>
        <v>45078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>
        <f>C48</f>
        <v>0</v>
      </c>
      <c r="D49" s="110" t="s">
        <v>30</v>
      </c>
      <c r="E49" s="30" t="str">
        <f>$E$8</f>
        <v>$millions</v>
      </c>
      <c r="F49" s="158">
        <f>$F$8</f>
        <v>45078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45078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45078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45078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163</v>
      </c>
      <c r="D56" s="112" t="s">
        <v>97</v>
      </c>
      <c r="E56" s="112" t="str">
        <f>$E$8</f>
        <v>$millions</v>
      </c>
      <c r="F56" s="177">
        <f>$F$8</f>
        <v>45078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>SUM(O35,O37,O40,O43,O46,O49,O52,O54)</f>
        <v>53.742334004371315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45444</v>
      </c>
      <c r="Q60" s="160">
        <f t="shared" ref="Q60:T60" si="8">Q$4</f>
        <v>45809</v>
      </c>
      <c r="R60" s="160">
        <f t="shared" si="8"/>
        <v>46174</v>
      </c>
      <c r="S60" s="160">
        <f t="shared" si="8"/>
        <v>46539</v>
      </c>
      <c r="T60" s="160">
        <f t="shared" si="8"/>
        <v>46905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1.8642008820583644E-2</v>
      </c>
      <c r="Q63" s="117">
        <f ca="1">IF(Q60=Q4,AVERAGE(OFFSET('Input|Rate of change'!R97,0,0,COUNTA('Input|Rate of change'!$J$84:$N$84),1)),0)</f>
        <v>1.3810542665039893E-2</v>
      </c>
      <c r="R63" s="117">
        <f ca="1">IF(R60=R4,AVERAGE(OFFSET('Input|Rate of change'!S97,0,0,COUNTA('Input|Rate of change'!$J$84:$N$84),1)),0)</f>
        <v>1.0682263032162888E-2</v>
      </c>
      <c r="S63" s="117">
        <f ca="1">IF(S60=S4,AVERAGE(OFFSET('Input|Rate of change'!T97,0,0,COUNTA('Input|Rate of change'!$J$84:$N$84),1)),0)</f>
        <v>6.6335360847015867E-3</v>
      </c>
      <c r="T63" s="117">
        <f ca="1">IF(T60=T4,AVERAGE(OFFSET('Input|Rate of change'!U97,0,0,COUNTA('Input|Rate of change'!$J$84:$N$84),1)),0)</f>
        <v>4.2568730507951177E-3</v>
      </c>
      <c r="U63" s="220"/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220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3.8446777027576224E-3</v>
      </c>
      <c r="Q65" s="117">
        <f>SUMPRODUCT('Input|Rate of change'!R38:R45,'Input|Rate of change'!R51:R58)</f>
        <v>5.6250602126223861E-3</v>
      </c>
      <c r="R65" s="117">
        <f>SUMPRODUCT('Input|Rate of change'!S38:S45,'Input|Rate of change'!S51:S58)</f>
        <v>6.2229987828132972E-3</v>
      </c>
      <c r="S65" s="117">
        <f>SUMPRODUCT('Input|Rate of change'!T38:T45,'Input|Rate of change'!T51:T58)</f>
        <v>3.5694136495784262E-3</v>
      </c>
      <c r="T65" s="117">
        <f>SUMPRODUCT('Input|Rate of change'!U38:U45,'Input|Rate of change'!U51:U58)</f>
        <v>2.9779446242815017E-3</v>
      </c>
      <c r="U65" s="220"/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220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0</v>
      </c>
      <c r="Q67" s="117">
        <f>'Input|Rate of change'!R107</f>
        <v>0</v>
      </c>
      <c r="R67" s="117">
        <f>'Input|Rate of change'!S107</f>
        <v>0</v>
      </c>
      <c r="S67" s="117">
        <f>'Input|Rate of change'!T107</f>
        <v>0</v>
      </c>
      <c r="T67" s="117">
        <f>'Input|Rate of change'!U107</f>
        <v>0</v>
      </c>
      <c r="U67" s="220"/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R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ca="1">(1+P63)*(1+P65)*(1-P67)-1</f>
        <v>2.2558359038988396E-2</v>
      </c>
      <c r="Q69" s="143">
        <f t="shared" ca="1" si="9"/>
        <v>1.9513288011722141E-2</v>
      </c>
      <c r="R69" s="143">
        <f t="shared" ca="1" si="9"/>
        <v>1.6971737524822839E-2</v>
      </c>
      <c r="S69" s="143">
        <f ca="1">(1+S63)*(1+S65)*(1-S67)-1</f>
        <v>1.0226627568525881E-2</v>
      </c>
      <c r="T69" s="143">
        <f t="shared" ref="T69" ca="1" si="10">(1+T63)*(1+T65)*(1-T67)-1</f>
        <v>7.2474944072944414E-3</v>
      </c>
    </row>
    <row r="70" spans="1:48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 cm="1">
        <f t="array" aca="1" ref="P70" ca="1">IF(P$60=P$4,PRODUCT(1+$J69:P69)-1,"")</f>
        <v>2.2558359038988396E-2</v>
      </c>
      <c r="Q70" s="117" cm="1">
        <f t="array" aca="1" ref="Q70" ca="1">IF(Q$60=Q$4,PRODUCT(1+$J69:Q69)-1,"")</f>
        <v>4.2511834807710258E-2</v>
      </c>
      <c r="R70" s="117">
        <f t="array" aca="1" ref="R70" ca="1">IF(R$60=R$4,PRODUCT(1+$J69:R69)-1,"")</f>
        <v>6.0205072034588136E-2</v>
      </c>
      <c r="S70" s="117" cm="1">
        <f t="array" aca="1" ref="S70" ca="1">IF(S$60=S$4,PRODUCT(1+$J69:S69)-1,"")</f>
        <v>7.1047394452548041E-2</v>
      </c>
      <c r="T70" s="117">
        <f t="array" aca="1" ref="T70" ca="1">IF(T$60=T$4,PRODUCT(1+$J69:T69)-1,"")</f>
        <v>7.8809804453790155E-2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45444</v>
      </c>
      <c r="Q74" s="160">
        <f t="shared" ref="Q74:T74" si="11">Q$4</f>
        <v>45809</v>
      </c>
      <c r="R74" s="160">
        <f t="shared" si="11"/>
        <v>46174</v>
      </c>
      <c r="S74" s="160">
        <f t="shared" si="11"/>
        <v>46539</v>
      </c>
      <c r="T74" s="160">
        <f t="shared" si="11"/>
        <v>46905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Expensing of IT projects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45078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4.4098915185480543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5.2271304768371305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1.9845079795140759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0.55924828923400938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0.25827208222246689</v>
      </c>
    </row>
    <row r="77" spans="1:48" outlineLevel="1">
      <c r="C77" s="121" t="str">
        <f>'Input|Step changes'!C13</f>
        <v>EPA</v>
      </c>
      <c r="D77" s="110" t="s">
        <v>30</v>
      </c>
      <c r="E77" s="30" t="str">
        <f t="shared" si="12"/>
        <v>$millions</v>
      </c>
      <c r="F77" s="158">
        <f t="shared" si="13"/>
        <v>45078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-1.3773664815338322E-3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0.3660415077912576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0.35351283552811802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0.44672737787330796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0.32032146126444494</v>
      </c>
    </row>
    <row r="78" spans="1:48" outlineLevel="1">
      <c r="C78" s="121">
        <f>'Input|Step changes'!C14</f>
        <v>0</v>
      </c>
      <c r="D78" s="110" t="s">
        <v>30</v>
      </c>
      <c r="E78" s="30" t="str">
        <f t="shared" si="12"/>
        <v>$millions</v>
      </c>
      <c r="F78" s="158">
        <f t="shared" si="13"/>
        <v>45078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>
        <f>'Input|Step changes'!C15</f>
        <v>0</v>
      </c>
      <c r="D79" s="110" t="s">
        <v>30</v>
      </c>
      <c r="E79" s="30" t="str">
        <f t="shared" si="12"/>
        <v>$millions</v>
      </c>
      <c r="F79" s="158">
        <f t="shared" si="13"/>
        <v>45078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2"/>
        <v>$millions</v>
      </c>
      <c r="F80" s="158">
        <f t="shared" si="13"/>
        <v>45078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45078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45078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45078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45078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45078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4.4085141520665205</v>
      </c>
      <c r="Q86" s="174">
        <f t="shared" si="14"/>
        <v>5.5931719846283885</v>
      </c>
      <c r="R86" s="174">
        <f t="shared" si="14"/>
        <v>2.3380208150421939</v>
      </c>
      <c r="S86" s="174">
        <f t="shared" si="14"/>
        <v>1.0059756671073172</v>
      </c>
      <c r="T86" s="174">
        <f t="shared" ref="T86" si="15">SUM(T75:T85)</f>
        <v>0.57859354348691183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45444</v>
      </c>
      <c r="Q90" s="160">
        <f t="shared" ref="Q90:T90" si="16">Q$4</f>
        <v>45809</v>
      </c>
      <c r="R90" s="160">
        <f t="shared" si="16"/>
        <v>46174</v>
      </c>
      <c r="S90" s="160">
        <f t="shared" si="16"/>
        <v>46539</v>
      </c>
      <c r="T90" s="160">
        <f t="shared" si="16"/>
        <v>46905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Priority Service program</v>
      </c>
      <c r="D92" s="110" t="s">
        <v>30</v>
      </c>
      <c r="E92" s="30" t="str">
        <f t="shared" si="12"/>
        <v>$millions</v>
      </c>
      <c r="F92" s="158">
        <f t="shared" ref="F92:F94" si="17">$F$8</f>
        <v>45078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1.6726053960000005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0.92846199600000023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0.64225299600000019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0.64225299600000019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0.64225299600000019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45078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45078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8">$F$8</f>
        <v>45078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1.6726053960000005</v>
      </c>
      <c r="Q96" s="128">
        <f t="shared" si="19"/>
        <v>0.92846199600000023</v>
      </c>
      <c r="R96" s="128">
        <f t="shared" si="19"/>
        <v>0.64225299600000019</v>
      </c>
      <c r="S96" s="128">
        <f t="shared" si="19"/>
        <v>0.64225299600000019</v>
      </c>
      <c r="T96" s="128">
        <f t="shared" ref="T96" si="20">SUM(T91:T95)</f>
        <v>0.64225299600000019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45444</v>
      </c>
      <c r="Q100" s="160">
        <f t="shared" ref="Q100:T100" si="21">Q$4</f>
        <v>45809</v>
      </c>
      <c r="R100" s="160">
        <f t="shared" si="21"/>
        <v>46174</v>
      </c>
      <c r="S100" s="160">
        <f t="shared" si="21"/>
        <v>46539</v>
      </c>
      <c r="T100" s="160">
        <f t="shared" si="21"/>
        <v>46905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2">$F$8</f>
        <v>45078</v>
      </c>
      <c r="J102" s="149"/>
      <c r="K102" s="149"/>
      <c r="L102" s="149"/>
      <c r="M102" s="149"/>
      <c r="N102" s="149"/>
      <c r="O102" s="149"/>
      <c r="P102" s="149">
        <f ca="1">(1+P70)*SUM($J56:$S56)+P86</f>
        <v>59.363187022501684</v>
      </c>
      <c r="Q102" s="149">
        <f t="shared" ref="Q102:T102" ca="1" si="23">(1+Q70)*SUM($J56:$S56)+Q86</f>
        <v>61.62019121437433</v>
      </c>
      <c r="R102" s="149">
        <f ca="1">(1+R70)*SUM($J56:$S56)+R86</f>
        <v>59.31591590945358</v>
      </c>
      <c r="S102" s="149">
        <f t="shared" ca="1" si="23"/>
        <v>58.566562474287785</v>
      </c>
      <c r="T102" s="149">
        <f t="shared" ca="1" si="23"/>
        <v>58.55635038163301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45078</v>
      </c>
      <c r="J103" s="149"/>
      <c r="K103" s="149"/>
      <c r="L103" s="149"/>
      <c r="M103" s="149"/>
      <c r="N103" s="149"/>
      <c r="O103" s="149"/>
      <c r="P103" s="149">
        <f ca="1">(1+P70)*SUM($J56:$S56)+P86+P96</f>
        <v>61.035792418501686</v>
      </c>
      <c r="Q103" s="149">
        <f t="shared" ref="Q103:T103" ca="1" si="24">(1+Q70)*SUM($J56:$S56)+Q86+Q96</f>
        <v>62.548653210374333</v>
      </c>
      <c r="R103" s="149">
        <f t="shared" ca="1" si="24"/>
        <v>59.958168905453583</v>
      </c>
      <c r="S103" s="149">
        <f t="shared" ca="1" si="24"/>
        <v>59.208815470287789</v>
      </c>
      <c r="T103" s="149">
        <f t="shared" ca="1" si="24"/>
        <v>59.198603377633013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45078</v>
      </c>
      <c r="J104" s="149"/>
      <c r="K104" s="149"/>
      <c r="L104" s="149"/>
      <c r="M104" s="149"/>
      <c r="N104" s="149"/>
      <c r="O104" s="149"/>
      <c r="P104" s="149">
        <f ca="1">P103+'Input|Step changes'!P38</f>
        <v>61.035792418501686</v>
      </c>
      <c r="Q104" s="149">
        <f ca="1">Q103+'Input|Step changes'!Q38</f>
        <v>62.548653210374333</v>
      </c>
      <c r="R104" s="149">
        <f ca="1">R103+'Input|Step changes'!R38</f>
        <v>59.958168905453583</v>
      </c>
      <c r="S104" s="149">
        <f ca="1">S103+'Input|Step changes'!S38</f>
        <v>59.208815470287789</v>
      </c>
      <c r="T104" s="149">
        <f ca="1">T103+'Input|Step changes'!T38</f>
        <v>59.198603377633013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</sheetData>
  <mergeCells count="1">
    <mergeCell ref="N3:S3"/>
  </mergeCells>
  <conditionalFormatting sqref="S1:T1">
    <cfRule type="cellIs" dxfId="114" priority="127" operator="equal">
      <formula>"Check"</formula>
    </cfRule>
    <cfRule type="cellIs" dxfId="113" priority="128" operator="equal">
      <formula>"Ok"</formula>
    </cfRule>
  </conditionalFormatting>
  <conditionalFormatting sqref="W1">
    <cfRule type="cellIs" dxfId="112" priority="129" operator="equal">
      <formula>"Check"</formula>
    </cfRule>
    <cfRule type="cellIs" dxfId="111" priority="130" operator="equal">
      <formula>"Ok"</formula>
    </cfRule>
  </conditionalFormatting>
  <conditionalFormatting sqref="R41:T41 R44:T44 R47:T47 R50:T50 J12:T19">
    <cfRule type="cellIs" dxfId="110" priority="126" operator="equal">
      <formula>0</formula>
    </cfRule>
  </conditionalFormatting>
  <conditionalFormatting sqref="J13:T13">
    <cfRule type="cellIs" dxfId="109" priority="125" operator="equal">
      <formula>0</formula>
    </cfRule>
  </conditionalFormatting>
  <conditionalFormatting sqref="J14:T14">
    <cfRule type="cellIs" dxfId="108" priority="124" operator="equal">
      <formula>0</formula>
    </cfRule>
  </conditionalFormatting>
  <conditionalFormatting sqref="J15:T16">
    <cfRule type="cellIs" dxfId="107" priority="123" operator="equal">
      <formula>0</formula>
    </cfRule>
  </conditionalFormatting>
  <conditionalFormatting sqref="J17:T17">
    <cfRule type="cellIs" dxfId="106" priority="122" operator="equal">
      <formula>0</formula>
    </cfRule>
  </conditionalFormatting>
  <conditionalFormatting sqref="J18:T19">
    <cfRule type="cellIs" dxfId="105" priority="121" operator="equal">
      <formula>0</formula>
    </cfRule>
  </conditionalFormatting>
  <conditionalFormatting sqref="J63:T67">
    <cfRule type="cellIs" dxfId="104" priority="120" operator="equal">
      <formula>0</formula>
    </cfRule>
  </conditionalFormatting>
  <conditionalFormatting sqref="J92:T94 J76:T84">
    <cfRule type="cellIs" dxfId="103" priority="118" operator="equal">
      <formula>0</formula>
    </cfRule>
  </conditionalFormatting>
  <conditionalFormatting sqref="J38:T38 J53:T56 J35:T36">
    <cfRule type="cellIs" dxfId="102" priority="115" operator="equal">
      <formula>0</formula>
    </cfRule>
  </conditionalFormatting>
  <conditionalFormatting sqref="J103:T104">
    <cfRule type="cellIs" dxfId="101" priority="114" operator="equal">
      <formula>0</formula>
    </cfRule>
  </conditionalFormatting>
  <conditionalFormatting sqref="J103:T104">
    <cfRule type="cellIs" dxfId="100" priority="113" operator="equal">
      <formula>0</formula>
    </cfRule>
  </conditionalFormatting>
  <conditionalFormatting sqref="J48:T48">
    <cfRule type="cellIs" dxfId="99" priority="76" operator="equal">
      <formula>0</formula>
    </cfRule>
  </conditionalFormatting>
  <conditionalFormatting sqref="J41:Q41 J44:Q44 J47:Q47">
    <cfRule type="cellIs" dxfId="98" priority="94" operator="equal">
      <formula>0</formula>
    </cfRule>
  </conditionalFormatting>
  <conditionalFormatting sqref="J41:Q41 J44:Q44 J47:Q47">
    <cfRule type="cellIs" dxfId="97" priority="93" operator="equal">
      <formula>0</formula>
    </cfRule>
  </conditionalFormatting>
  <conditionalFormatting sqref="J39:T39">
    <cfRule type="cellIs" dxfId="96" priority="89" operator="equal">
      <formula>0</formula>
    </cfRule>
  </conditionalFormatting>
  <conditionalFormatting sqref="J39:T39">
    <cfRule type="cellIs" dxfId="95" priority="88" operator="equal">
      <formula>0</formula>
    </cfRule>
  </conditionalFormatting>
  <conditionalFormatting sqref="J50:Q50">
    <cfRule type="cellIs" dxfId="94" priority="79" operator="equal">
      <formula>0</formula>
    </cfRule>
  </conditionalFormatting>
  <conditionalFormatting sqref="J50:Q50">
    <cfRule type="cellIs" dxfId="93" priority="78" operator="equal">
      <formula>0</formula>
    </cfRule>
  </conditionalFormatting>
  <conditionalFormatting sqref="J42:N42 P42:T42">
    <cfRule type="cellIs" dxfId="92" priority="85" operator="equal">
      <formula>0</formula>
    </cfRule>
  </conditionalFormatting>
  <conditionalFormatting sqref="J42:N42 P42:T42">
    <cfRule type="cellIs" dxfId="91" priority="84" operator="equal">
      <formula>0</formula>
    </cfRule>
  </conditionalFormatting>
  <conditionalFormatting sqref="J48:T48">
    <cfRule type="cellIs" dxfId="90" priority="77" operator="equal">
      <formula>0</formula>
    </cfRule>
  </conditionalFormatting>
  <conditionalFormatting sqref="J45:T45">
    <cfRule type="cellIs" dxfId="89" priority="81" operator="equal">
      <formula>0</formula>
    </cfRule>
  </conditionalFormatting>
  <conditionalFormatting sqref="J45:T45">
    <cfRule type="cellIs" dxfId="88" priority="80" operator="equal">
      <formula>0</formula>
    </cfRule>
  </conditionalFormatting>
  <conditionalFormatting sqref="J51:T51">
    <cfRule type="cellIs" dxfId="87" priority="71" operator="equal">
      <formula>0</formula>
    </cfRule>
  </conditionalFormatting>
  <conditionalFormatting sqref="J51:T51">
    <cfRule type="cellIs" dxfId="86" priority="72" operator="equal">
      <formula>0</formula>
    </cfRule>
  </conditionalFormatting>
  <conditionalFormatting sqref="T40">
    <cfRule type="cellIs" dxfId="85" priority="70" operator="equal">
      <formula>0</formula>
    </cfRule>
  </conditionalFormatting>
  <conditionalFormatting sqref="T40">
    <cfRule type="cellIs" dxfId="84" priority="69" operator="equal">
      <formula>0</formula>
    </cfRule>
  </conditionalFormatting>
  <conditionalFormatting sqref="T43">
    <cfRule type="cellIs" dxfId="83" priority="68" operator="equal">
      <formula>0</formula>
    </cfRule>
  </conditionalFormatting>
  <conditionalFormatting sqref="T43">
    <cfRule type="cellIs" dxfId="82" priority="67" operator="equal">
      <formula>0</formula>
    </cfRule>
  </conditionalFormatting>
  <conditionalFormatting sqref="T46">
    <cfRule type="cellIs" dxfId="81" priority="66" operator="equal">
      <formula>0</formula>
    </cfRule>
  </conditionalFormatting>
  <conditionalFormatting sqref="T46">
    <cfRule type="cellIs" dxfId="80" priority="65" operator="equal">
      <formula>0</formula>
    </cfRule>
  </conditionalFormatting>
  <conditionalFormatting sqref="T49">
    <cfRule type="cellIs" dxfId="79" priority="64" operator="equal">
      <formula>0</formula>
    </cfRule>
  </conditionalFormatting>
  <conditionalFormatting sqref="T49">
    <cfRule type="cellIs" dxfId="78" priority="63" operator="equal">
      <formula>0</formula>
    </cfRule>
  </conditionalFormatting>
  <conditionalFormatting sqref="T52">
    <cfRule type="cellIs" dxfId="77" priority="62" operator="equal">
      <formula>0</formula>
    </cfRule>
  </conditionalFormatting>
  <conditionalFormatting sqref="T52">
    <cfRule type="cellIs" dxfId="76" priority="61" operator="equal">
      <formula>0</formula>
    </cfRule>
  </conditionalFormatting>
  <conditionalFormatting sqref="J102:T102">
    <cfRule type="cellIs" dxfId="75" priority="50" operator="equal">
      <formula>0</formula>
    </cfRule>
  </conditionalFormatting>
  <conditionalFormatting sqref="J102:T102">
    <cfRule type="cellIs" dxfId="74" priority="49" operator="equal">
      <formula>0</formula>
    </cfRule>
  </conditionalFormatting>
  <conditionalFormatting sqref="J10:T10">
    <cfRule type="expression" dxfId="73" priority="48">
      <formula>J$10=J$4</formula>
    </cfRule>
  </conditionalFormatting>
  <conditionalFormatting sqref="J27:T27">
    <cfRule type="expression" dxfId="72" priority="47">
      <formula>J$10=J$4</formula>
    </cfRule>
  </conditionalFormatting>
  <conditionalFormatting sqref="J56:T56">
    <cfRule type="expression" dxfId="71" priority="46">
      <formula>J$10=J$4</formula>
    </cfRule>
  </conditionalFormatting>
  <conditionalFormatting sqref="J32:T32 J28:T30">
    <cfRule type="cellIs" dxfId="70" priority="43" operator="equal">
      <formula>0</formula>
    </cfRule>
  </conditionalFormatting>
  <conditionalFormatting sqref="J33:T34">
    <cfRule type="cellIs" dxfId="69" priority="42" operator="equal">
      <formula>0</formula>
    </cfRule>
  </conditionalFormatting>
  <conditionalFormatting sqref="J70:T70">
    <cfRule type="cellIs" dxfId="68" priority="39" operator="equal">
      <formula>0</formula>
    </cfRule>
  </conditionalFormatting>
  <conditionalFormatting sqref="J37:T37">
    <cfRule type="cellIs" dxfId="67" priority="38" operator="equal">
      <formula>0</formula>
    </cfRule>
  </conditionalFormatting>
  <conditionalFormatting sqref="J37:T37">
    <cfRule type="cellIs" dxfId="66" priority="37" operator="equal">
      <formula>0</formula>
    </cfRule>
  </conditionalFormatting>
  <conditionalFormatting sqref="T31">
    <cfRule type="cellIs" dxfId="65" priority="36" operator="equal">
      <formula>0</formula>
    </cfRule>
  </conditionalFormatting>
  <conditionalFormatting sqref="T31">
    <cfRule type="cellIs" dxfId="64" priority="35" operator="equal">
      <formula>0</formula>
    </cfRule>
  </conditionalFormatting>
  <conditionalFormatting sqref="J20:T20 J22:T22 T21 T23 J24:T24">
    <cfRule type="cellIs" dxfId="63" priority="34" operator="equal">
      <formula>0</formula>
    </cfRule>
  </conditionalFormatting>
  <conditionalFormatting sqref="T21">
    <cfRule type="cellIs" dxfId="62" priority="33" operator="equal">
      <formula>0</formula>
    </cfRule>
  </conditionalFormatting>
  <conditionalFormatting sqref="J22:T22">
    <cfRule type="cellIs" dxfId="61" priority="32" operator="equal">
      <formula>0</formula>
    </cfRule>
  </conditionalFormatting>
  <conditionalFormatting sqref="T23">
    <cfRule type="cellIs" dxfId="60" priority="31" operator="equal">
      <formula>0</formula>
    </cfRule>
  </conditionalFormatting>
  <conditionalFormatting sqref="J24:T24">
    <cfRule type="cellIs" dxfId="59" priority="30" operator="equal">
      <formula>0</formula>
    </cfRule>
  </conditionalFormatting>
  <conditionalFormatting sqref="J15:S16 K16:T16">
    <cfRule type="cellIs" dxfId="58" priority="28" operator="equal">
      <formula>0</formula>
    </cfRule>
  </conditionalFormatting>
  <conditionalFormatting sqref="J18:T18">
    <cfRule type="cellIs" dxfId="57" priority="27" operator="equal">
      <formula>0</formula>
    </cfRule>
  </conditionalFormatting>
  <conditionalFormatting sqref="J21:S21">
    <cfRule type="cellIs" dxfId="56" priority="26" operator="equal">
      <formula>0</formula>
    </cfRule>
  </conditionalFormatting>
  <conditionalFormatting sqref="J21:S21">
    <cfRule type="cellIs" dxfId="55" priority="25" operator="equal">
      <formula>0</formula>
    </cfRule>
  </conditionalFormatting>
  <conditionalFormatting sqref="J23:S23">
    <cfRule type="cellIs" dxfId="54" priority="24" operator="equal">
      <formula>0</formula>
    </cfRule>
  </conditionalFormatting>
  <conditionalFormatting sqref="J23:S23">
    <cfRule type="cellIs" dxfId="53" priority="23" operator="equal">
      <formula>0</formula>
    </cfRule>
  </conditionalFormatting>
  <conditionalFormatting sqref="J26:T26">
    <cfRule type="cellIs" dxfId="52" priority="22" operator="equal">
      <formula>0</formula>
    </cfRule>
  </conditionalFormatting>
  <conditionalFormatting sqref="J26:T26">
    <cfRule type="cellIs" dxfId="51" priority="21" operator="equal">
      <formula>0</formula>
    </cfRule>
  </conditionalFormatting>
  <conditionalFormatting sqref="J31:S31">
    <cfRule type="cellIs" dxfId="50" priority="20" operator="equal">
      <formula>0</formula>
    </cfRule>
  </conditionalFormatting>
  <conditionalFormatting sqref="J31:S31">
    <cfRule type="cellIs" dxfId="49" priority="19" operator="equal">
      <formula>0</formula>
    </cfRule>
  </conditionalFormatting>
  <conditionalFormatting sqref="J40:S40">
    <cfRule type="cellIs" dxfId="48" priority="18" operator="equal">
      <formula>0</formula>
    </cfRule>
  </conditionalFormatting>
  <conditionalFormatting sqref="J40:S40">
    <cfRule type="cellIs" dxfId="47" priority="17" operator="equal">
      <formula>0</formula>
    </cfRule>
  </conditionalFormatting>
  <conditionalFormatting sqref="J43:N43 P43:S43">
    <cfRule type="cellIs" dxfId="46" priority="16" operator="equal">
      <formula>0</formula>
    </cfRule>
  </conditionalFormatting>
  <conditionalFormatting sqref="J43:N43 P43:S43">
    <cfRule type="cellIs" dxfId="45" priority="15" operator="equal">
      <formula>0</formula>
    </cfRule>
  </conditionalFormatting>
  <conditionalFormatting sqref="J46:S46">
    <cfRule type="cellIs" dxfId="44" priority="14" operator="equal">
      <formula>0</formula>
    </cfRule>
  </conditionalFormatting>
  <conditionalFormatting sqref="J46:S46">
    <cfRule type="cellIs" dxfId="43" priority="13" operator="equal">
      <formula>0</formula>
    </cfRule>
  </conditionalFormatting>
  <conditionalFormatting sqref="J49:S49">
    <cfRule type="cellIs" dxfId="42" priority="12" operator="equal">
      <formula>0</formula>
    </cfRule>
  </conditionalFormatting>
  <conditionalFormatting sqref="J49:S49">
    <cfRule type="cellIs" dxfId="41" priority="11" operator="equal">
      <formula>0</formula>
    </cfRule>
  </conditionalFormatting>
  <conditionalFormatting sqref="J52:S52">
    <cfRule type="cellIs" dxfId="40" priority="10" operator="equal">
      <formula>0</formula>
    </cfRule>
  </conditionalFormatting>
  <conditionalFormatting sqref="J52:S52">
    <cfRule type="cellIs" dxfId="39" priority="9" operator="equal">
      <formula>0</formula>
    </cfRule>
  </conditionalFormatting>
  <conditionalFormatting sqref="J17:T17">
    <cfRule type="cellIs" dxfId="38" priority="7" operator="equal">
      <formula>0</formula>
    </cfRule>
  </conditionalFormatting>
  <conditionalFormatting sqref="J69:T69">
    <cfRule type="expression" dxfId="37" priority="142">
      <formula>J$60=J$4</formula>
    </cfRule>
    <cfRule type="cellIs" dxfId="36" priority="143" operator="equal">
      <formula>0</formula>
    </cfRule>
  </conditionalFormatting>
  <conditionalFormatting sqref="J96:T96">
    <cfRule type="expression" dxfId="35" priority="144">
      <formula>J$90=J$4</formula>
    </cfRule>
    <cfRule type="cellIs" dxfId="34" priority="145" operator="equal">
      <formula>0</formula>
    </cfRule>
  </conditionalFormatting>
  <conditionalFormatting sqref="J86:T86">
    <cfRule type="expression" dxfId="33" priority="146">
      <formula>J$74=J$4</formula>
    </cfRule>
    <cfRule type="cellIs" dxfId="32" priority="147" operator="equal">
      <formula>0</formula>
    </cfRule>
  </conditionalFormatting>
  <conditionalFormatting sqref="J60:T60 J74:T74 J90:T90 P100:T100">
    <cfRule type="expression" dxfId="31" priority="148">
      <formula>J$60=J$4</formula>
    </cfRule>
  </conditionalFormatting>
  <conditionalFormatting sqref="J100:O100">
    <cfRule type="expression" dxfId="30" priority="151">
      <formula>J$100=J$4</formula>
    </cfRule>
  </conditionalFormatting>
  <conditionalFormatting sqref="J25:T25">
    <cfRule type="cellIs" dxfId="29" priority="6" operator="equal">
      <formula>0</formula>
    </cfRule>
  </conditionalFormatting>
  <conditionalFormatting sqref="J25:T25">
    <cfRule type="cellIs" dxfId="28" priority="5" operator="equal">
      <formula>0</formula>
    </cfRule>
  </conditionalFormatting>
  <conditionalFormatting sqref="O42">
    <cfRule type="cellIs" dxfId="27" priority="4" operator="equal">
      <formula>0</formula>
    </cfRule>
  </conditionalFormatting>
  <conditionalFormatting sqref="O42">
    <cfRule type="cellIs" dxfId="26" priority="3" operator="equal">
      <formula>0</formula>
    </cfRule>
  </conditionalFormatting>
  <conditionalFormatting sqref="O43">
    <cfRule type="cellIs" dxfId="25" priority="2" operator="equal">
      <formula>0</formula>
    </cfRule>
  </conditionalFormatting>
  <conditionalFormatting sqref="O43">
    <cfRule type="cellIs" dxfId="24" priority="1" operator="equal">
      <formula>0</formula>
    </cfRule>
  </conditionalFormatting>
  <dataValidations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4"/>
  <sheetViews>
    <sheetView topLeftCell="A3" workbookViewId="0">
      <selection activeCell="A2" sqref="A2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51"/>
      <c r="O3" s="251"/>
      <c r="P3" s="251"/>
      <c r="Q3" s="251"/>
      <c r="R3" s="251"/>
      <c r="S3" s="251"/>
      <c r="T3" s="251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45078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45444</v>
      </c>
      <c r="Q11" s="160">
        <f>IF(YEAR(Q$4)&gt;=FPFirstYear,IF(YEAR(Q$4)&lt;=FPLastYear,Q$4,""),"")</f>
        <v>45809</v>
      </c>
      <c r="R11" s="160">
        <f>IF(YEAR(R$4)&gt;=FPFirstYear,IF(YEAR(R$4)&lt;=FPLastYear,R$4,""),"")</f>
        <v>46174</v>
      </c>
      <c r="S11" s="160">
        <f>IF(YEAR(S$4)&gt;=FPFirstYear,IF(YEAR(S$4)&lt;=FPLastYear,S$4,""),"")</f>
        <v>46539</v>
      </c>
      <c r="T11" s="160">
        <f>IF(YEAR(T$4)&gt;=FPFirstYear,IF(YEAR(T$4)&lt;=FPLastYear,T$4,""),"")</f>
        <v>46905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45078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59.363187022501684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61.620191214374337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59.31591590945358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58.566562474287785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58.556350381633017</v>
      </c>
      <c r="U13" s="111"/>
      <c r="V13" s="150"/>
    </row>
    <row r="14" spans="1:27">
      <c r="C14" s="111" t="str">
        <f>'Input|Step changes'!C28</f>
        <v>Priority Service program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45078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1.6726053960000005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0.92846199600000023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0.64225299600000019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0.64225299600000019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0.64225299600000019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45078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45078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P17" s="229"/>
      <c r="Q17" s="229"/>
      <c r="R17" s="229"/>
      <c r="S17" s="229"/>
      <c r="T17" s="230"/>
      <c r="U17" s="111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24" spans="1:24" hidden="1">
      <c r="M24" s="145"/>
      <c r="N24" s="145"/>
      <c r="O24" s="145"/>
      <c r="P24" s="145"/>
      <c r="Q24" s="145"/>
      <c r="R24" s="145"/>
      <c r="S24" s="145"/>
      <c r="T24" s="145"/>
    </row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4"/>
  <sheetViews>
    <sheetView workbookViewId="0">
      <selection activeCell="H25" sqref="H2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DATE(G51,MONTH('Input|General'!$G$9),1)</f>
        <v>44531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DATE(G52,MONTH('Input|General'!$G$9),1)</f>
        <v>44896</v>
      </c>
      <c r="I52" s="181" t="str">
        <f>G52-1&amp;"–"&amp;RIGHT(G52,2)</f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117</v>
      </c>
    </row>
    <row r="65" spans="1:47">
      <c r="C65" s="15" t="s">
        <v>179</v>
      </c>
      <c r="D65" s="16" t="s">
        <v>97</v>
      </c>
      <c r="E65" s="21"/>
      <c r="F65" s="14"/>
      <c r="G65" s="181">
        <v>2017</v>
      </c>
      <c r="H65" s="183">
        <f>DATE(G65,12,1)</f>
        <v>43070</v>
      </c>
    </row>
    <row r="66" spans="1:47">
      <c r="C66" s="15" t="s">
        <v>138</v>
      </c>
      <c r="D66" s="16" t="s">
        <v>97</v>
      </c>
      <c r="E66" s="16"/>
      <c r="F66" s="16"/>
      <c r="G66" s="181">
        <v>2018</v>
      </c>
      <c r="H66" s="183">
        <f t="shared" ref="H66:H70" si="1">DATE(G66,12,1)</f>
        <v>43435</v>
      </c>
    </row>
    <row r="67" spans="1:47">
      <c r="C67" s="15" t="s">
        <v>139</v>
      </c>
      <c r="D67" s="16" t="s">
        <v>97</v>
      </c>
      <c r="E67" s="16"/>
      <c r="F67" s="16"/>
      <c r="G67" s="181">
        <v>2019</v>
      </c>
      <c r="H67" s="183">
        <f t="shared" si="1"/>
        <v>43800</v>
      </c>
    </row>
    <row r="68" spans="1:47">
      <c r="C68" s="15" t="s">
        <v>140</v>
      </c>
      <c r="D68" s="16" t="s">
        <v>97</v>
      </c>
      <c r="E68" s="16"/>
      <c r="F68" s="16"/>
      <c r="G68" s="181">
        <v>2020</v>
      </c>
      <c r="H68" s="183">
        <f t="shared" si="1"/>
        <v>44166</v>
      </c>
    </row>
    <row r="69" spans="1:47">
      <c r="C69" s="15" t="s">
        <v>141</v>
      </c>
      <c r="D69" s="16" t="s">
        <v>97</v>
      </c>
      <c r="E69" s="16"/>
      <c r="F69" s="16"/>
      <c r="G69" s="181">
        <v>2021</v>
      </c>
      <c r="H69" s="183">
        <f t="shared" si="1"/>
        <v>44531</v>
      </c>
    </row>
    <row r="70" spans="1:47">
      <c r="C70" s="15" t="s">
        <v>142</v>
      </c>
      <c r="D70" s="16" t="s">
        <v>97</v>
      </c>
      <c r="E70" s="16"/>
      <c r="F70" s="16"/>
      <c r="G70" s="181">
        <v>2022</v>
      </c>
      <c r="H70" s="183">
        <f t="shared" si="1"/>
        <v>44896</v>
      </c>
    </row>
    <row r="71" spans="1:47">
      <c r="C71" s="15" t="s">
        <v>180</v>
      </c>
      <c r="D71" s="16" t="s">
        <v>97</v>
      </c>
      <c r="E71" s="16"/>
      <c r="F71" s="16"/>
      <c r="G71" s="181" t="s">
        <v>197</v>
      </c>
      <c r="H71" s="183">
        <f>DATE(YEAR(H70)+1,6,1)</f>
        <v>45078</v>
      </c>
    </row>
    <row r="72" spans="1:47">
      <c r="C72" s="15" t="s">
        <v>143</v>
      </c>
      <c r="D72" s="16" t="s">
        <v>97</v>
      </c>
      <c r="E72" s="16"/>
      <c r="F72" s="16"/>
      <c r="G72" s="182" t="str">
        <f>I54</f>
        <v>2023–24</v>
      </c>
      <c r="H72" s="183">
        <f t="shared" ref="H72:H76" si="2">DATE(YEAR(H71)+1,6,1)</f>
        <v>45444</v>
      </c>
      <c r="T72" s="17"/>
    </row>
    <row r="73" spans="1:47">
      <c r="C73" s="15" t="s">
        <v>144</v>
      </c>
      <c r="D73" s="16" t="s">
        <v>97</v>
      </c>
      <c r="E73" s="16"/>
      <c r="F73" s="16"/>
      <c r="G73" s="182" t="str">
        <f t="shared" ref="G73:G76" si="3">I55</f>
        <v>2024–25</v>
      </c>
      <c r="H73" s="183">
        <f t="shared" si="2"/>
        <v>45809</v>
      </c>
      <c r="T73" s="17"/>
    </row>
    <row r="74" spans="1:47">
      <c r="C74" s="15" t="s">
        <v>145</v>
      </c>
      <c r="D74" s="16" t="s">
        <v>97</v>
      </c>
      <c r="E74" s="16"/>
      <c r="F74" s="16"/>
      <c r="G74" s="182" t="str">
        <f t="shared" si="3"/>
        <v>2025–26</v>
      </c>
      <c r="H74" s="183">
        <f t="shared" si="2"/>
        <v>46174</v>
      </c>
      <c r="T74" s="17"/>
    </row>
    <row r="75" spans="1:47">
      <c r="C75" s="15" t="s">
        <v>146</v>
      </c>
      <c r="D75" s="16" t="s">
        <v>97</v>
      </c>
      <c r="E75" s="16"/>
      <c r="F75" s="16"/>
      <c r="G75" s="182" t="str">
        <f t="shared" si="3"/>
        <v>2026–27</v>
      </c>
      <c r="H75" s="183">
        <f t="shared" si="2"/>
        <v>46539</v>
      </c>
      <c r="T75" s="17"/>
    </row>
    <row r="76" spans="1:47">
      <c r="C76" s="15" t="s">
        <v>147</v>
      </c>
      <c r="D76" s="16" t="s">
        <v>97</v>
      </c>
      <c r="E76" s="16"/>
      <c r="F76" s="16"/>
      <c r="G76" s="182" t="str">
        <f t="shared" si="3"/>
        <v>2027–28</v>
      </c>
      <c r="H76" s="183">
        <f t="shared" si="2"/>
        <v>46905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1"/>
    </row>
    <row r="81" spans="1:47">
      <c r="C81" s="15" t="s">
        <v>173</v>
      </c>
      <c r="D81" s="16" t="s">
        <v>68</v>
      </c>
      <c r="E81" s="16"/>
      <c r="F81" s="16"/>
      <c r="G81" s="181" t="s">
        <v>106</v>
      </c>
      <c r="H81" s="210"/>
    </row>
    <row r="82" spans="1:47">
      <c r="C82" s="15" t="s">
        <v>174</v>
      </c>
      <c r="D82" s="16" t="s">
        <v>68</v>
      </c>
      <c r="E82" s="16"/>
      <c r="F82" s="16"/>
      <c r="G82" s="182" t="s">
        <v>175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2"/>
  <sheetViews>
    <sheetView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2020-09-28T01:38:08Z</dcterms:created>
  <dcterms:modified xsi:type="dcterms:W3CDTF">2022-09-02T03:15:45Z</dcterms:modified>
</cp:coreProperties>
</file>