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Price Review\2023-27 GAAR\16.0 Revised Proposal preparation\Models\Supporting Models\"/>
    </mc:Choice>
  </mc:AlternateContent>
  <xr:revisionPtr revIDLastSave="0" documentId="13_ncr:1_{51DF76F1-9224-482D-B982-8109E0D50639}" xr6:coauthVersionLast="47" xr6:coauthVersionMax="47" xr10:uidLastSave="{00000000-0000-0000-0000-000000000000}"/>
  <bookViews>
    <workbookView xWindow="-108" yWindow="-108" windowWidth="23256" windowHeight="12576" tabRatio="778" xr2:uid="{00000000-000D-0000-FFFF-FFFF00000000}"/>
  </bookViews>
  <sheets>
    <sheet name="CPI" sheetId="8" r:id="rId1"/>
    <sheet name="HY23 to FY28 Proposal" sheetId="6" r:id="rId2"/>
    <sheet name="New Reference Service Fees" sheetId="5" r:id="rId3"/>
    <sheet name="Proposed ARS Tariffs" sheetId="10" r:id="rId4"/>
    <sheet name="Existing ARS Tariffs" sheetId="9" r:id="rId5"/>
    <sheet name="Customer growth" sheetId="7" r:id="rId6"/>
    <sheet name="2018-2021 Historical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RCP_y4">'[1]AER lookups'!$G$42</definedName>
    <definedName name="CRCP_y5">'[2]1.0 Business &amp; other details'!$G$38</definedName>
    <definedName name="dms_CF_TradingName">'[3]AER CF'!$B$7:$B$27</definedName>
    <definedName name="dms_DollarReal">'[2]1.0 Business &amp; other details'!$C$55</definedName>
    <definedName name="dms_FRCPlength_Num">'[3]AER ETL'!$C$70</definedName>
    <definedName name="dms_TradingName">'[3]Business &amp; other details'!$AL$16</definedName>
    <definedName name="FRCP">'[2]1.0 Business &amp; other details'!$C$35:$G$35</definedName>
    <definedName name="FRCP_y1">'[1]Business &amp; other details'!$AL$42</definedName>
    <definedName name="FRCP_y2">'[1]AER lookups'!$I$40</definedName>
    <definedName name="FRCP_y3">'[1]AER lookups'!$I$41</definedName>
    <definedName name="FRCP_y4">'[1]AER lookups'!$I$42</definedName>
    <definedName name="FRCP_y5">'[1]AER lookups'!$I$43</definedName>
    <definedName name="Thousands">[4]Spare!$C$5</definedName>
    <definedName name="TM1REBUILDOPTION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H5" i="8"/>
  <c r="H4" i="8" s="1"/>
  <c r="I4" i="8" s="1"/>
  <c r="D10" i="8" l="1"/>
  <c r="X9" i="4" l="1"/>
  <c r="X8" i="4"/>
  <c r="X7" i="4"/>
  <c r="X6" i="4"/>
  <c r="M9" i="4"/>
  <c r="M8" i="4"/>
  <c r="M7" i="4"/>
  <c r="M6" i="4"/>
  <c r="H6" i="8"/>
  <c r="G6" i="8" s="1"/>
  <c r="F6" i="8" s="1"/>
  <c r="E6" i="8" s="1"/>
  <c r="D6" i="8" s="1"/>
  <c r="E33" i="6" l="1"/>
  <c r="D33" i="6"/>
  <c r="H8" i="9" l="1"/>
  <c r="G8" i="9"/>
  <c r="H7" i="9"/>
  <c r="G7" i="9"/>
  <c r="H6" i="9"/>
  <c r="C6" i="10" s="1"/>
  <c r="D6" i="10" s="1"/>
  <c r="G6" i="9"/>
  <c r="H5" i="9"/>
  <c r="C5" i="10" s="1"/>
  <c r="D5" i="10" s="1"/>
  <c r="D17" i="6" s="1"/>
  <c r="G5" i="9"/>
  <c r="D18" i="6" l="1"/>
  <c r="F6" i="10"/>
  <c r="F18" i="6" s="1"/>
  <c r="E6" i="10"/>
  <c r="E18" i="6" s="1"/>
  <c r="G5" i="10"/>
  <c r="G17" i="6" s="1"/>
  <c r="I5" i="10"/>
  <c r="I17" i="6" s="1"/>
  <c r="J5" i="10"/>
  <c r="J17" i="6" s="1"/>
  <c r="H5" i="10"/>
  <c r="H17" i="6" s="1"/>
  <c r="F5" i="10"/>
  <c r="F17" i="6" s="1"/>
  <c r="G6" i="10"/>
  <c r="G18" i="6" s="1"/>
  <c r="J6" i="10"/>
  <c r="J18" i="6" s="1"/>
  <c r="H6" i="10"/>
  <c r="H18" i="6" s="1"/>
  <c r="I6" i="10"/>
  <c r="I18" i="6" s="1"/>
  <c r="C8" i="10"/>
  <c r="D8" i="10" s="1"/>
  <c r="C7" i="10"/>
  <c r="D7" i="10" s="1"/>
  <c r="E5" i="10"/>
  <c r="E17" i="6" s="1"/>
  <c r="J47" i="6"/>
  <c r="I47" i="6"/>
  <c r="H47" i="6"/>
  <c r="G47" i="6"/>
  <c r="F47" i="6"/>
  <c r="D19" i="6" l="1"/>
  <c r="F7" i="10"/>
  <c r="F19" i="6" s="1"/>
  <c r="E8" i="10"/>
  <c r="E20" i="6" s="1"/>
  <c r="D20" i="6"/>
  <c r="E7" i="10"/>
  <c r="E19" i="6" s="1"/>
  <c r="J7" i="10"/>
  <c r="J19" i="6" s="1"/>
  <c r="H7" i="10"/>
  <c r="H19" i="6" s="1"/>
  <c r="G7" i="10"/>
  <c r="G19" i="6" s="1"/>
  <c r="I7" i="10"/>
  <c r="I19" i="6" s="1"/>
  <c r="K12" i="5"/>
  <c r="D36" i="6" l="1"/>
  <c r="D35" i="6"/>
  <c r="D34" i="6"/>
  <c r="H5" i="7" l="1"/>
  <c r="H7" i="7" s="1"/>
  <c r="J5" i="7"/>
  <c r="M5" i="7"/>
  <c r="L5" i="7"/>
  <c r="E36" i="6"/>
  <c r="E35" i="6"/>
  <c r="E34" i="6"/>
  <c r="J33" i="6"/>
  <c r="I33" i="6"/>
  <c r="H33" i="6"/>
  <c r="G33" i="6"/>
  <c r="F33" i="6"/>
  <c r="K5" i="7" l="1"/>
  <c r="I5" i="7"/>
  <c r="I7" i="7" s="1"/>
  <c r="J7" i="7" l="1"/>
  <c r="D5" i="5"/>
  <c r="I5" i="5" s="1"/>
  <c r="K5" i="5" s="1"/>
  <c r="E5" i="5"/>
  <c r="F5" i="5"/>
  <c r="G5" i="5"/>
  <c r="K7" i="7" l="1"/>
  <c r="J9" i="6"/>
  <c r="F9" i="6"/>
  <c r="H9" i="6"/>
  <c r="G9" i="6"/>
  <c r="I9" i="6"/>
  <c r="J11" i="6" l="1"/>
  <c r="I11" i="6"/>
  <c r="H11" i="6"/>
  <c r="G11" i="6"/>
  <c r="F11" i="6"/>
  <c r="G10" i="6"/>
  <c r="F10" i="6"/>
  <c r="J10" i="6"/>
  <c r="I10" i="6"/>
  <c r="H10" i="6"/>
  <c r="L7" i="7"/>
  <c r="L10" i="4"/>
  <c r="V10" i="4"/>
  <c r="U10" i="4"/>
  <c r="T10" i="4"/>
  <c r="S10" i="4"/>
  <c r="M7" i="7" l="1"/>
  <c r="V9" i="4" l="1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K10" i="4"/>
  <c r="J10" i="4"/>
  <c r="C8" i="6" s="1"/>
  <c r="I10" i="4"/>
  <c r="H10" i="4"/>
  <c r="K9" i="4"/>
  <c r="J9" i="4"/>
  <c r="I9" i="4"/>
  <c r="H9" i="4"/>
  <c r="K8" i="4"/>
  <c r="K23" i="4" s="1"/>
  <c r="J8" i="4"/>
  <c r="J23" i="4" s="1"/>
  <c r="I8" i="4"/>
  <c r="H8" i="4"/>
  <c r="K7" i="4"/>
  <c r="K22" i="4" s="1"/>
  <c r="J7" i="4"/>
  <c r="J22" i="4" s="1"/>
  <c r="I7" i="4"/>
  <c r="H7" i="4"/>
  <c r="K6" i="4"/>
  <c r="K21" i="4" s="1"/>
  <c r="J6" i="4"/>
  <c r="J21" i="4" s="1"/>
  <c r="I6" i="4"/>
  <c r="H6" i="4"/>
  <c r="T11" i="4" l="1"/>
  <c r="V11" i="4"/>
  <c r="K27" i="4"/>
  <c r="K29" i="4"/>
  <c r="K28" i="4"/>
  <c r="U11" i="4"/>
  <c r="J27" i="4"/>
  <c r="J28" i="4"/>
  <c r="J29" i="4"/>
  <c r="S11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L9" i="4"/>
  <c r="L8" i="4"/>
  <c r="L23" i="4" s="1"/>
  <c r="L7" i="4"/>
  <c r="L6" i="4"/>
  <c r="W10" i="4"/>
  <c r="W9" i="4"/>
  <c r="W8" i="4"/>
  <c r="W7" i="4"/>
  <c r="W6" i="4"/>
  <c r="M21" i="4"/>
  <c r="M23" i="4"/>
  <c r="M22" i="4"/>
  <c r="J30" i="4" l="1"/>
  <c r="J31" i="4" s="1"/>
  <c r="K30" i="4"/>
  <c r="K31" i="4" s="1"/>
  <c r="M27" i="4"/>
  <c r="L29" i="4"/>
  <c r="M28" i="4"/>
  <c r="D7" i="6"/>
  <c r="M29" i="4"/>
  <c r="C5" i="6"/>
  <c r="D5" i="6" s="1"/>
  <c r="D44" i="6" s="1"/>
  <c r="L22" i="4"/>
  <c r="L28" i="4" s="1"/>
  <c r="C4" i="6"/>
  <c r="I4" i="6" s="1"/>
  <c r="L21" i="4"/>
  <c r="L27" i="4" s="1"/>
  <c r="C6" i="6"/>
  <c r="D6" i="6" s="1"/>
  <c r="D45" i="6" s="1"/>
  <c r="C7" i="6"/>
  <c r="M15" i="4"/>
  <c r="L16" i="4"/>
  <c r="X11" i="4"/>
  <c r="M16" i="4"/>
  <c r="L15" i="4"/>
  <c r="W11" i="4"/>
  <c r="L18" i="4"/>
  <c r="L17" i="4"/>
  <c r="M17" i="4"/>
  <c r="M18" i="4"/>
  <c r="J5" i="6" l="1"/>
  <c r="J44" i="6" s="1"/>
  <c r="E5" i="6"/>
  <c r="E44" i="6" s="1"/>
  <c r="F5" i="6"/>
  <c r="F44" i="6" s="1"/>
  <c r="D30" i="6"/>
  <c r="G5" i="6"/>
  <c r="G44" i="6" s="1"/>
  <c r="M30" i="4"/>
  <c r="M31" i="4" s="1"/>
  <c r="L30" i="4"/>
  <c r="L31" i="4" s="1"/>
  <c r="I43" i="6"/>
  <c r="F4" i="6"/>
  <c r="F29" i="6" s="1"/>
  <c r="H4" i="6"/>
  <c r="H29" i="6" s="1"/>
  <c r="E7" i="6"/>
  <c r="D46" i="6"/>
  <c r="D32" i="6"/>
  <c r="F7" i="6"/>
  <c r="G7" i="6"/>
  <c r="H7" i="6"/>
  <c r="I7" i="6"/>
  <c r="J7" i="6"/>
  <c r="G4" i="6"/>
  <c r="G29" i="6" s="1"/>
  <c r="D4" i="6"/>
  <c r="D43" i="6" s="1"/>
  <c r="J4" i="6"/>
  <c r="J29" i="6" s="1"/>
  <c r="E4" i="6"/>
  <c r="E29" i="6" s="1"/>
  <c r="I5" i="6"/>
  <c r="I44" i="6" s="1"/>
  <c r="H5" i="6"/>
  <c r="H44" i="6" s="1"/>
  <c r="I6" i="6"/>
  <c r="I45" i="6" s="1"/>
  <c r="J30" i="6"/>
  <c r="E30" i="6"/>
  <c r="D31" i="6"/>
  <c r="C12" i="6"/>
  <c r="G6" i="6"/>
  <c r="G45" i="6" s="1"/>
  <c r="F6" i="6"/>
  <c r="F45" i="6" s="1"/>
  <c r="H6" i="6"/>
  <c r="H45" i="6" s="1"/>
  <c r="J6" i="6"/>
  <c r="J45" i="6" s="1"/>
  <c r="E6" i="6"/>
  <c r="E45" i="6" s="1"/>
  <c r="I29" i="6"/>
  <c r="N11" i="4"/>
  <c r="R11" i="4"/>
  <c r="O11" i="4"/>
  <c r="P11" i="4"/>
  <c r="Q11" i="4"/>
  <c r="C17" i="4"/>
  <c r="G17" i="4"/>
  <c r="D18" i="4"/>
  <c r="D16" i="4"/>
  <c r="E18" i="4"/>
  <c r="C15" i="4"/>
  <c r="E17" i="4"/>
  <c r="F18" i="4"/>
  <c r="E15" i="4"/>
  <c r="D15" i="4"/>
  <c r="E16" i="4"/>
  <c r="F17" i="4"/>
  <c r="F15" i="4"/>
  <c r="C18" i="4"/>
  <c r="G18" i="4"/>
  <c r="C16" i="4"/>
  <c r="G16" i="4"/>
  <c r="D17" i="4"/>
  <c r="F16" i="4"/>
  <c r="G30" i="6" l="1"/>
  <c r="I30" i="6"/>
  <c r="F30" i="6"/>
  <c r="D47" i="6"/>
  <c r="E47" i="6" s="1"/>
  <c r="D12" i="6"/>
  <c r="D29" i="6"/>
  <c r="D37" i="6" s="1"/>
  <c r="I12" i="6"/>
  <c r="J43" i="6"/>
  <c r="H43" i="6"/>
  <c r="I31" i="6"/>
  <c r="F43" i="6"/>
  <c r="G43" i="6"/>
  <c r="H30" i="6"/>
  <c r="E43" i="6"/>
  <c r="E46" i="6"/>
  <c r="E32" i="6"/>
  <c r="E31" i="6"/>
  <c r="G31" i="6"/>
  <c r="E12" i="6"/>
  <c r="J31" i="6"/>
  <c r="G12" i="6"/>
  <c r="H31" i="6"/>
  <c r="F31" i="6"/>
  <c r="H12" i="6"/>
  <c r="F12" i="6"/>
  <c r="J12" i="6"/>
  <c r="D51" i="6" l="1"/>
  <c r="D53" i="6" s="1"/>
  <c r="E51" i="6"/>
  <c r="E37" i="6"/>
  <c r="D38" i="6"/>
  <c r="D54" i="6"/>
  <c r="E38" i="6" l="1"/>
  <c r="E40" i="6" s="1"/>
  <c r="E53" i="6"/>
  <c r="E54" i="6"/>
  <c r="G17" i="8" l="1"/>
  <c r="I17" i="8" l="1"/>
  <c r="H17" i="8"/>
  <c r="F17" i="8"/>
  <c r="E17" i="8"/>
  <c r="E18" i="8" s="1"/>
  <c r="F8" i="10" l="1"/>
  <c r="F20" i="6" s="1"/>
  <c r="F32" i="6" s="1"/>
  <c r="F18" i="8"/>
  <c r="F10" i="10"/>
  <c r="F23" i="6" s="1"/>
  <c r="F35" i="6" s="1"/>
  <c r="F49" i="6" s="1"/>
  <c r="F9" i="10"/>
  <c r="F22" i="6" s="1"/>
  <c r="F34" i="6" s="1"/>
  <c r="F48" i="6" s="1"/>
  <c r="F11" i="10"/>
  <c r="F24" i="6" s="1"/>
  <c r="F36" i="6" s="1"/>
  <c r="F50" i="6" s="1"/>
  <c r="G11" i="10" l="1"/>
  <c r="G24" i="6" s="1"/>
  <c r="G36" i="6" s="1"/>
  <c r="G50" i="6" s="1"/>
  <c r="G18" i="8"/>
  <c r="G9" i="10"/>
  <c r="G22" i="6" s="1"/>
  <c r="G34" i="6" s="1"/>
  <c r="G48" i="6" s="1"/>
  <c r="G10" i="10"/>
  <c r="G23" i="6" s="1"/>
  <c r="G35" i="6" s="1"/>
  <c r="G49" i="6" s="1"/>
  <c r="G8" i="10"/>
  <c r="G20" i="6" s="1"/>
  <c r="G32" i="6" s="1"/>
  <c r="F37" i="6"/>
  <c r="F46" i="6"/>
  <c r="F51" i="6" s="1"/>
  <c r="F53" i="6" l="1"/>
  <c r="F38" i="6"/>
  <c r="F54" i="6"/>
  <c r="G46" i="6"/>
  <c r="G51" i="6" s="1"/>
  <c r="G37" i="6"/>
  <c r="H18" i="8"/>
  <c r="H8" i="10"/>
  <c r="H20" i="6" s="1"/>
  <c r="H32" i="6" s="1"/>
  <c r="H9" i="10"/>
  <c r="H22" i="6" s="1"/>
  <c r="H34" i="6" s="1"/>
  <c r="H48" i="6" s="1"/>
  <c r="H10" i="10"/>
  <c r="H23" i="6" s="1"/>
  <c r="H35" i="6" s="1"/>
  <c r="H49" i="6" s="1"/>
  <c r="H11" i="10"/>
  <c r="H24" i="6" s="1"/>
  <c r="H36" i="6" s="1"/>
  <c r="H50" i="6" s="1"/>
  <c r="H37" i="6" l="1"/>
  <c r="H46" i="6"/>
  <c r="H51" i="6" s="1"/>
  <c r="I18" i="8"/>
  <c r="I8" i="10"/>
  <c r="I20" i="6" s="1"/>
  <c r="I32" i="6" s="1"/>
  <c r="I9" i="10"/>
  <c r="I22" i="6" s="1"/>
  <c r="I34" i="6" s="1"/>
  <c r="I48" i="6" s="1"/>
  <c r="I10" i="10"/>
  <c r="I23" i="6" s="1"/>
  <c r="I35" i="6" s="1"/>
  <c r="I49" i="6" s="1"/>
  <c r="I11" i="10"/>
  <c r="I24" i="6" s="1"/>
  <c r="I36" i="6" s="1"/>
  <c r="I50" i="6" s="1"/>
  <c r="G53" i="6"/>
  <c r="G38" i="6"/>
  <c r="G54" i="6"/>
  <c r="F39" i="6"/>
  <c r="G39" i="6" l="1"/>
  <c r="I37" i="6"/>
  <c r="I46" i="6"/>
  <c r="I51" i="6" s="1"/>
  <c r="J11" i="10"/>
  <c r="J24" i="6" s="1"/>
  <c r="J36" i="6" s="1"/>
  <c r="J50" i="6" s="1"/>
  <c r="J8" i="10"/>
  <c r="J20" i="6" s="1"/>
  <c r="J32" i="6" s="1"/>
  <c r="J9" i="10"/>
  <c r="J22" i="6" s="1"/>
  <c r="J34" i="6" s="1"/>
  <c r="J48" i="6" s="1"/>
  <c r="J10" i="10"/>
  <c r="J23" i="6" s="1"/>
  <c r="J35" i="6" s="1"/>
  <c r="J49" i="6" s="1"/>
  <c r="H54" i="6"/>
  <c r="H38" i="6"/>
  <c r="H53" i="6"/>
  <c r="H39" i="6" l="1"/>
  <c r="J46" i="6"/>
  <c r="J51" i="6" s="1"/>
  <c r="J37" i="6"/>
  <c r="I54" i="6"/>
  <c r="I53" i="6"/>
  <c r="I38" i="6"/>
  <c r="I39" i="6" l="1"/>
  <c r="J53" i="6"/>
  <c r="J54" i="6"/>
  <c r="J38" i="6"/>
  <c r="K38" i="6" l="1"/>
  <c r="J39" i="6"/>
  <c r="K39" i="6" s="1"/>
</calcChain>
</file>

<file path=xl/sharedStrings.xml><?xml version="1.0" encoding="utf-8"?>
<sst xmlns="http://schemas.openxmlformats.org/spreadsheetml/2006/main" count="287" uniqueCount="128">
  <si>
    <t>Meter and Gas installation test</t>
  </si>
  <si>
    <t>Disconnection - locks and plugs at the meter installation</t>
  </si>
  <si>
    <t>Special read</t>
  </si>
  <si>
    <t>ANCILLARY REFERENCE SERVICES</t>
  </si>
  <si>
    <t>Service</t>
  </si>
  <si>
    <t>Reference</t>
  </si>
  <si>
    <t>810106NH</t>
  </si>
  <si>
    <t>810101NH</t>
  </si>
  <si>
    <t>810103NH</t>
  </si>
  <si>
    <t>830101NH , 830102NH, 830103NH, 830104NH, 830105NH</t>
  </si>
  <si>
    <t>Published rates</t>
  </si>
  <si>
    <t>Customer growth</t>
  </si>
  <si>
    <t>Total customer numbers</t>
  </si>
  <si>
    <t>Reconnection - following insertion of locks and plugs at the meter installation</t>
  </si>
  <si>
    <t>HY2023</t>
  </si>
  <si>
    <t>2023-24</t>
  </si>
  <si>
    <t>2024-25</t>
  </si>
  <si>
    <t>2025-26</t>
  </si>
  <si>
    <t>2026-27</t>
  </si>
  <si>
    <t>2027-28</t>
  </si>
  <si>
    <t>ARS - Other Non-Reference Services</t>
  </si>
  <si>
    <t>Average unit rates - Expenditures ($Nominal)</t>
  </si>
  <si>
    <t>Actual Quantity</t>
  </si>
  <si>
    <t>Actual Expenditures - $Nominal</t>
  </si>
  <si>
    <t>2022-23</t>
  </si>
  <si>
    <t>TOTAL ($0's)</t>
  </si>
  <si>
    <t>Meter Fix or Meter Reinstallation (New)</t>
  </si>
  <si>
    <t>Meter and Service Removal (New)</t>
  </si>
  <si>
    <t>Minor Meter Alter Position (New)</t>
  </si>
  <si>
    <t>Year</t>
  </si>
  <si>
    <t>Inflation Assumption (CPI % increase) (constant)</t>
  </si>
  <si>
    <t>Cumulative Inflation Index (CPI end period)</t>
  </si>
  <si>
    <t>Special read Country</t>
  </si>
  <si>
    <t>Special read Metro</t>
  </si>
  <si>
    <t>Minor Meter Alter Position - WS0058D1</t>
  </si>
  <si>
    <t>Minor Meter Alter Position - WS0058A</t>
  </si>
  <si>
    <t>Meter and Service Removal - WS0094B</t>
  </si>
  <si>
    <t>Meter and Service Removal - WS0094A</t>
  </si>
  <si>
    <t>Meter and Service Removal - 670902C</t>
  </si>
  <si>
    <t>Meter and Service Removal - 670902B</t>
  </si>
  <si>
    <t>Meter Fix or Meter Reinstallation</t>
  </si>
  <si>
    <t>Volumes per service based on average</t>
  </si>
  <si>
    <t>19-20 Volumes</t>
  </si>
  <si>
    <t>18-19 Volumes</t>
  </si>
  <si>
    <t>17-18 Volumes</t>
  </si>
  <si>
    <t>16-17 Volumes</t>
  </si>
  <si>
    <t>Contractor Service</t>
  </si>
  <si>
    <t>NA - non-reference service</t>
  </si>
  <si>
    <t>Minor Meter Alter Position</t>
  </si>
  <si>
    <t>Meter and Service Removal</t>
  </si>
  <si>
    <t>Contract #2 escalation rate (includes CPI)</t>
  </si>
  <si>
    <t>Special read – final read, reference read, account investigation, customer transfer, disconnection read, or special read with appointment.</t>
  </si>
  <si>
    <t>Contract #1 escalation rate (includes CPI)</t>
  </si>
  <si>
    <t>Reconnection – following insertion of locks &amp; plugs at the meter installation</t>
  </si>
  <si>
    <t>Meter &amp; Gas Installation Test – onsite meter testing for Tariff V customer.</t>
  </si>
  <si>
    <t>Gas Ancillary Reference service</t>
  </si>
  <si>
    <t>Margin</t>
  </si>
  <si>
    <t>Direct and Indirect Support cost as %</t>
  </si>
  <si>
    <t>Contractor Corporate Overheads</t>
  </si>
  <si>
    <t>Real June 2023 $s</t>
  </si>
  <si>
    <t>Real $2022 ($s)</t>
  </si>
  <si>
    <t>Note - these prices are lower than our recently negotiated price from our tendered contract</t>
  </si>
  <si>
    <t>Volumes</t>
  </si>
  <si>
    <t>TOTAL</t>
  </si>
  <si>
    <t>Existing</t>
  </si>
  <si>
    <t>Proposed</t>
  </si>
  <si>
    <t>Forecast Prices (real $2023)</t>
  </si>
  <si>
    <t>Revenue Forecast (real $2023)</t>
  </si>
  <si>
    <t>CY2022</t>
  </si>
  <si>
    <t>Proposed volume per New Reference Service Fees worksheet</t>
  </si>
  <si>
    <t>Proposed price per unit per New Reference Service Fees worksheet</t>
  </si>
  <si>
    <t>Adjusted price per unit (2024-28) per New Reference Service Fees worksheet</t>
  </si>
  <si>
    <t>Forecast volume of Special reads accounts for forecast customer growth</t>
  </si>
  <si>
    <t>Historical Avg</t>
  </si>
  <si>
    <t>TOTAL - real $2023, $0's</t>
  </si>
  <si>
    <t>TOTAL - real $2023, $m for PTRM input</t>
  </si>
  <si>
    <t>n/a</t>
  </si>
  <si>
    <t>2024-28 PTRM Forecast inflation:</t>
  </si>
  <si>
    <t>Inflation assumptions</t>
  </si>
  <si>
    <t>(2018-2021)</t>
  </si>
  <si>
    <t>Contract #2 meter reading</t>
  </si>
  <si>
    <t>Contract #1 works</t>
  </si>
  <si>
    <t>March 2021 to April 2022</t>
  </si>
  <si>
    <t>Average Volumes</t>
  </si>
  <si>
    <t>AST corporate overhead and other allocated AST costs</t>
  </si>
  <si>
    <t>NB Contract #2 is for opex services, and AST cost of staff resources that manage the provision of contracted services.</t>
  </si>
  <si>
    <t>Cumulative growth from CY2022</t>
  </si>
  <si>
    <t>Expenditure Forecast (real $2023)</t>
  </si>
  <si>
    <t>Contract Tender rates and AusNet labour resource costs</t>
  </si>
  <si>
    <t>Note - these costs include non-reference services that AusNet is proposing to split out to a new service</t>
  </si>
  <si>
    <t>as above</t>
  </si>
  <si>
    <t>Ancillary Reference Services (Exc GST)</t>
  </si>
  <si>
    <t>Tariff Approval - AusNet Services</t>
  </si>
  <si>
    <t>Revenue margin</t>
  </si>
  <si>
    <t>Revenue Collected - $Nominal</t>
  </si>
  <si>
    <t>Expenditure less Actual Revenue - $Nominal</t>
  </si>
  <si>
    <t>Current and Proposed Ancillary Reference Services Tariffs</t>
  </si>
  <si>
    <t>Contract Services for Proposed Reference Services</t>
  </si>
  <si>
    <t>2022 Contractor direct cost ($Nominal)</t>
  </si>
  <si>
    <t>Weighted average direct cost 2022 ($Nominal)</t>
  </si>
  <si>
    <t>Proposed Unit Rates including margin - Real Jun $2023 ($m)</t>
  </si>
  <si>
    <t>Proposed Unit Rates including margin and contracted rate of change - $Nominal ($m)</t>
  </si>
  <si>
    <t>Confidential</t>
  </si>
  <si>
    <t>ABS CPI index - December (rebased)</t>
  </si>
  <si>
    <t xml:space="preserve">Inflation rate (per cent) </t>
  </si>
  <si>
    <t>Reconstructed cumulative index (HY2023=1)</t>
  </si>
  <si>
    <t>Actual and estimated inflation</t>
  </si>
  <si>
    <t>Total ($Nominal)</t>
  </si>
  <si>
    <t>Total (Real Jun $2023)</t>
  </si>
  <si>
    <t>Forecast Revenue less Expenditure (real $2023)</t>
  </si>
  <si>
    <t>2020 ARS Tariffs: https://www.aer.gov.au/system/files/AusNet%20Services%20-%20Ancillary%20Reference%20Tariffs%202020%20v1.0%20-%20October%202019.pdf</t>
  </si>
  <si>
    <t>2019 ARS Tariffs: https://www.aer.gov.au/system/files/AusNet%20Services%20-%20Annual%20tariff%20variation%202019%20-%20Ancillary%20reference%20tariffs%20-%2024%20October%202018.pdf</t>
  </si>
  <si>
    <t>2018 ARS Tariffs: https://www.aer.gov.au/system/files/AusNet%20-%20Schedule%20of%20Ancillary%20Reference%20Services.pdf</t>
  </si>
  <si>
    <t xml:space="preserve">source: </t>
  </si>
  <si>
    <t>2021 and 2022 ARS Tariffs: AusNet - Gas Tariff Approval model 2022 (October 2021)</t>
  </si>
  <si>
    <t>Note: Actual Quantity and Expenditure data is sourced from ASG Historical Gas RIN notices</t>
  </si>
  <si>
    <t>Forecast</t>
  </si>
  <si>
    <t>Actual</t>
  </si>
  <si>
    <t>Forecast HY2023 and 2024-28 customer numbers are sourced from ASG GAAR Proposal PTRM (2024-28) - Public</t>
  </si>
  <si>
    <t>Actual 2018 to 2021 customer numbers are average customers over the year and exclude grid connected customers that do not take supply</t>
  </si>
  <si>
    <t>Real June 2023 ($s)</t>
  </si>
  <si>
    <t>Disconnection - the use of locks or plugs at a Metering Installation in order to prevent the withdrawal of Gas at the Distribution Supply Point.</t>
  </si>
  <si>
    <t>Contract #1 established AST estimated the corporate and other allocated costs by dividing the internal costs by the annual contract value associated with the services provided</t>
  </si>
  <si>
    <t>TOTAL - nominal $2023, $m for PTRM input</t>
  </si>
  <si>
    <t>CPI - 6 months to June 2022 (Actual)  - per ABS data</t>
  </si>
  <si>
    <t>source: ASG GAAR 2024-28 PTRM - 24 Jan 2023 - PUBLIC</t>
  </si>
  <si>
    <t>(source: ASG - GAAR 2024-28 ECM model 24 Jan 2023 - PUBLIC)</t>
  </si>
  <si>
    <t>check - AER HY2023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</si>
</sst>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  <numFmt numFmtId="167" formatCode="&quot;$&quot;#,##0.00"/>
    <numFmt numFmtId="168" formatCode="&quot;$&quot;#,##0"/>
    <numFmt numFmtId="169" formatCode="0.0"/>
    <numFmt numFmtId="170" formatCode="0.00000000%"/>
    <numFmt numFmtId="171" formatCode="0.0000000000000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Verdana"/>
      <family val="2"/>
    </font>
    <font>
      <sz val="10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8C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/>
      <top/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8" fontId="0" fillId="0" borderId="1" xfId="0" applyNumberFormat="1" applyBorder="1"/>
    <xf numFmtId="164" fontId="0" fillId="0" borderId="1" xfId="1" applyNumberFormat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43" fontId="0" fillId="0" borderId="0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0" fontId="0" fillId="2" borderId="0" xfId="0" applyFill="1"/>
    <xf numFmtId="3" fontId="0" fillId="0" borderId="0" xfId="0" applyNumberFormat="1"/>
    <xf numFmtId="165" fontId="1" fillId="0" borderId="0" xfId="2" applyNumberFormat="1" applyFont="1"/>
    <xf numFmtId="8" fontId="0" fillId="0" borderId="0" xfId="0" applyNumberForma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2" xfId="0" applyBorder="1"/>
    <xf numFmtId="0" fontId="1" fillId="0" borderId="9" xfId="0" applyFont="1" applyBorder="1"/>
    <xf numFmtId="0" fontId="3" fillId="0" borderId="0" xfId="0" applyFont="1"/>
    <xf numFmtId="0" fontId="0" fillId="0" borderId="0" xfId="0" quotePrefix="1"/>
    <xf numFmtId="0" fontId="4" fillId="0" borderId="0" xfId="0" applyFont="1"/>
    <xf numFmtId="10" fontId="4" fillId="0" borderId="0" xfId="2" applyNumberFormat="1" applyFont="1"/>
    <xf numFmtId="166" fontId="5" fillId="0" borderId="0" xfId="0" applyNumberFormat="1" applyFont="1"/>
    <xf numFmtId="0" fontId="5" fillId="0" borderId="0" xfId="0" applyFont="1"/>
    <xf numFmtId="10" fontId="5" fillId="0" borderId="0" xfId="2" applyNumberFormat="1" applyFont="1" applyFill="1" applyBorder="1"/>
    <xf numFmtId="0" fontId="6" fillId="0" borderId="0" xfId="0" applyFont="1" applyAlignment="1">
      <alignment horizontal="center"/>
    </xf>
    <xf numFmtId="167" fontId="7" fillId="0" borderId="17" xfId="0" applyNumberFormat="1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4" fillId="0" borderId="0" xfId="0" applyNumberFormat="1" applyFont="1"/>
    <xf numFmtId="0" fontId="8" fillId="4" borderId="16" xfId="0" applyFont="1" applyFill="1" applyBorder="1" applyAlignment="1">
      <alignment horizontal="center" vertical="center" wrapText="1"/>
    </xf>
    <xf numFmtId="17" fontId="8" fillId="4" borderId="18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8" fillId="4" borderId="22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10" fillId="0" borderId="0" xfId="0" applyFont="1"/>
    <xf numFmtId="167" fontId="0" fillId="0" borderId="0" xfId="0" applyNumberFormat="1"/>
    <xf numFmtId="167" fontId="0" fillId="0" borderId="8" xfId="0" applyNumberFormat="1" applyBorder="1"/>
    <xf numFmtId="3" fontId="1" fillId="0" borderId="13" xfId="0" applyNumberFormat="1" applyFont="1" applyBorder="1"/>
    <xf numFmtId="3" fontId="1" fillId="0" borderId="23" xfId="0" applyNumberFormat="1" applyFont="1" applyBorder="1"/>
    <xf numFmtId="38" fontId="0" fillId="0" borderId="0" xfId="0" applyNumberFormat="1"/>
    <xf numFmtId="168" fontId="0" fillId="0" borderId="0" xfId="0" applyNumberFormat="1"/>
    <xf numFmtId="168" fontId="0" fillId="0" borderId="8" xfId="0" applyNumberFormat="1" applyBorder="1"/>
    <xf numFmtId="168" fontId="1" fillId="0" borderId="13" xfId="0" applyNumberFormat="1" applyFont="1" applyBorder="1"/>
    <xf numFmtId="168" fontId="1" fillId="0" borderId="23" xfId="0" applyNumberFormat="1" applyFont="1" applyBorder="1"/>
    <xf numFmtId="9" fontId="0" fillId="0" borderId="0" xfId="2" applyFont="1"/>
    <xf numFmtId="43" fontId="0" fillId="0" borderId="0" xfId="0" applyNumberFormat="1"/>
    <xf numFmtId="167" fontId="1" fillId="0" borderId="24" xfId="0" applyNumberFormat="1" applyFont="1" applyBorder="1"/>
    <xf numFmtId="167" fontId="1" fillId="0" borderId="25" xfId="0" applyNumberFormat="1" applyFont="1" applyBorder="1"/>
    <xf numFmtId="3" fontId="0" fillId="0" borderId="26" xfId="0" applyNumberFormat="1" applyBorder="1"/>
    <xf numFmtId="3" fontId="0" fillId="0" borderId="27" xfId="0" applyNumberFormat="1" applyBorder="1"/>
    <xf numFmtId="167" fontId="0" fillId="0" borderId="26" xfId="0" applyNumberFormat="1" applyBorder="1"/>
    <xf numFmtId="167" fontId="0" fillId="0" borderId="27" xfId="0" applyNumberFormat="1" applyBorder="1"/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65" fontId="7" fillId="0" borderId="17" xfId="2" applyNumberFormat="1" applyFont="1" applyFill="1" applyBorder="1" applyAlignment="1">
      <alignment horizontal="center" vertical="center" wrapText="1"/>
    </xf>
    <xf numFmtId="3" fontId="0" fillId="0" borderId="8" xfId="0" applyNumberFormat="1" applyBorder="1"/>
    <xf numFmtId="167" fontId="0" fillId="0" borderId="9" xfId="0" applyNumberFormat="1" applyBorder="1"/>
    <xf numFmtId="164" fontId="0" fillId="0" borderId="0" xfId="1" applyNumberFormat="1" applyFont="1"/>
    <xf numFmtId="164" fontId="0" fillId="0" borderId="1" xfId="0" applyNumberFormat="1" applyBorder="1"/>
    <xf numFmtId="10" fontId="0" fillId="0" borderId="0" xfId="2" applyNumberFormat="1" applyFont="1"/>
    <xf numFmtId="2" fontId="0" fillId="0" borderId="0" xfId="0" applyNumberFormat="1"/>
    <xf numFmtId="169" fontId="0" fillId="0" borderId="0" xfId="0" applyNumberFormat="1"/>
    <xf numFmtId="165" fontId="1" fillId="0" borderId="0" xfId="2" applyNumberFormat="1" applyFont="1" applyFill="1"/>
    <xf numFmtId="165" fontId="13" fillId="0" borderId="0" xfId="2" applyNumberFormat="1" applyFont="1"/>
    <xf numFmtId="0" fontId="0" fillId="0" borderId="0" xfId="0" applyAlignment="1">
      <alignment horizontal="right"/>
    </xf>
    <xf numFmtId="0" fontId="14" fillId="0" borderId="0" xfId="0" applyFont="1"/>
    <xf numFmtId="3" fontId="7" fillId="0" borderId="17" xfId="0" applyNumberFormat="1" applyFont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10" fontId="5" fillId="6" borderId="0" xfId="2" applyNumberFormat="1" applyFont="1" applyFill="1" applyBorder="1"/>
    <xf numFmtId="3" fontId="0" fillId="6" borderId="0" xfId="0" applyNumberFormat="1" applyFill="1"/>
    <xf numFmtId="165" fontId="2" fillId="0" borderId="0" xfId="2" applyNumberFormat="1" applyFont="1"/>
    <xf numFmtId="10" fontId="0" fillId="6" borderId="0" xfId="2" applyNumberFormat="1" applyFont="1" applyFill="1"/>
    <xf numFmtId="10" fontId="0" fillId="6" borderId="0" xfId="0" applyNumberFormat="1" applyFill="1"/>
    <xf numFmtId="167" fontId="7" fillId="0" borderId="18" xfId="0" applyNumberFormat="1" applyFont="1" applyBorder="1" applyAlignment="1">
      <alignment horizontal="center" vertical="center" wrapText="1"/>
    </xf>
    <xf numFmtId="10" fontId="4" fillId="0" borderId="0" xfId="0" applyNumberFormat="1" applyFont="1"/>
    <xf numFmtId="170" fontId="4" fillId="0" borderId="0" xfId="0" applyNumberFormat="1" applyFont="1"/>
    <xf numFmtId="171" fontId="4" fillId="0" borderId="0" xfId="0" applyNumberFormat="1" applyFont="1"/>
    <xf numFmtId="167" fontId="1" fillId="0" borderId="0" xfId="0" applyNumberFormat="1" applyFont="1"/>
    <xf numFmtId="0" fontId="12" fillId="5" borderId="0" xfId="0" applyFont="1" applyFill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7" fontId="7" fillId="7" borderId="17" xfId="0" applyNumberFormat="1" applyFont="1" applyFill="1" applyBorder="1" applyAlignment="1">
      <alignment horizontal="center" vertical="center" wrapText="1"/>
    </xf>
    <xf numFmtId="167" fontId="7" fillId="7" borderId="14" xfId="0" applyNumberFormat="1" applyFont="1" applyFill="1" applyBorder="1" applyAlignment="1">
      <alignment horizontal="center" vertical="center" wrapText="1"/>
    </xf>
    <xf numFmtId="10" fontId="7" fillId="7" borderId="17" xfId="2" applyNumberFormat="1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ausnet-my.sharepoint.com/Price%20Review/2021-25%20EDPR/Team%20Working%20folders/16.0%202021%20EDPR%20-%20ACS/AusNet%20Services%202022-26%20-%20FINAL%20RIN%20-%20workbook%201%20-%20Reg%20determination%2017%20Jan%2020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4.0%202023%20GAAR%20-%20Modelling/Capex/Historical/AusNet%20Gas%202020%20-%20Annual%20-%20RIN%20Response%20-%20Consolidated%20-%2030%20April%202021%20-%20PUBLIC%20(%2312213544)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4.0%202023%20GAAR%20-%20Modelling/Capex/Historical/CY21%20AusNet%20Gas%20Distribution%20Workbook%202%20-%20Consolidated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ausnet-my.sharepoint.com/Users/Rohan/AppData/Local/Microsoft/Windows/INetCache/Content.Outlook/MW5SH6T3/Reset%20RIN/Final%20RIN%20update%20Jan%202015/Victorian%20DNSP%202016-20%20-%20Reset%20RIN%20templates%20-%20January%20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etlehem\Desktop\ACS%20and%20PL%20RIN\AusNet%20Services%202022-26%20-%20FINAL%20RIN%20-%20workbook%201%20-%20Reg%20determination%206%20Dec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ex%20Model_EDPR%202016-20_Propsal%20Case%20(11.03.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16.0%20Revised%20Proposal%20preparation/Models/ASG%20-%20GAAR%202024-28%20ECM%20Model%20-%2024%20Jan%202023%20-%20PUBL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16.0%20Revised%20Proposal%20preparation/Models/ASG%20-%20GAAR%202024-28%20PTRM%20-%2024%20Jan%202023%20-%20PUBLIC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13.0%20GAAR%202023%20-%20AER/13.1%20AER%20models%20-%206%20month/AER%20Embargoed%20copy/AER%20-%20ASG%20-%20PTRM%20-%20HY2023%20Final%20decis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4.0%202023%20GAAR%20-%20Modelling/Customer/Attachment%20A%20-%20AusNet%20-%20Gas%20Tariff%20Approval%20Model%202022%20v1.0%20-%20October%202021_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3-27%20GAAR/4.0%202023%20GAAR%20-%20Modelling/Capex/Historical/AusNet%20Gas%20Distribution%202011-19%20-%20Annual%20RIN%20-%20RIN%20Response%20-%20Consolidated%20-%2027%20November%20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 refreshError="1"/>
      <sheetData sheetId="1" refreshError="1"/>
      <sheetData sheetId="2" refreshError="1"/>
      <sheetData sheetId="3" refreshError="1">
        <row r="40">
          <cell r="I40" t="str">
            <v>2022-23</v>
          </cell>
        </row>
        <row r="41">
          <cell r="I41" t="str">
            <v>2023-24</v>
          </cell>
        </row>
        <row r="42">
          <cell r="G42" t="str">
            <v>2019-20</v>
          </cell>
          <cell r="I42" t="str">
            <v>2024-25</v>
          </cell>
        </row>
        <row r="43">
          <cell r="I43" t="str">
            <v>2025-26</v>
          </cell>
        </row>
      </sheetData>
      <sheetData sheetId="4" refreshError="1"/>
      <sheetData sheetId="5" refreshError="1"/>
      <sheetData sheetId="6" refreshError="1"/>
      <sheetData sheetId="7" refreshError="1">
        <row r="42">
          <cell r="AL42" t="str">
            <v>2021-22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ENTS"/>
      <sheetName val="Business &amp; other details"/>
      <sheetName val="E1. Expenditure Summary"/>
      <sheetName val="E11. Labour"/>
      <sheetName val="E21. ARS"/>
      <sheetName val="N1. Demand"/>
      <sheetName val="N2. Network characteristcs"/>
      <sheetName val="S1.1. Customer numbers"/>
      <sheetName val="S1.2. Customer numbers"/>
      <sheetName val="S10. Supply quality"/>
      <sheetName val="S11. Network reliability"/>
      <sheetName val="S14. Network integrity"/>
      <sheetName val="F1. Income"/>
      <sheetName val="F2. Capex"/>
      <sheetName val="F3. Revenue"/>
      <sheetName val="F4. Opex"/>
      <sheetName val="F6. Related party transactions"/>
      <sheetName val="F7. Provisions"/>
      <sheetName val="F9. Pass throughs"/>
      <sheetName val="F10. Assets"/>
      <sheetName val="Additional disclosure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819</v>
          </cell>
        </row>
        <row r="11">
          <cell r="C11">
            <v>1661</v>
          </cell>
        </row>
        <row r="12">
          <cell r="C12">
            <v>165</v>
          </cell>
        </row>
        <row r="13">
          <cell r="C13">
            <v>225169</v>
          </cell>
        </row>
        <row r="14">
          <cell r="C14">
            <v>0</v>
          </cell>
        </row>
        <row r="25">
          <cell r="C25">
            <v>412881.64</v>
          </cell>
        </row>
        <row r="26">
          <cell r="C26">
            <v>1553466.08</v>
          </cell>
        </row>
        <row r="27">
          <cell r="C27">
            <v>87843.657048606721</v>
          </cell>
        </row>
        <row r="28">
          <cell r="C28">
            <v>1408878.7629513931</v>
          </cell>
        </row>
        <row r="29">
          <cell r="C29">
            <v>2008389.0699999998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3446441.4800000004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E1. Expenditure Summary"/>
      <sheetName val="E11. Labour"/>
      <sheetName val="E21. ARS"/>
      <sheetName val="N1. Demand"/>
      <sheetName val="N2. Network characteristcs"/>
      <sheetName val="S1.1. Customer numbers"/>
      <sheetName val="S1.2. Customer numbers"/>
      <sheetName val="S10. Supply quality"/>
      <sheetName val="S11. Network reliability"/>
      <sheetName val="S14. Network integrity"/>
      <sheetName val="F1. Income"/>
      <sheetName val="F2. Capex"/>
      <sheetName val="F3. Revenue"/>
      <sheetName val="F4. Opex"/>
      <sheetName val="F6. Related party transactions"/>
      <sheetName val="F7. Provisions"/>
      <sheetName val="F9. Pass throughs"/>
      <sheetName val="F10. Assets"/>
      <sheetName val="Additional disclos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993</v>
          </cell>
        </row>
        <row r="11">
          <cell r="C11">
            <v>4484</v>
          </cell>
        </row>
        <row r="12">
          <cell r="C12">
            <v>97</v>
          </cell>
        </row>
        <row r="13">
          <cell r="C13">
            <v>257575</v>
          </cell>
        </row>
        <row r="25">
          <cell r="C25">
            <v>584993.17999999993</v>
          </cell>
        </row>
        <row r="26">
          <cell r="C26">
            <v>1981689.6300000001</v>
          </cell>
        </row>
        <row r="27">
          <cell r="C27">
            <v>51641.422628574859</v>
          </cell>
        </row>
        <row r="28">
          <cell r="C28">
            <v>1605285.4073714253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C12">
            <v>4359811.1680000005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 refreshError="1"/>
      <sheetData sheetId="1" refreshError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 refreshError="1"/>
      <sheetData sheetId="1">
        <row r="7">
          <cell r="B7" t="str">
            <v>ActewAGL Distribution</v>
          </cell>
        </row>
        <row r="8">
          <cell r="B8" t="str">
            <v>Ausgrid</v>
          </cell>
        </row>
        <row r="9">
          <cell r="B9" t="str">
            <v>AusNet (D)</v>
          </cell>
        </row>
        <row r="10">
          <cell r="B10" t="str">
            <v>AusNet (T)</v>
          </cell>
        </row>
        <row r="11">
          <cell r="B11" t="str">
            <v>CitiPower</v>
          </cell>
        </row>
        <row r="12">
          <cell r="B12" t="str">
            <v>Directlink</v>
          </cell>
        </row>
        <row r="13">
          <cell r="B13" t="str">
            <v>ElectraNet</v>
          </cell>
        </row>
        <row r="14">
          <cell r="B14" t="str">
            <v>Endeavour Energy</v>
          </cell>
        </row>
        <row r="15">
          <cell r="B15" t="str">
            <v>Energex</v>
          </cell>
        </row>
        <row r="16">
          <cell r="B16" t="str">
            <v>Ergon Energy</v>
          </cell>
        </row>
        <row r="17">
          <cell r="B17" t="str">
            <v>Essential Energy</v>
          </cell>
        </row>
        <row r="18">
          <cell r="B18" t="str">
            <v>Jemena Electricity</v>
          </cell>
        </row>
        <row r="19">
          <cell r="B19" t="str">
            <v>Murraylink</v>
          </cell>
        </row>
        <row r="20">
          <cell r="B20" t="str">
            <v>Power and Water</v>
          </cell>
        </row>
        <row r="21">
          <cell r="B21" t="str">
            <v>Powercor Australia</v>
          </cell>
        </row>
        <row r="22">
          <cell r="B22" t="str">
            <v>Powerlink</v>
          </cell>
        </row>
        <row r="23">
          <cell r="B23" t="str">
            <v>SA Power Networks</v>
          </cell>
        </row>
        <row r="24">
          <cell r="B24" t="str">
            <v>TasNetworks (D)</v>
          </cell>
        </row>
        <row r="25">
          <cell r="B25" t="str">
            <v>TasNetworks (T)</v>
          </cell>
        </row>
        <row r="26">
          <cell r="B26" t="str">
            <v>TransGrid</v>
          </cell>
        </row>
        <row r="27">
          <cell r="B27" t="str">
            <v>United Energy</v>
          </cell>
        </row>
      </sheetData>
      <sheetData sheetId="2" refreshError="1"/>
      <sheetData sheetId="3" refreshError="1"/>
      <sheetData sheetId="4">
        <row r="70">
          <cell r="C70">
            <v>5</v>
          </cell>
        </row>
      </sheetData>
      <sheetData sheetId="5" refreshError="1"/>
      <sheetData sheetId="6" refreshError="1"/>
      <sheetData sheetId="7">
        <row r="16">
          <cell r="AL16" t="str">
            <v>Australian Distribution Co. (Vic)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Rpt_Cat"/>
      <sheetName val="Spare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ICT"/>
      <sheetName val="Other_General"/>
      <sheetName val="Aggregations &amp; Alloc -&gt;"/>
      <sheetName val="Base_Forecast"/>
      <sheetName val="Reg_Forecasts"/>
      <sheetName val="Tenix_Overhead"/>
      <sheetName val="RIN_Direct_Forecast"/>
      <sheetName val="AusNet_Overheads"/>
      <sheetName val="Reg_Fcast_Total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ECM"/>
    </sheetNames>
    <sheetDataSet>
      <sheetData sheetId="0" refreshError="1"/>
      <sheetData sheetId="1" refreshError="1"/>
      <sheetData sheetId="2">
        <row r="16">
          <cell r="N16">
            <v>8.0000000000000293E-2</v>
          </cell>
          <cell r="O16">
            <v>2.320768831486042E-2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G10">
            <v>3.373148388254843E-2</v>
          </cell>
          <cell r="H10">
            <v>3.373148388254843E-2</v>
          </cell>
          <cell r="I10">
            <v>3.373148388254843E-2</v>
          </cell>
          <cell r="J10">
            <v>3.373148388254843E-2</v>
          </cell>
          <cell r="K10">
            <v>3.373148388254843E-2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Changelog"/>
      <sheetName val="Intro"/>
      <sheetName val="DMS input"/>
      <sheetName val="AER Amendments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AER - ASG - PTRM - HY2023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0">
          <cell r="G110">
            <v>0</v>
          </cell>
        </row>
      </sheetData>
      <sheetData sheetId="9">
        <row r="18">
          <cell r="G18">
            <v>2.6709869526696205E-2</v>
          </cell>
        </row>
      </sheetData>
      <sheetData sheetId="10">
        <row r="128">
          <cell r="C128" t="str">
            <v>Transmission Pipelines</v>
          </cell>
        </row>
      </sheetData>
      <sheetData sheetId="11">
        <row r="56">
          <cell r="G56">
            <v>-8.5659880905733843</v>
          </cell>
        </row>
      </sheetData>
      <sheetData sheetId="12"/>
      <sheetData sheetId="13">
        <row r="98">
          <cell r="G98">
            <v>1.5717119287957195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odel update"/>
      <sheetName val="Prop2022DistTar"/>
      <sheetName val="2022TarContForm"/>
      <sheetName val="2022RebalContForm"/>
      <sheetName val="ARS"/>
      <sheetName val="PTRM_Link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60.36</v>
          </cell>
          <cell r="C6">
            <v>62.68</v>
          </cell>
        </row>
        <row r="8">
          <cell r="B8">
            <v>9.36</v>
          </cell>
          <cell r="C8">
            <v>9.7200000000000006</v>
          </cell>
        </row>
        <row r="9">
          <cell r="B9">
            <v>181.09</v>
          </cell>
          <cell r="C9">
            <v>188.06</v>
          </cell>
        </row>
      </sheetData>
      <sheetData sheetId="6">
        <row r="23">
          <cell r="C23">
            <v>164.57758749999999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E1. Expenditure Summary"/>
      <sheetName val="E11. Labour"/>
      <sheetName val="E21. ARS"/>
      <sheetName val="N1. Demand"/>
      <sheetName val="N2. Network characteristics"/>
      <sheetName val="S1.1. Customer numbers"/>
      <sheetName val="S1.2. Customer numbers"/>
      <sheetName val="S10. Supply quality"/>
      <sheetName val="S11. Network reliability"/>
      <sheetName val="S14. Network integrity"/>
      <sheetName val="F1. Income"/>
      <sheetName val="F2. Capex"/>
      <sheetName val="F3. Revenue"/>
      <sheetName val="F4. Opex"/>
      <sheetName val="F6. Related party transactions"/>
      <sheetName val="F7. Provisions"/>
      <sheetName val="F9. Pass throughs"/>
      <sheetName val="F10. Assets"/>
      <sheetName val="Additional disclosures"/>
      <sheetName val="AusNet Gas Distribution 2011-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H10">
            <v>4873</v>
          </cell>
          <cell r="I10">
            <v>4895</v>
          </cell>
          <cell r="J10">
            <v>4260</v>
          </cell>
          <cell r="K10">
            <v>2997</v>
          </cell>
        </row>
        <row r="11">
          <cell r="H11">
            <v>11927</v>
          </cell>
          <cell r="I11">
            <v>13391</v>
          </cell>
          <cell r="J11">
            <v>12370</v>
          </cell>
          <cell r="K11">
            <v>8213</v>
          </cell>
        </row>
        <row r="12">
          <cell r="H12">
            <v>0</v>
          </cell>
          <cell r="I12">
            <v>0</v>
          </cell>
          <cell r="J12">
            <v>174</v>
          </cell>
          <cell r="K12">
            <v>181</v>
          </cell>
        </row>
        <row r="13">
          <cell r="H13">
            <v>233073</v>
          </cell>
          <cell r="I13">
            <v>236250</v>
          </cell>
          <cell r="J13">
            <v>253643</v>
          </cell>
          <cell r="K13">
            <v>235312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24">
          <cell r="H24">
            <v>895849.5</v>
          </cell>
          <cell r="I24">
            <v>945129.26</v>
          </cell>
          <cell r="J24">
            <v>1024514.7199999999</v>
          </cell>
          <cell r="K24">
            <v>870725.48</v>
          </cell>
        </row>
        <row r="25">
          <cell r="H25">
            <v>1459273.5899999999</v>
          </cell>
          <cell r="I25">
            <v>1719767.92</v>
          </cell>
          <cell r="J25">
            <v>1628136.49</v>
          </cell>
          <cell r="K25">
            <v>1639933.97</v>
          </cell>
        </row>
        <row r="26">
          <cell r="H26">
            <v>0</v>
          </cell>
          <cell r="I26">
            <v>0</v>
          </cell>
          <cell r="J26">
            <v>85444.40216545912</v>
          </cell>
          <cell r="K26">
            <v>91548.275262681287</v>
          </cell>
        </row>
        <row r="27">
          <cell r="H27">
            <v>1011147.85</v>
          </cell>
          <cell r="I27">
            <v>904774.34000000008</v>
          </cell>
          <cell r="J27">
            <v>1346291.067834541</v>
          </cell>
          <cell r="K27">
            <v>1335430.9864620562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2">
          <cell r="C12">
            <v>661561.21105829184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7D8E-AF8E-4091-898D-0BEC6D4B6247}">
  <dimension ref="C1:I20"/>
  <sheetViews>
    <sheetView tabSelected="1" zoomScale="85" zoomScaleNormal="85" workbookViewId="0">
      <selection activeCell="E17" sqref="E17"/>
    </sheetView>
  </sheetViews>
  <sheetFormatPr defaultRowHeight="14.4" x14ac:dyDescent="0.3"/>
  <cols>
    <col min="1" max="1" width="5.21875" customWidth="1"/>
    <col min="2" max="2" width="4.21875" customWidth="1"/>
    <col min="3" max="3" width="45.21875" customWidth="1"/>
    <col min="13" max="13" width="40.21875" customWidth="1"/>
  </cols>
  <sheetData>
    <row r="1" spans="3:9" x14ac:dyDescent="0.3">
      <c r="C1" s="1" t="s">
        <v>78</v>
      </c>
    </row>
    <row r="3" spans="3:9" x14ac:dyDescent="0.3">
      <c r="C3" t="s">
        <v>106</v>
      </c>
      <c r="D3" s="23">
        <v>2018</v>
      </c>
      <c r="E3" s="23">
        <v>2019</v>
      </c>
      <c r="F3" s="23">
        <v>2020</v>
      </c>
      <c r="G3" s="23">
        <v>2021</v>
      </c>
      <c r="H3" s="23">
        <v>2022</v>
      </c>
      <c r="I3" s="23" t="s">
        <v>14</v>
      </c>
    </row>
    <row r="4" spans="3:9" x14ac:dyDescent="0.3">
      <c r="C4" t="s">
        <v>103</v>
      </c>
      <c r="D4" s="78">
        <v>114.1</v>
      </c>
      <c r="E4" s="78">
        <v>116.2</v>
      </c>
      <c r="F4" s="78">
        <v>117.2</v>
      </c>
      <c r="G4" s="78">
        <v>121.3</v>
      </c>
      <c r="H4" s="78">
        <f>G4*(1+H5)</f>
        <v>131.00400000000002</v>
      </c>
      <c r="I4" s="78">
        <f>H4*(1+I5)</f>
        <v>134.04429999999999</v>
      </c>
    </row>
    <row r="5" spans="3:9" x14ac:dyDescent="0.3">
      <c r="C5" t="s">
        <v>104</v>
      </c>
      <c r="D5" s="76">
        <v>1.7841213202497874E-2</v>
      </c>
      <c r="E5" s="76">
        <v>1.8404907975460238E-2</v>
      </c>
      <c r="F5" s="76">
        <v>8.6058519793459354E-3</v>
      </c>
      <c r="G5" s="76">
        <v>3.4982935153583528E-2</v>
      </c>
      <c r="H5" s="76">
        <f>[5]ECM!N$16</f>
        <v>8.0000000000000293E-2</v>
      </c>
      <c r="I5" s="89">
        <f>[5]ECM!O$16</f>
        <v>2.320768831486042E-2</v>
      </c>
    </row>
    <row r="6" spans="3:9" x14ac:dyDescent="0.3">
      <c r="C6" t="s">
        <v>105</v>
      </c>
      <c r="D6" s="77">
        <f t="shared" ref="D6:G6" si="0">E6/(1+E5)</f>
        <v>0.85121112945496369</v>
      </c>
      <c r="E6" s="77">
        <f t="shared" si="0"/>
        <v>0.86687759196026992</v>
      </c>
      <c r="F6" s="77">
        <f t="shared" si="0"/>
        <v>0.8743378122008918</v>
      </c>
      <c r="G6" s="77">
        <f t="shared" si="0"/>
        <v>0.90492471518744166</v>
      </c>
      <c r="H6" s="77">
        <f>I6/(1+I5)</f>
        <v>0.97731869240243729</v>
      </c>
      <c r="I6" s="77">
        <v>1</v>
      </c>
    </row>
    <row r="7" spans="3:9" x14ac:dyDescent="0.3">
      <c r="C7" s="28" t="s">
        <v>126</v>
      </c>
      <c r="D7" s="77"/>
      <c r="E7" s="77"/>
      <c r="F7" s="77"/>
      <c r="G7" s="77"/>
      <c r="H7" s="77"/>
      <c r="I7" s="77"/>
    </row>
    <row r="8" spans="3:9" x14ac:dyDescent="0.3">
      <c r="D8" s="76"/>
      <c r="E8" s="76"/>
      <c r="F8" s="76"/>
      <c r="G8" s="76"/>
      <c r="H8" s="76"/>
      <c r="I8" s="76"/>
    </row>
    <row r="9" spans="3:9" x14ac:dyDescent="0.3">
      <c r="C9" t="s">
        <v>124</v>
      </c>
    </row>
    <row r="10" spans="3:9" x14ac:dyDescent="0.3">
      <c r="D10" s="90">
        <f>(126.1/118.8)^0.5-1</f>
        <v>3.0265893567195334E-2</v>
      </c>
    </row>
    <row r="14" spans="3:9" x14ac:dyDescent="0.3">
      <c r="C14" s="68" t="s">
        <v>77</v>
      </c>
    </row>
    <row r="16" spans="3:9" x14ac:dyDescent="0.3">
      <c r="C16" s="33" t="s">
        <v>29</v>
      </c>
      <c r="D16" s="35" t="s">
        <v>24</v>
      </c>
      <c r="E16" s="35" t="s">
        <v>15</v>
      </c>
      <c r="F16" s="35" t="s">
        <v>16</v>
      </c>
      <c r="G16" s="35" t="s">
        <v>17</v>
      </c>
      <c r="H16" s="35" t="s">
        <v>18</v>
      </c>
      <c r="I16" s="35" t="s">
        <v>19</v>
      </c>
    </row>
    <row r="17" spans="3:9" x14ac:dyDescent="0.3">
      <c r="C17" s="33" t="s">
        <v>30</v>
      </c>
      <c r="D17" s="33"/>
      <c r="E17" s="86">
        <f ca="1">'[6]X factors'!G$10</f>
        <v>3.373148388254843E-2</v>
      </c>
      <c r="F17" s="86">
        <f ca="1">'[6]X factors'!H$10</f>
        <v>3.373148388254843E-2</v>
      </c>
      <c r="G17" s="86">
        <f ca="1">'[6]X factors'!I$10</f>
        <v>3.373148388254843E-2</v>
      </c>
      <c r="H17" s="86">
        <f ca="1">'[6]X factors'!J$10</f>
        <v>3.373148388254843E-2</v>
      </c>
      <c r="I17" s="86">
        <f ca="1">'[6]X factors'!K$10</f>
        <v>3.373148388254843E-2</v>
      </c>
    </row>
    <row r="18" spans="3:9" x14ac:dyDescent="0.3">
      <c r="C18" s="33" t="s">
        <v>31</v>
      </c>
      <c r="D18" s="32">
        <v>1</v>
      </c>
      <c r="E18" s="32">
        <f ca="1">D18*(1+E17)</f>
        <v>1.0337314838825484</v>
      </c>
      <c r="F18" s="32">
        <f t="shared" ref="F18:I18" ca="1" si="1">E18*(1+F17)</f>
        <v>1.0686007807700155</v>
      </c>
      <c r="G18" s="32">
        <f t="shared" ca="1" si="1"/>
        <v>1.1046462707834379</v>
      </c>
      <c r="H18" s="32">
        <f t="shared" ca="1" si="1"/>
        <v>1.1419076286622867</v>
      </c>
      <c r="I18" s="32">
        <f t="shared" ca="1" si="1"/>
        <v>1.1804258674338677</v>
      </c>
    </row>
    <row r="19" spans="3:9" x14ac:dyDescent="0.3">
      <c r="C19" s="30"/>
      <c r="D19" s="30"/>
      <c r="E19" s="17"/>
      <c r="F19" s="17"/>
      <c r="G19" s="17"/>
      <c r="H19" s="17"/>
      <c r="I19" s="17"/>
    </row>
    <row r="20" spans="3:9" x14ac:dyDescent="0.3">
      <c r="C20" t="s">
        <v>125</v>
      </c>
      <c r="D20" s="30"/>
      <c r="E20" s="30"/>
      <c r="F20" s="30"/>
      <c r="G20" s="30"/>
      <c r="H20" s="30"/>
      <c r="I20" s="30"/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6573-B5D9-4766-9AC4-DDCAA15B968D}">
  <dimension ref="A1:K57"/>
  <sheetViews>
    <sheetView zoomScale="80" zoomScaleNormal="80" workbookViewId="0">
      <selection activeCell="E40" sqref="E40"/>
    </sheetView>
  </sheetViews>
  <sheetFormatPr defaultRowHeight="14.4" outlineLevelCol="1" x14ac:dyDescent="0.3"/>
  <cols>
    <col min="1" max="1" width="10.5546875" customWidth="1"/>
    <col min="2" max="2" width="71.5546875" bestFit="1" customWidth="1"/>
    <col min="3" max="3" width="13.21875" customWidth="1" outlineLevel="1"/>
    <col min="4" max="5" width="11.77734375" customWidth="1"/>
    <col min="6" max="10" width="11" customWidth="1"/>
  </cols>
  <sheetData>
    <row r="1" spans="1:11" x14ac:dyDescent="0.3">
      <c r="B1" s="1" t="s">
        <v>3</v>
      </c>
      <c r="C1" s="1"/>
    </row>
    <row r="2" spans="1:11" x14ac:dyDescent="0.3">
      <c r="C2" s="69" t="s">
        <v>73</v>
      </c>
      <c r="D2" s="96" t="s">
        <v>62</v>
      </c>
      <c r="E2" s="96"/>
      <c r="F2" s="96"/>
      <c r="G2" s="96"/>
      <c r="H2" s="96"/>
      <c r="I2" s="96"/>
      <c r="J2" s="96"/>
    </row>
    <row r="3" spans="1:11" x14ac:dyDescent="0.3">
      <c r="B3" t="s">
        <v>4</v>
      </c>
      <c r="C3" s="69" t="s">
        <v>79</v>
      </c>
      <c r="D3" s="69" t="s">
        <v>68</v>
      </c>
      <c r="E3" s="69" t="s">
        <v>14</v>
      </c>
      <c r="F3" s="70" t="s">
        <v>15</v>
      </c>
      <c r="G3" s="69" t="s">
        <v>16</v>
      </c>
      <c r="H3" s="69" t="s">
        <v>17</v>
      </c>
      <c r="I3" s="69" t="s">
        <v>18</v>
      </c>
      <c r="J3" s="69" t="s">
        <v>19</v>
      </c>
    </row>
    <row r="4" spans="1:11" x14ac:dyDescent="0.3">
      <c r="A4" t="s">
        <v>64</v>
      </c>
      <c r="B4" t="s">
        <v>0</v>
      </c>
      <c r="C4" s="55">
        <f>AVERAGE('2018-2021 Historical'!J6:M6)</f>
        <v>154.25</v>
      </c>
      <c r="D4" s="55">
        <f>$C4</f>
        <v>154.25</v>
      </c>
      <c r="E4" s="16">
        <f>$C4*0.5</f>
        <v>77.125</v>
      </c>
      <c r="F4" s="72">
        <f t="shared" ref="F4:J6" si="0">$C4</f>
        <v>154.25</v>
      </c>
      <c r="G4" s="16">
        <f t="shared" si="0"/>
        <v>154.25</v>
      </c>
      <c r="H4" s="16">
        <f t="shared" si="0"/>
        <v>154.25</v>
      </c>
      <c r="I4" s="16">
        <f t="shared" si="0"/>
        <v>154.25</v>
      </c>
      <c r="J4" s="16">
        <f t="shared" si="0"/>
        <v>154.25</v>
      </c>
    </row>
    <row r="5" spans="1:11" x14ac:dyDescent="0.3">
      <c r="A5" t="s">
        <v>64</v>
      </c>
      <c r="B5" t="s">
        <v>1</v>
      </c>
      <c r="C5" s="55">
        <f>AVERAGE('2018-2021 Historical'!J7:M7)</f>
        <v>6682</v>
      </c>
      <c r="D5" s="55">
        <f t="shared" ref="D5:D6" si="1">$C5</f>
        <v>6682</v>
      </c>
      <c r="E5" s="16">
        <f>$C5*0.5</f>
        <v>3341</v>
      </c>
      <c r="F5" s="72">
        <f t="shared" si="0"/>
        <v>6682</v>
      </c>
      <c r="G5" s="16">
        <f t="shared" si="0"/>
        <v>6682</v>
      </c>
      <c r="H5" s="16">
        <f t="shared" si="0"/>
        <v>6682</v>
      </c>
      <c r="I5" s="16">
        <f t="shared" si="0"/>
        <v>6682</v>
      </c>
      <c r="J5" s="16">
        <f t="shared" si="0"/>
        <v>6682</v>
      </c>
    </row>
    <row r="6" spans="1:11" x14ac:dyDescent="0.3">
      <c r="A6" t="s">
        <v>64</v>
      </c>
      <c r="B6" t="s">
        <v>13</v>
      </c>
      <c r="C6" s="55">
        <f>AVERAGE('2018-2021 Historical'!J8:M8)</f>
        <v>2267.25</v>
      </c>
      <c r="D6" s="55">
        <f t="shared" si="1"/>
        <v>2267.25</v>
      </c>
      <c r="E6" s="16">
        <f>$C6*0.5</f>
        <v>1133.625</v>
      </c>
      <c r="F6" s="72">
        <f t="shared" si="0"/>
        <v>2267.25</v>
      </c>
      <c r="G6" s="16">
        <f t="shared" si="0"/>
        <v>2267.25</v>
      </c>
      <c r="H6" s="16">
        <f t="shared" si="0"/>
        <v>2267.25</v>
      </c>
      <c r="I6" s="16">
        <f t="shared" si="0"/>
        <v>2267.25</v>
      </c>
      <c r="J6" s="16">
        <f t="shared" si="0"/>
        <v>2267.25</v>
      </c>
    </row>
    <row r="7" spans="1:11" x14ac:dyDescent="0.3">
      <c r="A7" t="s">
        <v>64</v>
      </c>
      <c r="B7" t="s">
        <v>2</v>
      </c>
      <c r="C7" s="55">
        <f>AVERAGE('2018-2021 Historical'!J9:M9)</f>
        <v>242924.75</v>
      </c>
      <c r="D7" s="55">
        <f>AVERAGE('2018-2021 Historical'!J9:M9,'New Reference Service Fees'!K12)</f>
        <v>250585.8</v>
      </c>
      <c r="E7" s="16">
        <f>D7*0.5*'Customer growth'!H7</f>
        <v>126601.48890517511</v>
      </c>
      <c r="F7" s="72">
        <f>$D7*'Customer growth'!I7</f>
        <v>257400.54316757669</v>
      </c>
      <c r="G7" s="16">
        <f>$D7*'Customer growth'!J7</f>
        <v>259844.80486150132</v>
      </c>
      <c r="H7" s="16">
        <f>$D7*'Customer growth'!K7</f>
        <v>261264.56175497736</v>
      </c>
      <c r="I7" s="16">
        <f>$D7*'Customer growth'!L7</f>
        <v>261295.72726904787</v>
      </c>
      <c r="J7" s="16">
        <f>$D7*'Customer growth'!M7</f>
        <v>260478.61946842572</v>
      </c>
      <c r="K7" t="s">
        <v>72</v>
      </c>
    </row>
    <row r="8" spans="1:11" x14ac:dyDescent="0.3">
      <c r="A8" t="s">
        <v>64</v>
      </c>
      <c r="B8" t="s">
        <v>20</v>
      </c>
      <c r="C8" s="55">
        <f>AVERAGE('2018-2021 Historical'!J10:M10)</f>
        <v>0</v>
      </c>
      <c r="D8" s="55"/>
      <c r="E8" s="16"/>
      <c r="F8" s="65"/>
      <c r="G8" s="64"/>
      <c r="H8" s="64"/>
      <c r="I8" s="64"/>
      <c r="J8" s="64"/>
    </row>
    <row r="9" spans="1:11" x14ac:dyDescent="0.3">
      <c r="A9" s="82" t="s">
        <v>65</v>
      </c>
      <c r="B9" t="s">
        <v>26</v>
      </c>
      <c r="C9" s="81" t="s">
        <v>76</v>
      </c>
      <c r="D9">
        <v>0</v>
      </c>
      <c r="E9" s="16">
        <v>0</v>
      </c>
      <c r="F9" s="72">
        <f>'New Reference Service Fees'!$K$5</f>
        <v>19793.25</v>
      </c>
      <c r="G9" s="16">
        <f>'New Reference Service Fees'!$K$5</f>
        <v>19793.25</v>
      </c>
      <c r="H9" s="16">
        <f>'New Reference Service Fees'!$K$5</f>
        <v>19793.25</v>
      </c>
      <c r="I9" s="16">
        <f>'New Reference Service Fees'!$K$5</f>
        <v>19793.25</v>
      </c>
      <c r="J9" s="16">
        <f>'New Reference Service Fees'!$K$5</f>
        <v>19793.25</v>
      </c>
      <c r="K9" t="s">
        <v>69</v>
      </c>
    </row>
    <row r="10" spans="1:11" x14ac:dyDescent="0.3">
      <c r="A10" s="82" t="s">
        <v>65</v>
      </c>
      <c r="B10" t="s">
        <v>27</v>
      </c>
      <c r="C10" s="81" t="s">
        <v>76</v>
      </c>
      <c r="D10">
        <v>0</v>
      </c>
      <c r="E10" s="16">
        <v>0</v>
      </c>
      <c r="F10" s="72">
        <f>'New Reference Service Fees'!$K$6</f>
        <v>2136.75</v>
      </c>
      <c r="G10" s="16">
        <f>'New Reference Service Fees'!$K$6</f>
        <v>2136.75</v>
      </c>
      <c r="H10" s="16">
        <f>'New Reference Service Fees'!$K$6</f>
        <v>2136.75</v>
      </c>
      <c r="I10" s="16">
        <f>'New Reference Service Fees'!$K$6</f>
        <v>2136.75</v>
      </c>
      <c r="J10" s="16">
        <f>'New Reference Service Fees'!$K$6</f>
        <v>2136.75</v>
      </c>
      <c r="K10" t="s">
        <v>69</v>
      </c>
    </row>
    <row r="11" spans="1:11" x14ac:dyDescent="0.3">
      <c r="A11" s="82" t="s">
        <v>65</v>
      </c>
      <c r="B11" t="s">
        <v>28</v>
      </c>
      <c r="C11" s="81" t="s">
        <v>76</v>
      </c>
      <c r="D11">
        <v>0</v>
      </c>
      <c r="E11" s="16">
        <v>0</v>
      </c>
      <c r="F11" s="72">
        <f>'New Reference Service Fees'!$K$10</f>
        <v>294</v>
      </c>
      <c r="G11" s="16">
        <f>'New Reference Service Fees'!$K$10</f>
        <v>294</v>
      </c>
      <c r="H11" s="16">
        <f>'New Reference Service Fees'!$K$10</f>
        <v>294</v>
      </c>
      <c r="I11" s="16">
        <f>'New Reference Service Fees'!$K$10</f>
        <v>294</v>
      </c>
      <c r="J11" s="16">
        <f>'New Reference Service Fees'!$K$10</f>
        <v>294</v>
      </c>
      <c r="K11" t="s">
        <v>69</v>
      </c>
    </row>
    <row r="12" spans="1:11" ht="15" thickBot="1" x14ac:dyDescent="0.35">
      <c r="B12" s="1" t="s">
        <v>63</v>
      </c>
      <c r="C12" s="53">
        <f t="shared" ref="C12:J12" si="2">SUM(C4:C11)</f>
        <v>252028.25</v>
      </c>
      <c r="D12" s="53">
        <f t="shared" si="2"/>
        <v>259689.3</v>
      </c>
      <c r="E12" s="53">
        <f>SUM(E4:E11)</f>
        <v>131153.23890517512</v>
      </c>
      <c r="F12" s="54">
        <f t="shared" si="2"/>
        <v>288728.04316757666</v>
      </c>
      <c r="G12" s="53">
        <f t="shared" si="2"/>
        <v>291172.30486150132</v>
      </c>
      <c r="H12" s="53">
        <f t="shared" si="2"/>
        <v>292592.06175497733</v>
      </c>
      <c r="I12" s="53">
        <f t="shared" si="2"/>
        <v>292623.22726904787</v>
      </c>
      <c r="J12" s="53">
        <f t="shared" si="2"/>
        <v>291806.11946842575</v>
      </c>
    </row>
    <row r="13" spans="1:11" ht="15" thickTop="1" x14ac:dyDescent="0.3"/>
    <row r="15" spans="1:11" x14ac:dyDescent="0.3">
      <c r="D15" s="96" t="s">
        <v>66</v>
      </c>
      <c r="E15" s="96"/>
      <c r="F15" s="96"/>
      <c r="G15" s="96"/>
      <c r="H15" s="96"/>
      <c r="I15" s="96"/>
      <c r="J15" s="96"/>
    </row>
    <row r="16" spans="1:11" x14ac:dyDescent="0.3">
      <c r="B16" t="s">
        <v>4</v>
      </c>
      <c r="D16" s="69" t="s">
        <v>68</v>
      </c>
      <c r="E16" s="69" t="s">
        <v>14</v>
      </c>
      <c r="F16" s="70" t="s">
        <v>15</v>
      </c>
      <c r="G16" s="69" t="s">
        <v>16</v>
      </c>
      <c r="H16" s="69" t="s">
        <v>17</v>
      </c>
      <c r="I16" s="69" t="s">
        <v>18</v>
      </c>
      <c r="J16" s="69" t="s">
        <v>19</v>
      </c>
    </row>
    <row r="17" spans="1:11" x14ac:dyDescent="0.3">
      <c r="A17" t="s">
        <v>64</v>
      </c>
      <c r="B17" t="s">
        <v>0</v>
      </c>
      <c r="D17" s="51">
        <f>'Proposed ARS Tariffs'!D5</f>
        <v>193.75180394424675</v>
      </c>
      <c r="E17" s="51">
        <f>'Proposed ARS Tariffs'!E5</f>
        <v>193.75180394424675</v>
      </c>
      <c r="F17" s="52">
        <f>'Proposed ARS Tariffs'!F5</f>
        <v>193.75180394424675</v>
      </c>
      <c r="G17" s="51">
        <f>'Proposed ARS Tariffs'!G5</f>
        <v>193.75180394424675</v>
      </c>
      <c r="H17" s="51">
        <f>'Proposed ARS Tariffs'!H5</f>
        <v>193.75180394424675</v>
      </c>
      <c r="I17" s="51">
        <f>'Proposed ARS Tariffs'!I5</f>
        <v>193.75180394424675</v>
      </c>
      <c r="J17" s="51">
        <f>'Proposed ARS Tariffs'!J5</f>
        <v>193.75180394424675</v>
      </c>
    </row>
    <row r="18" spans="1:11" x14ac:dyDescent="0.3">
      <c r="A18" t="s">
        <v>64</v>
      </c>
      <c r="B18" t="s">
        <v>1</v>
      </c>
      <c r="D18" s="51">
        <f>'Proposed ARS Tariffs'!D6</f>
        <v>64.577066208791805</v>
      </c>
      <c r="E18" s="51">
        <f>'Proposed ARS Tariffs'!E6</f>
        <v>64.577066208791805</v>
      </c>
      <c r="F18" s="52">
        <f>'Proposed ARS Tariffs'!F6</f>
        <v>64.577066208791805</v>
      </c>
      <c r="G18" s="51">
        <f>'Proposed ARS Tariffs'!G6</f>
        <v>64.577066208791805</v>
      </c>
      <c r="H18" s="51">
        <f>'Proposed ARS Tariffs'!H6</f>
        <v>64.577066208791805</v>
      </c>
      <c r="I18" s="51">
        <f>'Proposed ARS Tariffs'!I6</f>
        <v>64.577066208791805</v>
      </c>
      <c r="J18" s="51">
        <f>'Proposed ARS Tariffs'!J6</f>
        <v>64.577066208791805</v>
      </c>
    </row>
    <row r="19" spans="1:11" x14ac:dyDescent="0.3">
      <c r="A19" t="s">
        <v>64</v>
      </c>
      <c r="B19" t="s">
        <v>13</v>
      </c>
      <c r="D19" s="51">
        <f>'Proposed ARS Tariffs'!D7</f>
        <v>64.577066208791805</v>
      </c>
      <c r="E19" s="51">
        <f>'Proposed ARS Tariffs'!E7</f>
        <v>64.577066208791805</v>
      </c>
      <c r="F19" s="52">
        <f>'Proposed ARS Tariffs'!F7</f>
        <v>64.577066208791805</v>
      </c>
      <c r="G19" s="51">
        <f>'Proposed ARS Tariffs'!G7</f>
        <v>64.577066208791805</v>
      </c>
      <c r="H19" s="51">
        <f>'Proposed ARS Tariffs'!H7</f>
        <v>64.577066208791805</v>
      </c>
      <c r="I19" s="51">
        <f>'Proposed ARS Tariffs'!I7</f>
        <v>64.577066208791805</v>
      </c>
      <c r="J19" s="51">
        <f>'Proposed ARS Tariffs'!J7</f>
        <v>64.577066208791805</v>
      </c>
    </row>
    <row r="20" spans="1:11" x14ac:dyDescent="0.3">
      <c r="A20" t="s">
        <v>64</v>
      </c>
      <c r="B20" t="s">
        <v>2</v>
      </c>
      <c r="D20" s="51">
        <f>'Proposed ARS Tariffs'!D8</f>
        <v>10.014184485473139</v>
      </c>
      <c r="E20" s="51">
        <f>'Proposed ARS Tariffs'!E8</f>
        <v>10.014184485473139</v>
      </c>
      <c r="F20" s="52">
        <f>'Proposed ARS Tariffs'!F8</f>
        <v>6.9795091422679967</v>
      </c>
      <c r="G20" s="51">
        <f>'Proposed ARS Tariffs'!G8</f>
        <v>7.192652255624715</v>
      </c>
      <c r="H20" s="51">
        <f>'Proposed ARS Tariffs'!H8</f>
        <v>7.3691651291503613</v>
      </c>
      <c r="I20" s="51">
        <f>'Proposed ARS Tariffs'!I8</f>
        <v>7.5607028109679684</v>
      </c>
      <c r="J20" s="51">
        <f>'Proposed ARS Tariffs'!J8</f>
        <v>7.4953780178763694</v>
      </c>
      <c r="K20" t="s">
        <v>71</v>
      </c>
    </row>
    <row r="21" spans="1:11" x14ac:dyDescent="0.3">
      <c r="A21" t="s">
        <v>64</v>
      </c>
      <c r="B21" t="s">
        <v>20</v>
      </c>
      <c r="D21" s="51"/>
      <c r="E21" s="73"/>
      <c r="F21" s="67"/>
      <c r="G21" s="66"/>
      <c r="H21" s="66"/>
      <c r="I21" s="66"/>
      <c r="J21" s="66"/>
    </row>
    <row r="22" spans="1:11" x14ac:dyDescent="0.3">
      <c r="A22" s="82" t="s">
        <v>65</v>
      </c>
      <c r="B22" t="s">
        <v>26</v>
      </c>
      <c r="D22" s="51">
        <v>0</v>
      </c>
      <c r="E22" s="51">
        <v>0</v>
      </c>
      <c r="F22" s="52">
        <f>'Proposed ARS Tariffs'!F9</f>
        <v>141.0322178299904</v>
      </c>
      <c r="G22" s="51">
        <f>'Proposed ARS Tariffs'!G9</f>
        <v>141.17799572316753</v>
      </c>
      <c r="H22" s="51">
        <f>'Proposed ARS Tariffs'!H9</f>
        <v>141.32392429960319</v>
      </c>
      <c r="I22" s="51">
        <f>'Proposed ARS Tariffs'!I9</f>
        <v>141.47000371505106</v>
      </c>
      <c r="J22" s="51">
        <f>'Proposed ARS Tariffs'!J9</f>
        <v>141.61623412542582</v>
      </c>
      <c r="K22" t="s">
        <v>70</v>
      </c>
    </row>
    <row r="23" spans="1:11" x14ac:dyDescent="0.3">
      <c r="A23" s="82" t="s">
        <v>65</v>
      </c>
      <c r="B23" t="s">
        <v>27</v>
      </c>
      <c r="D23" s="51">
        <v>0</v>
      </c>
      <c r="E23" s="51">
        <v>0</v>
      </c>
      <c r="F23" s="52">
        <f>'Proposed ARS Tariffs'!F10</f>
        <v>822.44021375548164</v>
      </c>
      <c r="G23" s="51">
        <f>'Proposed ARS Tariffs'!G10</f>
        <v>823.29032873963342</v>
      </c>
      <c r="H23" s="51">
        <f>'Proposed ARS Tariffs'!H10</f>
        <v>824.14132244478424</v>
      </c>
      <c r="I23" s="51">
        <f>'Proposed ARS Tariffs'!I10</f>
        <v>824.9931957792237</v>
      </c>
      <c r="J23" s="51">
        <f>'Proposed ARS Tariffs'!J10</f>
        <v>825.84594965218025</v>
      </c>
      <c r="K23" t="s">
        <v>70</v>
      </c>
    </row>
    <row r="24" spans="1:11" x14ac:dyDescent="0.3">
      <c r="A24" s="82" t="s">
        <v>65</v>
      </c>
      <c r="B24" t="s">
        <v>28</v>
      </c>
      <c r="D24" s="51">
        <v>0</v>
      </c>
      <c r="E24" s="51">
        <v>0</v>
      </c>
      <c r="F24" s="52">
        <f>'Proposed ARS Tariffs'!F11</f>
        <v>1001.6030824276567</v>
      </c>
      <c r="G24" s="51">
        <f>'Proposed ARS Tariffs'!G11</f>
        <v>1002.6383890363356</v>
      </c>
      <c r="H24" s="51">
        <f>'Proposed ARS Tariffs'!H11</f>
        <v>1003.6747657892591</v>
      </c>
      <c r="I24" s="51">
        <f>'Proposed ARS Tariffs'!I11</f>
        <v>1004.7122137925813</v>
      </c>
      <c r="J24" s="51">
        <f>'Proposed ARS Tariffs'!J11</f>
        <v>1005.7507341535999</v>
      </c>
      <c r="K24" t="s">
        <v>70</v>
      </c>
    </row>
    <row r="27" spans="1:11" x14ac:dyDescent="0.3">
      <c r="D27" s="96" t="s">
        <v>67</v>
      </c>
      <c r="E27" s="96"/>
      <c r="F27" s="96"/>
      <c r="G27" s="96"/>
      <c r="H27" s="96"/>
      <c r="I27" s="96"/>
      <c r="J27" s="96"/>
    </row>
    <row r="28" spans="1:11" x14ac:dyDescent="0.3">
      <c r="B28" t="s">
        <v>4</v>
      </c>
      <c r="D28" s="69" t="s">
        <v>68</v>
      </c>
      <c r="E28" s="69" t="s">
        <v>14</v>
      </c>
      <c r="F28" s="70" t="s">
        <v>15</v>
      </c>
      <c r="G28" s="69" t="s">
        <v>16</v>
      </c>
      <c r="H28" s="69" t="s">
        <v>17</v>
      </c>
      <c r="I28" s="69" t="s">
        <v>18</v>
      </c>
      <c r="J28" s="69" t="s">
        <v>19</v>
      </c>
    </row>
    <row r="29" spans="1:11" x14ac:dyDescent="0.3">
      <c r="A29" t="s">
        <v>64</v>
      </c>
      <c r="B29" t="s">
        <v>0</v>
      </c>
      <c r="D29" s="56">
        <f t="shared" ref="D29" si="3">D4*D17</f>
        <v>29886.21575840006</v>
      </c>
      <c r="E29" s="56">
        <f t="shared" ref="D29:J36" si="4">E4*E17</f>
        <v>14943.10787920003</v>
      </c>
      <c r="F29" s="57">
        <f t="shared" si="4"/>
        <v>29886.21575840006</v>
      </c>
      <c r="G29" s="56">
        <f t="shared" si="4"/>
        <v>29886.21575840006</v>
      </c>
      <c r="H29" s="56">
        <f t="shared" si="4"/>
        <v>29886.21575840006</v>
      </c>
      <c r="I29" s="56">
        <f t="shared" si="4"/>
        <v>29886.21575840006</v>
      </c>
      <c r="J29" s="56">
        <f t="shared" si="4"/>
        <v>29886.21575840006</v>
      </c>
    </row>
    <row r="30" spans="1:11" x14ac:dyDescent="0.3">
      <c r="A30" t="s">
        <v>64</v>
      </c>
      <c r="B30" t="s">
        <v>1</v>
      </c>
      <c r="D30" s="56">
        <f t="shared" ref="D30" si="5">D5*D18</f>
        <v>431503.95640714682</v>
      </c>
      <c r="E30" s="56">
        <f t="shared" si="4"/>
        <v>215751.97820357341</v>
      </c>
      <c r="F30" s="57">
        <f t="shared" si="4"/>
        <v>431503.95640714682</v>
      </c>
      <c r="G30" s="56">
        <f t="shared" si="4"/>
        <v>431503.95640714682</v>
      </c>
      <c r="H30" s="56">
        <f t="shared" si="4"/>
        <v>431503.95640714682</v>
      </c>
      <c r="I30" s="56">
        <f t="shared" si="4"/>
        <v>431503.95640714682</v>
      </c>
      <c r="J30" s="56">
        <f t="shared" si="4"/>
        <v>431503.95640714682</v>
      </c>
    </row>
    <row r="31" spans="1:11" x14ac:dyDescent="0.3">
      <c r="A31" t="s">
        <v>64</v>
      </c>
      <c r="B31" t="s">
        <v>13</v>
      </c>
      <c r="D31" s="56">
        <f t="shared" ref="D31" si="6">D6*D19</f>
        <v>146412.35336188323</v>
      </c>
      <c r="E31" s="56">
        <f t="shared" si="4"/>
        <v>73206.176680941615</v>
      </c>
      <c r="F31" s="57">
        <f t="shared" si="4"/>
        <v>146412.35336188323</v>
      </c>
      <c r="G31" s="56">
        <f t="shared" si="4"/>
        <v>146412.35336188323</v>
      </c>
      <c r="H31" s="56">
        <f t="shared" si="4"/>
        <v>146412.35336188323</v>
      </c>
      <c r="I31" s="56">
        <f t="shared" si="4"/>
        <v>146412.35336188323</v>
      </c>
      <c r="J31" s="56">
        <f t="shared" si="4"/>
        <v>146412.35336188323</v>
      </c>
    </row>
    <row r="32" spans="1:11" x14ac:dyDescent="0.3">
      <c r="A32" t="s">
        <v>64</v>
      </c>
      <c r="B32" t="s">
        <v>2</v>
      </c>
      <c r="D32" s="56">
        <f t="shared" ref="D32" si="7">D7*D20</f>
        <v>2509412.4306398747</v>
      </c>
      <c r="E32" s="56">
        <f t="shared" si="4"/>
        <v>1267810.6660320044</v>
      </c>
      <c r="F32" s="57">
        <f t="shared" si="4"/>
        <v>1796529.4442628496</v>
      </c>
      <c r="G32" s="56">
        <f t="shared" si="4"/>
        <v>1868973.3217994415</v>
      </c>
      <c r="H32" s="56">
        <f t="shared" si="4"/>
        <v>1925301.6979675302</v>
      </c>
      <c r="I32" s="56">
        <f t="shared" si="4"/>
        <v>1975579.3396570098</v>
      </c>
      <c r="J32" s="56">
        <f t="shared" si="4"/>
        <v>1952385.7184904218</v>
      </c>
    </row>
    <row r="33" spans="1:11" x14ac:dyDescent="0.3">
      <c r="A33" t="s">
        <v>64</v>
      </c>
      <c r="B33" t="s">
        <v>20</v>
      </c>
      <c r="D33" s="56">
        <f t="shared" si="4"/>
        <v>0</v>
      </c>
      <c r="E33" s="56">
        <f t="shared" si="4"/>
        <v>0</v>
      </c>
      <c r="F33" s="57">
        <f t="shared" si="4"/>
        <v>0</v>
      </c>
      <c r="G33" s="56">
        <f t="shared" si="4"/>
        <v>0</v>
      </c>
      <c r="H33" s="56">
        <f t="shared" si="4"/>
        <v>0</v>
      </c>
      <c r="I33" s="56">
        <f t="shared" si="4"/>
        <v>0</v>
      </c>
      <c r="J33" s="56">
        <f t="shared" si="4"/>
        <v>0</v>
      </c>
    </row>
    <row r="34" spans="1:11" x14ac:dyDescent="0.3">
      <c r="A34" s="82" t="s">
        <v>65</v>
      </c>
      <c r="B34" t="s">
        <v>26</v>
      </c>
      <c r="D34" s="56">
        <f t="shared" ref="D34" si="8">D9*D22</f>
        <v>0</v>
      </c>
      <c r="E34" s="56">
        <f t="shared" si="4"/>
        <v>0</v>
      </c>
      <c r="F34" s="57">
        <f t="shared" si="4"/>
        <v>2791485.9455634574</v>
      </c>
      <c r="G34" s="56">
        <f t="shared" si="4"/>
        <v>2794371.3638475859</v>
      </c>
      <c r="H34" s="56">
        <f t="shared" si="4"/>
        <v>2797259.764643121</v>
      </c>
      <c r="I34" s="56">
        <f t="shared" si="4"/>
        <v>2800151.1510329344</v>
      </c>
      <c r="J34" s="56">
        <f t="shared" si="4"/>
        <v>2803045.5261030844</v>
      </c>
    </row>
    <row r="35" spans="1:11" x14ac:dyDescent="0.3">
      <c r="A35" s="82" t="s">
        <v>65</v>
      </c>
      <c r="B35" t="s">
        <v>27</v>
      </c>
      <c r="D35" s="56">
        <f t="shared" ref="D35" si="9">D10*D23</f>
        <v>0</v>
      </c>
      <c r="E35" s="56">
        <f t="shared" si="4"/>
        <v>0</v>
      </c>
      <c r="F35" s="57">
        <f t="shared" si="4"/>
        <v>1757349.1267420254</v>
      </c>
      <c r="G35" s="56">
        <f t="shared" si="4"/>
        <v>1759165.6099344117</v>
      </c>
      <c r="H35" s="56">
        <f t="shared" si="4"/>
        <v>1760983.9707338926</v>
      </c>
      <c r="I35" s="56">
        <f t="shared" si="4"/>
        <v>1762804.2110812562</v>
      </c>
      <c r="J35" s="56">
        <f t="shared" si="4"/>
        <v>1764626.3329192961</v>
      </c>
    </row>
    <row r="36" spans="1:11" x14ac:dyDescent="0.3">
      <c r="A36" s="82" t="s">
        <v>65</v>
      </c>
      <c r="B36" t="s">
        <v>28</v>
      </c>
      <c r="D36" s="56">
        <f t="shared" ref="D36" si="10">D11*D24</f>
        <v>0</v>
      </c>
      <c r="E36" s="56">
        <f t="shared" si="4"/>
        <v>0</v>
      </c>
      <c r="F36" s="57">
        <f t="shared" si="4"/>
        <v>294471.30623373104</v>
      </c>
      <c r="G36" s="56">
        <f t="shared" si="4"/>
        <v>294775.68637668266</v>
      </c>
      <c r="H36" s="56">
        <f t="shared" si="4"/>
        <v>295080.38114204217</v>
      </c>
      <c r="I36" s="56">
        <f t="shared" si="4"/>
        <v>295385.39085501892</v>
      </c>
      <c r="J36" s="56">
        <f t="shared" si="4"/>
        <v>295690.71584115835</v>
      </c>
    </row>
    <row r="37" spans="1:11" ht="15" thickBot="1" x14ac:dyDescent="0.35">
      <c r="B37" s="1" t="s">
        <v>74</v>
      </c>
      <c r="C37" s="1"/>
      <c r="D37" s="58">
        <f t="shared" ref="D37" si="11">SUM(D29:D36)</f>
        <v>3117214.9561673049</v>
      </c>
      <c r="E37" s="58">
        <f>SUM(E29:E36)</f>
        <v>1571711.9287957195</v>
      </c>
      <c r="F37" s="59">
        <f t="shared" ref="F37" si="12">SUM(F29:F36)</f>
        <v>7247638.3483294947</v>
      </c>
      <c r="G37" s="58">
        <f t="shared" ref="G37" si="13">SUM(G29:G36)</f>
        <v>7325088.5074855518</v>
      </c>
      <c r="H37" s="58">
        <f t="shared" ref="H37" si="14">SUM(H29:H36)</f>
        <v>7386428.3400140163</v>
      </c>
      <c r="I37" s="58">
        <f t="shared" ref="I37" si="15">SUM(I29:I36)</f>
        <v>7441722.6181536494</v>
      </c>
      <c r="J37" s="58">
        <f t="shared" ref="J37" si="16">SUM(J29:J36)</f>
        <v>7423550.8188813906</v>
      </c>
    </row>
    <row r="38" spans="1:11" ht="15.6" thickTop="1" thickBot="1" x14ac:dyDescent="0.35">
      <c r="B38" s="1" t="s">
        <v>75</v>
      </c>
      <c r="C38" s="1"/>
      <c r="D38" s="62">
        <f t="shared" ref="D38" si="17">D37/10^6</f>
        <v>3.117214956167305</v>
      </c>
      <c r="E38" s="62">
        <f>E37/10^6</f>
        <v>1.5717119287957195</v>
      </c>
      <c r="F38" s="63">
        <f t="shared" ref="F38:J38" si="18">F37/10^6</f>
        <v>7.2476383483294944</v>
      </c>
      <c r="G38" s="62">
        <f t="shared" si="18"/>
        <v>7.3250885074855514</v>
      </c>
      <c r="H38" s="62">
        <f t="shared" si="18"/>
        <v>7.3864283400140165</v>
      </c>
      <c r="I38" s="62">
        <f t="shared" si="18"/>
        <v>7.4417226181536495</v>
      </c>
      <c r="J38" s="62">
        <f t="shared" si="18"/>
        <v>7.4235508188813908</v>
      </c>
      <c r="K38" s="51">
        <f>SUM(F38:J38)</f>
        <v>36.824428632864098</v>
      </c>
    </row>
    <row r="39" spans="1:11" ht="15" thickTop="1" x14ac:dyDescent="0.3">
      <c r="B39" s="1" t="s">
        <v>123</v>
      </c>
      <c r="F39" s="95">
        <f ca="1">F38*CPI!E18</f>
        <v>7.4921119444627102</v>
      </c>
      <c r="G39" s="95">
        <f ca="1">G38*CPI!F18</f>
        <v>7.8275952983085277</v>
      </c>
      <c r="H39" s="95">
        <f ca="1">H38*CPI!G18</f>
        <v>8.1593905202055836</v>
      </c>
      <c r="I39" s="95">
        <f ca="1">I38*CPI!H18</f>
        <v>8.4977598280583369</v>
      </c>
      <c r="J39" s="95">
        <f ca="1">J38*CPI!I18</f>
        <v>8.762951414817465</v>
      </c>
      <c r="K39" s="51">
        <f ca="1">SUM(F39:J39)</f>
        <v>40.739809005852621</v>
      </c>
    </row>
    <row r="40" spans="1:11" x14ac:dyDescent="0.3">
      <c r="B40" t="s">
        <v>127</v>
      </c>
      <c r="D40" s="51"/>
      <c r="E40" s="51" t="b">
        <f>E38='[7]X factors'!$G$98</f>
        <v>1</v>
      </c>
      <c r="F40" s="51"/>
      <c r="G40" s="51"/>
      <c r="H40" s="51"/>
      <c r="I40" s="51"/>
      <c r="J40" s="51"/>
    </row>
    <row r="41" spans="1:11" x14ac:dyDescent="0.3">
      <c r="D41" s="96" t="s">
        <v>87</v>
      </c>
      <c r="E41" s="96"/>
      <c r="F41" s="96"/>
      <c r="G41" s="96"/>
      <c r="H41" s="96"/>
      <c r="I41" s="96"/>
      <c r="J41" s="96"/>
    </row>
    <row r="42" spans="1:11" x14ac:dyDescent="0.3">
      <c r="B42" t="s">
        <v>4</v>
      </c>
      <c r="D42" s="69" t="s">
        <v>68</v>
      </c>
      <c r="E42" s="69" t="s">
        <v>14</v>
      </c>
      <c r="F42" s="70" t="s">
        <v>15</v>
      </c>
      <c r="G42" s="69" t="s">
        <v>16</v>
      </c>
      <c r="H42" s="69" t="s">
        <v>17</v>
      </c>
      <c r="I42" s="69" t="s">
        <v>18</v>
      </c>
      <c r="J42" s="69" t="s">
        <v>19</v>
      </c>
    </row>
    <row r="43" spans="1:11" x14ac:dyDescent="0.3">
      <c r="A43" t="s">
        <v>64</v>
      </c>
      <c r="B43" t="s">
        <v>0</v>
      </c>
      <c r="D43" s="56">
        <f t="shared" ref="D43:E43" si="19">D4*D17</f>
        <v>29886.21575840006</v>
      </c>
      <c r="E43" s="56">
        <f t="shared" si="19"/>
        <v>14943.10787920003</v>
      </c>
      <c r="F43" s="57">
        <f>F4*F17</f>
        <v>29886.21575840006</v>
      </c>
      <c r="G43" s="56">
        <f t="shared" ref="G43:J43" si="20">G4*G17</f>
        <v>29886.21575840006</v>
      </c>
      <c r="H43" s="56">
        <f t="shared" si="20"/>
        <v>29886.21575840006</v>
      </c>
      <c r="I43" s="56">
        <f t="shared" si="20"/>
        <v>29886.21575840006</v>
      </c>
      <c r="J43" s="56">
        <f t="shared" si="20"/>
        <v>29886.21575840006</v>
      </c>
    </row>
    <row r="44" spans="1:11" x14ac:dyDescent="0.3">
      <c r="A44" t="s">
        <v>64</v>
      </c>
      <c r="B44" t="s">
        <v>1</v>
      </c>
      <c r="D44" s="56">
        <f t="shared" ref="D44:J44" si="21">D5*D18</f>
        <v>431503.95640714682</v>
      </c>
      <c r="E44" s="56">
        <f t="shared" si="21"/>
        <v>215751.97820357341</v>
      </c>
      <c r="F44" s="57">
        <f t="shared" si="21"/>
        <v>431503.95640714682</v>
      </c>
      <c r="G44" s="56">
        <f t="shared" si="21"/>
        <v>431503.95640714682</v>
      </c>
      <c r="H44" s="56">
        <f t="shared" si="21"/>
        <v>431503.95640714682</v>
      </c>
      <c r="I44" s="56">
        <f t="shared" si="21"/>
        <v>431503.95640714682</v>
      </c>
      <c r="J44" s="56">
        <f t="shared" si="21"/>
        <v>431503.95640714682</v>
      </c>
    </row>
    <row r="45" spans="1:11" x14ac:dyDescent="0.3">
      <c r="A45" t="s">
        <v>64</v>
      </c>
      <c r="B45" t="s">
        <v>13</v>
      </c>
      <c r="D45" s="56">
        <f t="shared" ref="D45:J47" si="22">D6*D19</f>
        <v>146412.35336188323</v>
      </c>
      <c r="E45" s="56">
        <f t="shared" si="22"/>
        <v>73206.176680941615</v>
      </c>
      <c r="F45" s="57">
        <f t="shared" si="22"/>
        <v>146412.35336188323</v>
      </c>
      <c r="G45" s="56">
        <f t="shared" si="22"/>
        <v>146412.35336188323</v>
      </c>
      <c r="H45" s="56">
        <f t="shared" si="22"/>
        <v>146412.35336188323</v>
      </c>
      <c r="I45" s="56">
        <f t="shared" si="22"/>
        <v>146412.35336188323</v>
      </c>
      <c r="J45" s="56">
        <f t="shared" si="22"/>
        <v>146412.35336188323</v>
      </c>
    </row>
    <row r="46" spans="1:11" x14ac:dyDescent="0.3">
      <c r="A46" t="s">
        <v>64</v>
      </c>
      <c r="B46" t="s">
        <v>2</v>
      </c>
      <c r="D46" s="56">
        <f t="shared" si="22"/>
        <v>2509412.4306398747</v>
      </c>
      <c r="E46" s="56">
        <f t="shared" si="22"/>
        <v>1267810.6660320044</v>
      </c>
      <c r="F46" s="57">
        <f>F32/(1+'New Reference Service Fees'!$S$20)</f>
        <v>1717523.3692761469</v>
      </c>
      <c r="G46" s="56">
        <f>G32/(1+'New Reference Service Fees'!$S$20)</f>
        <v>1786781.3783933474</v>
      </c>
      <c r="H46" s="56">
        <f>H32/(1+'New Reference Service Fees'!$S$20)</f>
        <v>1840632.5984393214</v>
      </c>
      <c r="I46" s="56">
        <f>I32/(1+'New Reference Service Fees'!$S$20)</f>
        <v>1888699.1774923611</v>
      </c>
      <c r="J46" s="56">
        <f>J32/(1+'New Reference Service Fees'!$S$20)</f>
        <v>1866525.5434898869</v>
      </c>
    </row>
    <row r="47" spans="1:11" x14ac:dyDescent="0.3">
      <c r="A47" t="s">
        <v>64</v>
      </c>
      <c r="B47" t="s">
        <v>20</v>
      </c>
      <c r="D47" s="56">
        <f>AVERAGE('2018-2021 Historical'!J31:M31)</f>
        <v>2221310.6766581885</v>
      </c>
      <c r="E47" s="56">
        <f>D47*0.5</f>
        <v>1110655.3383290942</v>
      </c>
      <c r="F47" s="57">
        <f t="shared" si="22"/>
        <v>0</v>
      </c>
      <c r="G47" s="56">
        <f t="shared" si="22"/>
        <v>0</v>
      </c>
      <c r="H47" s="56">
        <f t="shared" si="22"/>
        <v>0</v>
      </c>
      <c r="I47" s="56">
        <f t="shared" si="22"/>
        <v>0</v>
      </c>
      <c r="J47" s="56">
        <f t="shared" si="22"/>
        <v>0</v>
      </c>
    </row>
    <row r="48" spans="1:11" x14ac:dyDescent="0.3">
      <c r="A48" s="82" t="s">
        <v>65</v>
      </c>
      <c r="B48" t="s">
        <v>26</v>
      </c>
      <c r="D48" s="56">
        <v>0</v>
      </c>
      <c r="E48" s="56">
        <v>0</v>
      </c>
      <c r="F48" s="57">
        <f>F34/(1+'New Reference Service Fees'!$S$19)</f>
        <v>2668724.6133493856</v>
      </c>
      <c r="G48" s="56">
        <f>G34/(1+'New Reference Service Fees'!$S$19)</f>
        <v>2671483.1394336382</v>
      </c>
      <c r="H48" s="56">
        <f>H34/(1+'New Reference Service Fees'!$S$19)</f>
        <v>2674244.5168672283</v>
      </c>
      <c r="I48" s="56">
        <f>I34/(1+'New Reference Service Fees'!$S$19)</f>
        <v>2677008.7485974515</v>
      </c>
      <c r="J48" s="56">
        <f>J34/(1+'New Reference Service Fees'!$S$19)</f>
        <v>2679775.8375746505</v>
      </c>
    </row>
    <row r="49" spans="1:10" x14ac:dyDescent="0.3">
      <c r="A49" s="82" t="s">
        <v>65</v>
      </c>
      <c r="B49" t="s">
        <v>27</v>
      </c>
      <c r="D49" s="56">
        <v>0</v>
      </c>
      <c r="E49" s="56">
        <v>0</v>
      </c>
      <c r="F49" s="57">
        <f>F35/(1+'New Reference Service Fees'!$S$19)</f>
        <v>1680066.0867514582</v>
      </c>
      <c r="G49" s="56">
        <f>G35/(1+'New Reference Service Fees'!$S$19)</f>
        <v>1681802.6863617701</v>
      </c>
      <c r="H49" s="56">
        <f>H35/(1+'New Reference Service Fees'!$S$19)</f>
        <v>1683541.0810075456</v>
      </c>
      <c r="I49" s="56">
        <f>I35/(1+'New Reference Service Fees'!$S$19)</f>
        <v>1685281.272544222</v>
      </c>
      <c r="J49" s="56">
        <f>J35/(1+'New Reference Service Fees'!$S$19)</f>
        <v>1687023.262829155</v>
      </c>
    </row>
    <row r="50" spans="1:10" x14ac:dyDescent="0.3">
      <c r="A50" s="82" t="s">
        <v>65</v>
      </c>
      <c r="B50" t="s">
        <v>28</v>
      </c>
      <c r="D50" s="56">
        <v>0</v>
      </c>
      <c r="E50" s="56">
        <v>0</v>
      </c>
      <c r="F50" s="57">
        <f>F36/(1+'New Reference Service Fees'!$S$19)</f>
        <v>281521.32527125336</v>
      </c>
      <c r="G50" s="56">
        <f>G36/(1+'New Reference Service Fees'!$S$19)</f>
        <v>281812.31967178074</v>
      </c>
      <c r="H50" s="56">
        <f>H36/(1+'New Reference Service Fees'!$S$19)</f>
        <v>282103.61485854891</v>
      </c>
      <c r="I50" s="56">
        <f>I36/(1+'New Reference Service Fees'!$S$19)</f>
        <v>282395.21114246547</v>
      </c>
      <c r="J50" s="56">
        <f>J36/(1+'New Reference Service Fees'!$S$19)</f>
        <v>282687.10883475939</v>
      </c>
    </row>
    <row r="51" spans="1:10" ht="15" thickBot="1" x14ac:dyDescent="0.35">
      <c r="B51" s="1" t="s">
        <v>74</v>
      </c>
      <c r="D51" s="58">
        <f t="shared" ref="D51" si="23">SUM(D43:D50)</f>
        <v>5338525.6328254938</v>
      </c>
      <c r="E51" s="58">
        <f>SUM(E43:E50)</f>
        <v>2682367.267124814</v>
      </c>
      <c r="F51" s="59">
        <f t="shared" ref="F51:J51" si="24">SUM(F43:F50)</f>
        <v>6955637.9201756744</v>
      </c>
      <c r="G51" s="58">
        <f t="shared" si="24"/>
        <v>7029682.0493879672</v>
      </c>
      <c r="H51" s="58">
        <f t="shared" si="24"/>
        <v>7088324.3367000744</v>
      </c>
      <c r="I51" s="58">
        <f t="shared" si="24"/>
        <v>7141186.9353039302</v>
      </c>
      <c r="J51" s="58">
        <f t="shared" si="24"/>
        <v>7123814.2782558817</v>
      </c>
    </row>
    <row r="52" spans="1:10" ht="15" thickTop="1" x14ac:dyDescent="0.3"/>
    <row r="53" spans="1:10" x14ac:dyDescent="0.3">
      <c r="B53" t="s">
        <v>109</v>
      </c>
      <c r="D53" s="56">
        <f>D37-D51</f>
        <v>-2221310.6766581889</v>
      </c>
      <c r="E53" s="56">
        <f>E37-E51</f>
        <v>-1110655.3383290945</v>
      </c>
      <c r="F53" s="56">
        <f t="shared" ref="F53:J53" si="25">F37-F51</f>
        <v>292000.42815382034</v>
      </c>
      <c r="G53" s="56">
        <f t="shared" si="25"/>
        <v>295406.45809758455</v>
      </c>
      <c r="H53" s="56">
        <f t="shared" si="25"/>
        <v>298104.00331394188</v>
      </c>
      <c r="I53" s="56">
        <f t="shared" si="25"/>
        <v>300535.68284971919</v>
      </c>
      <c r="J53" s="56">
        <f t="shared" si="25"/>
        <v>299736.54062550887</v>
      </c>
    </row>
    <row r="54" spans="1:10" x14ac:dyDescent="0.3">
      <c r="B54" t="s">
        <v>93</v>
      </c>
      <c r="D54" s="80">
        <f t="shared" ref="D54:J54" si="26">D37/D51-1</f>
        <v>-0.41609066424628693</v>
      </c>
      <c r="E54" s="80">
        <f t="shared" si="26"/>
        <v>-0.41405789279541427</v>
      </c>
      <c r="F54" s="80">
        <f t="shared" si="26"/>
        <v>4.198039511327023E-2</v>
      </c>
      <c r="G54" s="80">
        <f t="shared" si="26"/>
        <v>4.2022733890689112E-2</v>
      </c>
      <c r="H54" s="80">
        <f t="shared" si="26"/>
        <v>4.2055638138691842E-2</v>
      </c>
      <c r="I54" s="80">
        <f t="shared" si="26"/>
        <v>4.2084836256555569E-2</v>
      </c>
      <c r="J54" s="80">
        <f t="shared" si="26"/>
        <v>4.2075288450514448E-2</v>
      </c>
    </row>
    <row r="57" spans="1:10" x14ac:dyDescent="0.3">
      <c r="D57" s="56"/>
      <c r="E57" s="56"/>
      <c r="F57" s="56"/>
      <c r="G57" s="56"/>
      <c r="H57" s="56"/>
      <c r="I57" s="56"/>
      <c r="J57" s="56"/>
    </row>
  </sheetData>
  <mergeCells count="4">
    <mergeCell ref="D41:J41"/>
    <mergeCell ref="D2:J2"/>
    <mergeCell ref="D15:J15"/>
    <mergeCell ref="D27:J27"/>
  </mergeCells>
  <pageMargins left="0.7" right="0.7" top="0.75" bottom="0.75" header="0.3" footer="0.3"/>
  <pageSetup paperSize="9" orientation="portrait" r:id="rId1"/>
  <headerFooter>
    <oddFooter>&amp;C_x000D_&amp;1#&amp;"Century Gothic"&amp;7&amp;K7F7F7F BUSINESS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CE39-4CBE-4406-AF79-BEC15D0E4514}">
  <dimension ref="B2:AD40"/>
  <sheetViews>
    <sheetView zoomScale="85" zoomScaleNormal="85" zoomScalePageLayoutView="93" workbookViewId="0">
      <pane xSplit="2" topLeftCell="C1" activePane="topRight" state="frozen"/>
      <selection pane="topRight" activeCell="A3" sqref="A3"/>
    </sheetView>
  </sheetViews>
  <sheetFormatPr defaultColWidth="8.77734375" defaultRowHeight="13.8" x14ac:dyDescent="0.3"/>
  <cols>
    <col min="1" max="1" width="5.21875" style="30" customWidth="1"/>
    <col min="2" max="2" width="30" style="30" bestFit="1" customWidth="1"/>
    <col min="3" max="3" width="18.44140625" style="30" customWidth="1"/>
    <col min="4" max="9" width="16" style="30" customWidth="1"/>
    <col min="10" max="10" width="19.5546875" style="30" customWidth="1"/>
    <col min="11" max="11" width="19.77734375" style="30" customWidth="1"/>
    <col min="12" max="12" width="14.5546875" style="30" customWidth="1"/>
    <col min="13" max="13" width="10.44140625" style="30" customWidth="1"/>
    <col min="14" max="14" width="6.44140625" style="30" customWidth="1"/>
    <col min="15" max="15" width="12" style="30" customWidth="1"/>
    <col min="16" max="16" width="15.77734375" style="30" customWidth="1"/>
    <col min="17" max="17" width="12.77734375" style="30" customWidth="1"/>
    <col min="18" max="18" width="15.5546875" style="30" customWidth="1"/>
    <col min="19" max="19" width="14.21875" style="30" customWidth="1"/>
    <col min="20" max="20" width="11.44140625" style="30" customWidth="1"/>
    <col min="21" max="21" width="13" style="30" customWidth="1"/>
    <col min="22" max="22" width="12.5546875" style="30" customWidth="1"/>
    <col min="23" max="23" width="11" style="30" customWidth="1"/>
    <col min="24" max="24" width="8.77734375" style="30"/>
    <col min="25" max="27" width="11.77734375" style="30" customWidth="1"/>
    <col min="28" max="31" width="8.77734375" style="30"/>
    <col min="32" max="32" width="13.21875" style="30" bestFit="1" customWidth="1"/>
    <col min="33" max="33" width="33.44140625" style="30" bestFit="1" customWidth="1"/>
    <col min="34" max="34" width="11.44140625" style="30" bestFit="1" customWidth="1"/>
    <col min="35" max="16384" width="8.77734375" style="30"/>
  </cols>
  <sheetData>
    <row r="2" spans="2:30" ht="14.4" x14ac:dyDescent="0.3">
      <c r="E2" s="109" t="s">
        <v>102</v>
      </c>
      <c r="F2" s="109"/>
    </row>
    <row r="3" spans="2:30" ht="54" customHeight="1" thickBot="1" x14ac:dyDescent="0.35">
      <c r="B3" s="1" t="s">
        <v>97</v>
      </c>
      <c r="C3" s="47"/>
      <c r="D3"/>
      <c r="E3"/>
      <c r="F3"/>
      <c r="I3"/>
      <c r="J3"/>
      <c r="P3" s="1" t="s">
        <v>101</v>
      </c>
      <c r="X3"/>
      <c r="Y3" s="1" t="s">
        <v>100</v>
      </c>
      <c r="Z3"/>
    </row>
    <row r="4" spans="2:30" ht="52.05" customHeight="1" thickBot="1" x14ac:dyDescent="0.35">
      <c r="B4" s="45" t="s">
        <v>46</v>
      </c>
      <c r="C4" s="44" t="s">
        <v>98</v>
      </c>
      <c r="D4" s="44" t="s">
        <v>45</v>
      </c>
      <c r="E4" s="44" t="s">
        <v>44</v>
      </c>
      <c r="F4" s="44" t="s">
        <v>43</v>
      </c>
      <c r="G4" s="44" t="s">
        <v>42</v>
      </c>
      <c r="H4" s="44" t="s">
        <v>82</v>
      </c>
      <c r="I4" s="44" t="s">
        <v>83</v>
      </c>
      <c r="J4" s="44" t="s">
        <v>99</v>
      </c>
      <c r="K4" s="44" t="s">
        <v>41</v>
      </c>
      <c r="P4" s="43">
        <v>2022</v>
      </c>
      <c r="Q4" s="43">
        <v>2023</v>
      </c>
      <c r="R4" s="42" t="s">
        <v>15</v>
      </c>
      <c r="S4" s="41" t="s">
        <v>16</v>
      </c>
      <c r="T4" s="41" t="s">
        <v>17</v>
      </c>
      <c r="U4" s="41" t="s">
        <v>18</v>
      </c>
      <c r="V4" s="41" t="s">
        <v>19</v>
      </c>
      <c r="Y4" s="42" t="s">
        <v>15</v>
      </c>
      <c r="Z4" s="41" t="s">
        <v>16</v>
      </c>
      <c r="AA4" s="41" t="s">
        <v>17</v>
      </c>
      <c r="AB4" s="41" t="s">
        <v>18</v>
      </c>
      <c r="AC4" s="41" t="s">
        <v>19</v>
      </c>
    </row>
    <row r="5" spans="2:30" ht="15" thickTop="1" thickBot="1" x14ac:dyDescent="0.35">
      <c r="B5" s="39" t="s">
        <v>40</v>
      </c>
      <c r="C5" s="105"/>
      <c r="D5" s="84">
        <f>17314+695</f>
        <v>18009</v>
      </c>
      <c r="E5" s="84">
        <f>17314+695</f>
        <v>18009</v>
      </c>
      <c r="F5" s="84">
        <f>20659+300</f>
        <v>20959</v>
      </c>
      <c r="G5" s="84">
        <f>21889+307</f>
        <v>22196</v>
      </c>
      <c r="H5" s="84"/>
      <c r="I5" s="84">
        <f t="shared" ref="I5:I11" si="0">AVERAGE(D5:G5)</f>
        <v>19793.25</v>
      </c>
      <c r="J5" s="105"/>
      <c r="K5" s="83">
        <f>I5</f>
        <v>19793.25</v>
      </c>
      <c r="P5" s="104"/>
      <c r="Q5" s="105"/>
      <c r="R5" s="105"/>
      <c r="S5" s="105"/>
      <c r="T5" s="105"/>
      <c r="U5" s="105"/>
      <c r="V5" s="105"/>
      <c r="Y5" s="36">
        <v>141.0322178299904</v>
      </c>
      <c r="Z5" s="36">
        <v>141.17799572316753</v>
      </c>
      <c r="AA5" s="36">
        <v>141.32392429960319</v>
      </c>
      <c r="AB5" s="36">
        <v>141.47000371505106</v>
      </c>
      <c r="AC5" s="36">
        <v>141.61623412542582</v>
      </c>
    </row>
    <row r="6" spans="2:30" ht="14.4" thickBot="1" x14ac:dyDescent="0.35">
      <c r="B6" s="39" t="s">
        <v>39</v>
      </c>
      <c r="C6" s="105"/>
      <c r="D6" s="108"/>
      <c r="E6" s="108"/>
      <c r="F6" s="108"/>
      <c r="G6" s="108"/>
      <c r="H6" s="108"/>
      <c r="I6" s="108"/>
      <c r="J6" s="105"/>
      <c r="K6" s="83">
        <v>2136.75</v>
      </c>
      <c r="N6" s="40"/>
      <c r="P6" s="104"/>
      <c r="Q6" s="105"/>
      <c r="R6" s="105"/>
      <c r="S6" s="105"/>
      <c r="T6" s="105"/>
      <c r="U6" s="105"/>
      <c r="V6" s="105"/>
      <c r="Y6" s="36">
        <v>822.44021375548164</v>
      </c>
      <c r="Z6" s="36">
        <v>823.29032873963342</v>
      </c>
      <c r="AA6" s="36">
        <v>824.14132244478424</v>
      </c>
      <c r="AB6" s="36">
        <v>824.9931957792237</v>
      </c>
      <c r="AC6" s="36">
        <v>825.84594965218025</v>
      </c>
    </row>
    <row r="7" spans="2:30" ht="14.4" thickBot="1" x14ac:dyDescent="0.35">
      <c r="B7" s="39" t="s">
        <v>38</v>
      </c>
      <c r="C7" s="105"/>
      <c r="D7" s="108"/>
      <c r="E7" s="108"/>
      <c r="F7" s="108"/>
      <c r="G7" s="108"/>
      <c r="H7" s="108"/>
      <c r="I7" s="108"/>
      <c r="J7" s="38"/>
      <c r="K7" s="83"/>
      <c r="P7" s="36"/>
      <c r="Q7" s="38"/>
      <c r="R7" s="38"/>
      <c r="S7" s="38"/>
      <c r="T7" s="38"/>
      <c r="U7" s="38"/>
      <c r="V7" s="38"/>
      <c r="Y7" s="36"/>
      <c r="Z7" s="36"/>
      <c r="AA7" s="36"/>
      <c r="AB7" s="36"/>
      <c r="AC7" s="36"/>
    </row>
    <row r="8" spans="2:30" ht="23.4" thickBot="1" x14ac:dyDescent="0.35">
      <c r="B8" s="39" t="s">
        <v>37</v>
      </c>
      <c r="C8" s="105"/>
      <c r="D8" s="108"/>
      <c r="E8" s="108"/>
      <c r="F8" s="108"/>
      <c r="G8" s="108"/>
      <c r="H8" s="108"/>
      <c r="I8" s="108"/>
      <c r="J8" s="38"/>
      <c r="K8" s="83"/>
      <c r="P8" s="36"/>
      <c r="Q8" s="38"/>
      <c r="R8" s="38"/>
      <c r="S8" s="38"/>
      <c r="T8" s="38"/>
      <c r="U8" s="38"/>
      <c r="V8" s="38"/>
      <c r="Y8" s="36"/>
      <c r="Z8" s="36"/>
      <c r="AA8" s="36"/>
      <c r="AB8" s="36"/>
      <c r="AC8" s="36"/>
    </row>
    <row r="9" spans="2:30" ht="23.4" thickBot="1" x14ac:dyDescent="0.35">
      <c r="B9" s="39" t="s">
        <v>36</v>
      </c>
      <c r="C9" s="105"/>
      <c r="D9" s="108"/>
      <c r="E9" s="108"/>
      <c r="F9" s="108"/>
      <c r="G9" s="108"/>
      <c r="H9" s="108"/>
      <c r="I9" s="108"/>
      <c r="J9" s="38"/>
      <c r="K9" s="83"/>
      <c r="P9" s="36"/>
      <c r="Q9" s="38"/>
      <c r="R9" s="38"/>
      <c r="S9" s="38"/>
      <c r="T9" s="38"/>
      <c r="U9" s="38"/>
      <c r="V9" s="38"/>
      <c r="Y9" s="36"/>
      <c r="Z9" s="36"/>
      <c r="AA9" s="36"/>
      <c r="AB9" s="36"/>
      <c r="AC9" s="36"/>
    </row>
    <row r="10" spans="2:30" ht="14.4" thickBot="1" x14ac:dyDescent="0.35">
      <c r="B10" s="39" t="s">
        <v>35</v>
      </c>
      <c r="C10" s="105"/>
      <c r="D10" s="108"/>
      <c r="E10" s="108"/>
      <c r="F10" s="108"/>
      <c r="G10" s="108"/>
      <c r="H10" s="108"/>
      <c r="I10" s="108"/>
      <c r="J10" s="105"/>
      <c r="K10" s="83">
        <v>294</v>
      </c>
      <c r="P10" s="104"/>
      <c r="Q10" s="105"/>
      <c r="R10" s="105"/>
      <c r="S10" s="105"/>
      <c r="T10" s="105"/>
      <c r="U10" s="105"/>
      <c r="V10" s="105"/>
      <c r="Y10" s="36">
        <v>1001.6030824276567</v>
      </c>
      <c r="Z10" s="36">
        <v>1002.6383890363356</v>
      </c>
      <c r="AA10" s="36">
        <v>1003.6747657892591</v>
      </c>
      <c r="AB10" s="36">
        <v>1004.7122137925813</v>
      </c>
      <c r="AC10" s="36">
        <v>1005.7507341535999</v>
      </c>
    </row>
    <row r="11" spans="2:30" ht="14.4" thickBot="1" x14ac:dyDescent="0.35">
      <c r="B11" s="39" t="s">
        <v>34</v>
      </c>
      <c r="C11" s="105"/>
      <c r="D11" s="108"/>
      <c r="E11" s="108"/>
      <c r="F11" s="108"/>
      <c r="G11" s="108"/>
      <c r="H11" s="108"/>
      <c r="I11" s="108"/>
      <c r="J11" s="37"/>
      <c r="K11" s="83"/>
      <c r="P11" s="36"/>
      <c r="Q11" s="38"/>
      <c r="R11" s="38"/>
      <c r="S11" s="38"/>
      <c r="T11" s="38"/>
      <c r="U11" s="38"/>
      <c r="V11" s="38"/>
      <c r="Y11" s="36"/>
      <c r="Z11" s="36"/>
      <c r="AA11" s="36"/>
      <c r="AB11" s="36"/>
      <c r="AC11" s="36"/>
    </row>
    <row r="12" spans="2:30" ht="14.4" thickBot="1" x14ac:dyDescent="0.35">
      <c r="B12" s="39" t="s">
        <v>2</v>
      </c>
      <c r="C12" s="37"/>
      <c r="D12" s="85"/>
      <c r="E12" s="85"/>
      <c r="F12" s="85"/>
      <c r="G12" s="85"/>
      <c r="H12" s="85"/>
      <c r="I12" s="85"/>
      <c r="J12" s="105"/>
      <c r="K12" s="83">
        <f>I13+I14</f>
        <v>281230</v>
      </c>
      <c r="P12" s="104"/>
      <c r="Q12" s="105"/>
      <c r="R12" s="105"/>
      <c r="S12" s="105"/>
      <c r="T12" s="105"/>
      <c r="U12" s="105"/>
      <c r="V12" s="105"/>
      <c r="Y12" s="36">
        <v>6.9795091422679967</v>
      </c>
      <c r="Z12" s="36">
        <v>7.192652255624715</v>
      </c>
      <c r="AA12" s="36">
        <v>7.3691651291503613</v>
      </c>
      <c r="AB12" s="36">
        <v>7.5607028109679684</v>
      </c>
      <c r="AC12" s="36">
        <v>7.4953780178763694</v>
      </c>
      <c r="AD12" s="50"/>
    </row>
    <row r="13" spans="2:30" ht="14.4" thickBot="1" x14ac:dyDescent="0.35">
      <c r="B13" s="39" t="s">
        <v>33</v>
      </c>
      <c r="C13" s="105"/>
      <c r="D13" s="85"/>
      <c r="E13" s="85"/>
      <c r="F13" s="85"/>
      <c r="G13" s="85"/>
      <c r="H13" s="85">
        <v>116761</v>
      </c>
      <c r="I13" s="85">
        <v>116761</v>
      </c>
      <c r="J13" s="37"/>
      <c r="K13" s="83"/>
    </row>
    <row r="14" spans="2:30" ht="14.4" thickBot="1" x14ac:dyDescent="0.35">
      <c r="B14" s="39" t="s">
        <v>32</v>
      </c>
      <c r="C14" s="105"/>
      <c r="D14" s="85"/>
      <c r="E14" s="85"/>
      <c r="F14" s="85"/>
      <c r="G14" s="85"/>
      <c r="H14" s="85">
        <v>164469</v>
      </c>
      <c r="I14" s="85">
        <v>164469</v>
      </c>
      <c r="J14" s="37"/>
      <c r="K14" s="83"/>
      <c r="P14" s="31"/>
      <c r="Q14" s="31"/>
      <c r="R14" s="31"/>
      <c r="S14" s="31"/>
      <c r="T14" s="31"/>
      <c r="U14" s="31"/>
      <c r="V14" s="31"/>
    </row>
    <row r="15" spans="2:30" ht="14.4" x14ac:dyDescent="0.3">
      <c r="P15" s="31"/>
      <c r="Q15" s="31"/>
      <c r="R15" s="31"/>
      <c r="S15" s="31"/>
      <c r="T15" s="31"/>
      <c r="U15" s="31"/>
      <c r="V15" s="31"/>
      <c r="W15" s="33"/>
      <c r="X15" s="35"/>
      <c r="Y15" s="35"/>
      <c r="Z15" s="35"/>
      <c r="AA15" s="35"/>
      <c r="AB15" s="35"/>
      <c r="AC15" s="35"/>
    </row>
    <row r="16" spans="2:30" ht="14.4" x14ac:dyDescent="0.3">
      <c r="P16" s="31"/>
      <c r="Q16" s="31"/>
      <c r="R16" s="31"/>
      <c r="S16" s="31"/>
      <c r="T16" s="31"/>
      <c r="U16" s="31"/>
      <c r="V16" s="31"/>
      <c r="W16" s="33"/>
      <c r="X16" s="33"/>
      <c r="Y16" s="34"/>
      <c r="Z16" s="34"/>
      <c r="AA16" s="34"/>
      <c r="AB16" s="34"/>
      <c r="AC16" s="34"/>
    </row>
    <row r="17" spans="2:30" ht="15" thickBot="1" x14ac:dyDescent="0.35">
      <c r="O17" s="1" t="s">
        <v>88</v>
      </c>
      <c r="V17" s="31"/>
      <c r="W17" s="33"/>
      <c r="X17" s="32"/>
      <c r="Y17" s="32"/>
      <c r="Z17" s="32"/>
      <c r="AA17" s="32"/>
      <c r="AB17" s="32"/>
      <c r="AC17" s="32"/>
    </row>
    <row r="18" spans="2:30" ht="55.8" thickBot="1" x14ac:dyDescent="0.35">
      <c r="J18" s="94"/>
      <c r="K18" s="93"/>
      <c r="O18" s="45"/>
      <c r="P18" s="45" t="s">
        <v>58</v>
      </c>
      <c r="Q18" s="44" t="s">
        <v>57</v>
      </c>
      <c r="R18" s="44" t="s">
        <v>84</v>
      </c>
      <c r="S18" s="44" t="s">
        <v>56</v>
      </c>
      <c r="V18" s="31"/>
      <c r="Y18" s="79"/>
      <c r="Z18" s="79"/>
      <c r="AA18" s="79"/>
      <c r="AB18" s="79"/>
      <c r="AC18" s="79"/>
      <c r="AD18" s="79"/>
    </row>
    <row r="19" spans="2:30" ht="24" thickTop="1" thickBot="1" x14ac:dyDescent="0.35">
      <c r="B19" s="92"/>
      <c r="O19" s="39" t="s">
        <v>81</v>
      </c>
      <c r="P19" s="106"/>
      <c r="Q19" s="106"/>
      <c r="R19" s="106"/>
      <c r="S19" s="71">
        <v>4.5999999999999999E-2</v>
      </c>
      <c r="T19" s="30" t="s">
        <v>122</v>
      </c>
      <c r="V19" s="31"/>
      <c r="W19"/>
    </row>
    <row r="20" spans="2:30" ht="23.4" thickBot="1" x14ac:dyDescent="0.35">
      <c r="O20" s="39" t="s">
        <v>80</v>
      </c>
      <c r="P20" s="106"/>
      <c r="Q20" s="106"/>
      <c r="R20" s="106"/>
      <c r="S20" s="71">
        <v>4.5999999999999999E-2</v>
      </c>
      <c r="T20" s="30" t="s">
        <v>85</v>
      </c>
      <c r="V20" s="31"/>
    </row>
    <row r="21" spans="2:30" ht="14.4" thickBot="1" x14ac:dyDescent="0.35">
      <c r="O21" s="45"/>
      <c r="P21" s="44">
        <v>2022</v>
      </c>
      <c r="Q21" s="45">
        <v>2023</v>
      </c>
      <c r="R21" s="42" t="s">
        <v>15</v>
      </c>
      <c r="S21" s="44" t="s">
        <v>16</v>
      </c>
      <c r="T21" s="44" t="s">
        <v>17</v>
      </c>
      <c r="U21" s="44" t="s">
        <v>18</v>
      </c>
      <c r="V21" s="31"/>
    </row>
    <row r="22" spans="2:30" ht="35.4" thickTop="1" thickBot="1" x14ac:dyDescent="0.35">
      <c r="O22" s="39" t="s">
        <v>52</v>
      </c>
      <c r="P22" s="107"/>
      <c r="Q22" s="107"/>
      <c r="R22" s="107"/>
      <c r="S22" s="107"/>
      <c r="T22" s="107"/>
      <c r="U22" s="107"/>
      <c r="V22" s="31"/>
    </row>
    <row r="23" spans="2:30" ht="34.799999999999997" thickBot="1" x14ac:dyDescent="0.35">
      <c r="O23" s="39" t="s">
        <v>50</v>
      </c>
      <c r="P23" s="107"/>
      <c r="Q23" s="107"/>
      <c r="R23" s="107"/>
      <c r="S23" s="107"/>
      <c r="T23" s="107"/>
      <c r="U23" s="107"/>
      <c r="V23" s="31"/>
    </row>
    <row r="24" spans="2:30" x14ac:dyDescent="0.3">
      <c r="P24" s="31"/>
      <c r="Q24" s="31"/>
      <c r="R24" s="31"/>
      <c r="S24" s="31"/>
      <c r="T24" s="31"/>
      <c r="U24" s="31"/>
      <c r="V24" s="31"/>
    </row>
    <row r="25" spans="2:30" x14ac:dyDescent="0.3">
      <c r="P25" s="31"/>
      <c r="Q25" s="31"/>
      <c r="R25" s="31"/>
      <c r="S25" s="31"/>
      <c r="T25" s="31"/>
      <c r="U25" s="31"/>
      <c r="V25" s="31"/>
    </row>
    <row r="26" spans="2:30" x14ac:dyDescent="0.3">
      <c r="P26" s="31"/>
      <c r="Q26" s="31"/>
      <c r="R26" s="31"/>
      <c r="S26" s="31"/>
      <c r="T26" s="31"/>
      <c r="U26" s="31"/>
      <c r="V26" s="31"/>
    </row>
    <row r="27" spans="2:30" x14ac:dyDescent="0.3">
      <c r="P27" s="31"/>
      <c r="Q27" s="31"/>
      <c r="R27" s="31"/>
      <c r="S27" s="31"/>
      <c r="T27" s="31"/>
      <c r="U27" s="31"/>
      <c r="V27" s="31"/>
    </row>
    <row r="28" spans="2:30" x14ac:dyDescent="0.3">
      <c r="P28" s="31"/>
      <c r="Q28" s="31"/>
      <c r="R28" s="31"/>
      <c r="S28" s="31"/>
      <c r="T28" s="31"/>
      <c r="U28" s="31"/>
      <c r="V28" s="31"/>
    </row>
    <row r="29" spans="2:30" x14ac:dyDescent="0.3">
      <c r="P29" s="31"/>
      <c r="Q29" s="31"/>
      <c r="R29" s="31"/>
      <c r="S29" s="31"/>
      <c r="T29" s="31"/>
      <c r="U29" s="31"/>
      <c r="V29" s="31"/>
    </row>
    <row r="30" spans="2:30" x14ac:dyDescent="0.3">
      <c r="P30" s="31"/>
      <c r="Q30" s="31"/>
      <c r="R30" s="31"/>
      <c r="S30" s="31"/>
      <c r="T30" s="31"/>
      <c r="U30" s="31"/>
      <c r="V30" s="31"/>
    </row>
    <row r="31" spans="2:30" x14ac:dyDescent="0.3">
      <c r="P31" s="31"/>
      <c r="Q31" s="31"/>
      <c r="R31" s="31"/>
      <c r="S31" s="31"/>
      <c r="T31" s="31"/>
      <c r="U31" s="31"/>
      <c r="V31" s="31"/>
    </row>
    <row r="32" spans="2:30" x14ac:dyDescent="0.3">
      <c r="P32" s="31"/>
      <c r="Q32" s="31"/>
      <c r="R32" s="31"/>
      <c r="S32" s="31"/>
      <c r="T32" s="31"/>
      <c r="U32" s="31"/>
      <c r="V32" s="31"/>
    </row>
    <row r="33" spans="16:22" x14ac:dyDescent="0.3">
      <c r="P33" s="31"/>
      <c r="Q33" s="31"/>
      <c r="R33" s="31"/>
      <c r="S33" s="31"/>
      <c r="T33" s="31"/>
      <c r="U33" s="31"/>
      <c r="V33" s="31"/>
    </row>
    <row r="34" spans="16:22" x14ac:dyDescent="0.3">
      <c r="P34" s="31"/>
      <c r="Q34" s="31"/>
      <c r="R34" s="31"/>
      <c r="S34" s="31"/>
      <c r="T34" s="31"/>
      <c r="U34" s="31"/>
      <c r="V34" s="31"/>
    </row>
    <row r="35" spans="16:22" x14ac:dyDescent="0.3">
      <c r="P35" s="31"/>
      <c r="Q35" s="31"/>
      <c r="R35" s="31"/>
      <c r="S35" s="31"/>
      <c r="T35" s="31"/>
      <c r="U35" s="31"/>
      <c r="V35" s="31"/>
    </row>
    <row r="36" spans="16:22" x14ac:dyDescent="0.3">
      <c r="P36" s="31"/>
      <c r="Q36" s="31"/>
      <c r="R36" s="31"/>
      <c r="S36" s="31"/>
      <c r="T36" s="31"/>
      <c r="U36" s="31"/>
      <c r="V36" s="31"/>
    </row>
    <row r="37" spans="16:22" x14ac:dyDescent="0.3">
      <c r="P37" s="31"/>
      <c r="Q37" s="31"/>
      <c r="R37" s="31"/>
      <c r="S37" s="31"/>
      <c r="T37" s="31"/>
      <c r="U37" s="31"/>
      <c r="V37" s="31"/>
    </row>
    <row r="38" spans="16:22" x14ac:dyDescent="0.3">
      <c r="P38" s="31"/>
      <c r="Q38" s="31"/>
      <c r="R38" s="31"/>
      <c r="S38" s="31"/>
      <c r="T38" s="31"/>
      <c r="U38" s="31"/>
      <c r="V38" s="31"/>
    </row>
    <row r="39" spans="16:22" x14ac:dyDescent="0.3">
      <c r="P39" s="31"/>
      <c r="Q39" s="31"/>
      <c r="R39" s="31"/>
      <c r="S39" s="31"/>
      <c r="T39" s="31"/>
      <c r="U39" s="31"/>
      <c r="V39" s="31"/>
    </row>
    <row r="40" spans="16:22" x14ac:dyDescent="0.3">
      <c r="P40" s="31"/>
      <c r="Q40" s="31"/>
      <c r="R40" s="31"/>
      <c r="S40" s="31"/>
      <c r="T40" s="31"/>
      <c r="U40" s="31"/>
      <c r="V40" s="31"/>
    </row>
  </sheetData>
  <mergeCells count="1">
    <mergeCell ref="E2:F2"/>
  </mergeCells>
  <pageMargins left="0.7" right="0.7" top="0.75" bottom="0.75" header="0.3" footer="0.3"/>
  <pageSetup paperSize="9" orientation="portrait" horizontalDpi="4294967292" verticalDpi="4294967292" r:id="rId1"/>
  <headerFooter>
    <oddFooter>&amp;C_x000D_&amp;1#&amp;"Century Gothic"&amp;7&amp;K7F7F7F BUSINESS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ECF5-F473-4EDC-9124-CCD5E1F58DCD}">
  <dimension ref="B2:J11"/>
  <sheetViews>
    <sheetView workbookViewId="0">
      <selection activeCell="B14" sqref="B14"/>
    </sheetView>
  </sheetViews>
  <sheetFormatPr defaultRowHeight="14.4" x14ac:dyDescent="0.3"/>
  <cols>
    <col min="1" max="1" width="5.5546875" customWidth="1"/>
    <col min="2" max="2" width="45.5546875" customWidth="1"/>
    <col min="3" max="3" width="12.44140625" customWidth="1"/>
    <col min="4" max="4" width="11.21875" customWidth="1"/>
    <col min="5" max="5" width="9.77734375" customWidth="1"/>
    <col min="6" max="10" width="9.44140625" customWidth="1"/>
  </cols>
  <sheetData>
    <row r="2" spans="2:10" ht="15" thickBot="1" x14ac:dyDescent="0.35">
      <c r="B2" s="1" t="s">
        <v>96</v>
      </c>
      <c r="C2" s="30"/>
      <c r="D2" s="30"/>
      <c r="E2" s="30"/>
      <c r="F2" s="30"/>
    </row>
    <row r="3" spans="2:10" ht="30" customHeight="1" thickBot="1" x14ac:dyDescent="0.35">
      <c r="B3" s="49"/>
      <c r="C3" s="43" t="s">
        <v>60</v>
      </c>
      <c r="D3" s="97" t="s">
        <v>120</v>
      </c>
      <c r="E3" s="97" t="s">
        <v>59</v>
      </c>
      <c r="F3" s="97" t="s">
        <v>59</v>
      </c>
      <c r="G3" s="97"/>
      <c r="H3" s="97"/>
      <c r="I3" s="97"/>
      <c r="J3" s="97"/>
    </row>
    <row r="4" spans="2:10" ht="15" thickBot="1" x14ac:dyDescent="0.35">
      <c r="B4" s="48" t="s">
        <v>55</v>
      </c>
      <c r="C4" s="43">
        <v>2022</v>
      </c>
      <c r="D4" s="43">
        <v>2022</v>
      </c>
      <c r="E4" s="42" t="s">
        <v>14</v>
      </c>
      <c r="F4" s="42" t="s">
        <v>15</v>
      </c>
      <c r="G4" s="43" t="s">
        <v>16</v>
      </c>
      <c r="H4" s="43" t="s">
        <v>17</v>
      </c>
      <c r="I4" s="43" t="s">
        <v>18</v>
      </c>
      <c r="J4" s="43" t="s">
        <v>19</v>
      </c>
    </row>
    <row r="5" spans="2:10" ht="39" customHeight="1" thickTop="1" thickBot="1" x14ac:dyDescent="0.35">
      <c r="B5" s="46" t="s">
        <v>54</v>
      </c>
      <c r="C5" s="91">
        <f>'Existing ARS Tariffs'!H5</f>
        <v>188.06</v>
      </c>
      <c r="D5" s="91">
        <f>C5*(1+CPI!$D$10)</f>
        <v>193.75180394424675</v>
      </c>
      <c r="E5" s="91">
        <f>D5</f>
        <v>193.75180394424675</v>
      </c>
      <c r="F5" s="91">
        <f>$D5</f>
        <v>193.75180394424675</v>
      </c>
      <c r="G5" s="91">
        <f t="shared" ref="G5:J5" si="0">$D5</f>
        <v>193.75180394424675</v>
      </c>
      <c r="H5" s="91">
        <f t="shared" si="0"/>
        <v>193.75180394424675</v>
      </c>
      <c r="I5" s="91">
        <f t="shared" si="0"/>
        <v>193.75180394424675</v>
      </c>
      <c r="J5" s="91">
        <f t="shared" si="0"/>
        <v>193.75180394424675</v>
      </c>
    </row>
    <row r="6" spans="2:10" ht="34.799999999999997" thickBot="1" x14ac:dyDescent="0.35">
      <c r="B6" s="46" t="s">
        <v>121</v>
      </c>
      <c r="C6" s="91">
        <f>'Existing ARS Tariffs'!H6</f>
        <v>62.68</v>
      </c>
      <c r="D6" s="91">
        <f>C6*(1+CPI!$D$10)</f>
        <v>64.577066208791805</v>
      </c>
      <c r="E6" s="91">
        <f>D6</f>
        <v>64.577066208791805</v>
      </c>
      <c r="F6" s="91">
        <f>$D6</f>
        <v>64.577066208791805</v>
      </c>
      <c r="G6" s="91">
        <f t="shared" ref="G6:J7" si="1">$D6</f>
        <v>64.577066208791805</v>
      </c>
      <c r="H6" s="91">
        <f t="shared" si="1"/>
        <v>64.577066208791805</v>
      </c>
      <c r="I6" s="91">
        <f t="shared" si="1"/>
        <v>64.577066208791805</v>
      </c>
      <c r="J6" s="91">
        <f t="shared" si="1"/>
        <v>64.577066208791805</v>
      </c>
    </row>
    <row r="7" spans="2:10" ht="33.75" customHeight="1" thickBot="1" x14ac:dyDescent="0.35">
      <c r="B7" s="46" t="s">
        <v>53</v>
      </c>
      <c r="C7" s="91">
        <f>'Existing ARS Tariffs'!H7</f>
        <v>62.68</v>
      </c>
      <c r="D7" s="91">
        <f>C7*(1+CPI!$D$10)</f>
        <v>64.577066208791805</v>
      </c>
      <c r="E7" s="91">
        <f>D7</f>
        <v>64.577066208791805</v>
      </c>
      <c r="F7" s="91">
        <f>$D7</f>
        <v>64.577066208791805</v>
      </c>
      <c r="G7" s="91">
        <f t="shared" si="1"/>
        <v>64.577066208791805</v>
      </c>
      <c r="H7" s="91">
        <f t="shared" si="1"/>
        <v>64.577066208791805</v>
      </c>
      <c r="I7" s="91">
        <f t="shared" si="1"/>
        <v>64.577066208791805</v>
      </c>
      <c r="J7" s="91">
        <f t="shared" si="1"/>
        <v>64.577066208791805</v>
      </c>
    </row>
    <row r="8" spans="2:10" ht="48" customHeight="1" thickBot="1" x14ac:dyDescent="0.35">
      <c r="B8" s="46" t="s">
        <v>51</v>
      </c>
      <c r="C8" s="91">
        <f>'Existing ARS Tariffs'!H8</f>
        <v>9.7200000000000006</v>
      </c>
      <c r="D8" s="91">
        <f>C8*(1+CPI!$D$10)</f>
        <v>10.014184485473139</v>
      </c>
      <c r="E8" s="91">
        <f>D8</f>
        <v>10.014184485473139</v>
      </c>
      <c r="F8" s="91">
        <f>'New Reference Service Fees'!Y12</f>
        <v>6.9795091422679967</v>
      </c>
      <c r="G8" s="91">
        <f>'New Reference Service Fees'!Z12</f>
        <v>7.192652255624715</v>
      </c>
      <c r="H8" s="91">
        <f>'New Reference Service Fees'!AA12</f>
        <v>7.3691651291503613</v>
      </c>
      <c r="I8" s="91">
        <f>'New Reference Service Fees'!AB12</f>
        <v>7.5607028109679684</v>
      </c>
      <c r="J8" s="91">
        <f>'New Reference Service Fees'!AC12</f>
        <v>7.4953780178763694</v>
      </c>
    </row>
    <row r="9" spans="2:10" ht="24" customHeight="1" thickBot="1" x14ac:dyDescent="0.35">
      <c r="B9" s="46" t="s">
        <v>40</v>
      </c>
      <c r="C9" s="98" t="s">
        <v>47</v>
      </c>
      <c r="D9" s="99" t="s">
        <v>47</v>
      </c>
      <c r="E9" s="100" t="s">
        <v>47</v>
      </c>
      <c r="F9" s="91">
        <f>'New Reference Service Fees'!Y5</f>
        <v>141.0322178299904</v>
      </c>
      <c r="G9" s="91">
        <f>'New Reference Service Fees'!Z5</f>
        <v>141.17799572316753</v>
      </c>
      <c r="H9" s="91">
        <f>'New Reference Service Fees'!AA5</f>
        <v>141.32392429960319</v>
      </c>
      <c r="I9" s="91">
        <f>'New Reference Service Fees'!AB5</f>
        <v>141.47000371505106</v>
      </c>
      <c r="J9" s="91">
        <f>'New Reference Service Fees'!AC5</f>
        <v>141.61623412542582</v>
      </c>
    </row>
    <row r="10" spans="2:10" ht="24" customHeight="1" thickBot="1" x14ac:dyDescent="0.35">
      <c r="B10" s="46" t="s">
        <v>49</v>
      </c>
      <c r="C10" s="98" t="s">
        <v>47</v>
      </c>
      <c r="D10" s="99" t="s">
        <v>47</v>
      </c>
      <c r="E10" s="100" t="s">
        <v>47</v>
      </c>
      <c r="F10" s="91">
        <f>'New Reference Service Fees'!Y6</f>
        <v>822.44021375548164</v>
      </c>
      <c r="G10" s="91">
        <f>'New Reference Service Fees'!Z6</f>
        <v>823.29032873963342</v>
      </c>
      <c r="H10" s="91">
        <f>'New Reference Service Fees'!AA6</f>
        <v>824.14132244478424</v>
      </c>
      <c r="I10" s="91">
        <f>'New Reference Service Fees'!AB6</f>
        <v>824.9931957792237</v>
      </c>
      <c r="J10" s="91">
        <f>'New Reference Service Fees'!AC6</f>
        <v>825.84594965218025</v>
      </c>
    </row>
    <row r="11" spans="2:10" ht="24" customHeight="1" thickBot="1" x14ac:dyDescent="0.35">
      <c r="B11" s="46" t="s">
        <v>48</v>
      </c>
      <c r="C11" s="98" t="s">
        <v>47</v>
      </c>
      <c r="D11" s="99" t="s">
        <v>47</v>
      </c>
      <c r="E11" s="100" t="s">
        <v>47</v>
      </c>
      <c r="F11" s="91">
        <f>'New Reference Service Fees'!Y10</f>
        <v>1001.6030824276567</v>
      </c>
      <c r="G11" s="91">
        <f>'New Reference Service Fees'!Z10</f>
        <v>1002.6383890363356</v>
      </c>
      <c r="H11" s="91">
        <f>'New Reference Service Fees'!AA10</f>
        <v>1003.6747657892591</v>
      </c>
      <c r="I11" s="91">
        <f>'New Reference Service Fees'!AB10</f>
        <v>1004.7122137925813</v>
      </c>
      <c r="J11" s="91">
        <f>'New Reference Service Fees'!AC10</f>
        <v>1005.7507341535999</v>
      </c>
    </row>
  </sheetData>
  <mergeCells count="4">
    <mergeCell ref="D3:J3"/>
    <mergeCell ref="C9:E9"/>
    <mergeCell ref="C10:E10"/>
    <mergeCell ref="C11:E11"/>
  </mergeCells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B826-375A-4797-BA56-EB779F42DE0D}">
  <dimension ref="C2:H14"/>
  <sheetViews>
    <sheetView zoomScaleNormal="100" workbookViewId="0">
      <selection activeCell="F12" sqref="F12"/>
    </sheetView>
  </sheetViews>
  <sheetFormatPr defaultRowHeight="14.4" x14ac:dyDescent="0.3"/>
  <cols>
    <col min="1" max="1" width="4" customWidth="1"/>
    <col min="2" max="2" width="4.77734375" customWidth="1"/>
    <col min="3" max="3" width="67.44140625" customWidth="1"/>
    <col min="4" max="4" width="9.21875" customWidth="1"/>
  </cols>
  <sheetData>
    <row r="2" spans="3:8" x14ac:dyDescent="0.3">
      <c r="C2" s="1" t="s">
        <v>92</v>
      </c>
      <c r="D2" s="1"/>
    </row>
    <row r="4" spans="3:8" x14ac:dyDescent="0.3">
      <c r="C4" s="2" t="s">
        <v>91</v>
      </c>
      <c r="D4" s="19">
        <v>2018</v>
      </c>
      <c r="E4" s="19">
        <v>2019</v>
      </c>
      <c r="F4" s="19">
        <v>2020</v>
      </c>
      <c r="G4" s="19">
        <v>2021</v>
      </c>
      <c r="H4" s="19">
        <v>2022</v>
      </c>
    </row>
    <row r="5" spans="3:8" x14ac:dyDescent="0.3">
      <c r="C5" s="3" t="s">
        <v>0</v>
      </c>
      <c r="D5" s="3">
        <v>175.23</v>
      </c>
      <c r="E5" s="3">
        <v>178.87</v>
      </c>
      <c r="F5" s="3">
        <v>181.72</v>
      </c>
      <c r="G5" s="3">
        <f>[8]ARS!B$9</f>
        <v>181.09</v>
      </c>
      <c r="H5" s="3">
        <f>[8]ARS!C$9</f>
        <v>188.06</v>
      </c>
    </row>
    <row r="6" spans="3:8" x14ac:dyDescent="0.3">
      <c r="C6" s="3" t="s">
        <v>1</v>
      </c>
      <c r="D6" s="3">
        <v>58.41</v>
      </c>
      <c r="E6" s="3">
        <v>59.62</v>
      </c>
      <c r="F6" s="3">
        <v>60.57</v>
      </c>
      <c r="G6" s="3">
        <f>[8]ARS!B$6</f>
        <v>60.36</v>
      </c>
      <c r="H6" s="3">
        <f>[8]ARS!C$6</f>
        <v>62.68</v>
      </c>
    </row>
    <row r="7" spans="3:8" x14ac:dyDescent="0.3">
      <c r="C7" s="3" t="s">
        <v>13</v>
      </c>
      <c r="D7" s="3">
        <v>58.41</v>
      </c>
      <c r="E7" s="3">
        <v>59.62</v>
      </c>
      <c r="F7" s="3">
        <v>60.57</v>
      </c>
      <c r="G7" s="3">
        <f>[8]ARS!B$6</f>
        <v>60.36</v>
      </c>
      <c r="H7" s="3">
        <f>[8]ARS!C$6</f>
        <v>62.68</v>
      </c>
    </row>
    <row r="8" spans="3:8" x14ac:dyDescent="0.3">
      <c r="C8" s="3" t="s">
        <v>2</v>
      </c>
      <c r="D8" s="3">
        <v>9.0500000000000007</v>
      </c>
      <c r="E8" s="3">
        <v>9.24</v>
      </c>
      <c r="F8" s="3">
        <v>9.39</v>
      </c>
      <c r="G8" s="3">
        <f>[8]ARS!B$8</f>
        <v>9.36</v>
      </c>
      <c r="H8" s="3">
        <f>[8]ARS!C$8</f>
        <v>9.7200000000000006</v>
      </c>
    </row>
    <row r="10" spans="3:8" x14ac:dyDescent="0.3">
      <c r="C10" t="s">
        <v>113</v>
      </c>
    </row>
    <row r="11" spans="3:8" x14ac:dyDescent="0.3">
      <c r="C11" t="s">
        <v>114</v>
      </c>
    </row>
    <row r="12" spans="3:8" x14ac:dyDescent="0.3">
      <c r="C12" t="s">
        <v>110</v>
      </c>
    </row>
    <row r="13" spans="3:8" x14ac:dyDescent="0.3">
      <c r="C13" t="s">
        <v>111</v>
      </c>
    </row>
    <row r="14" spans="3:8" x14ac:dyDescent="0.3">
      <c r="C14" t="s">
        <v>112</v>
      </c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B4E1-6AE6-4E2F-8806-08A360E46985}">
  <dimension ref="B2:M10"/>
  <sheetViews>
    <sheetView zoomScaleNormal="100" workbookViewId="0">
      <selection activeCell="M4" sqref="M4"/>
    </sheetView>
  </sheetViews>
  <sheetFormatPr defaultRowHeight="14.4" x14ac:dyDescent="0.3"/>
  <cols>
    <col min="2" max="2" width="22.77734375" bestFit="1" customWidth="1"/>
    <col min="9" max="9" width="10.44140625" customWidth="1"/>
  </cols>
  <sheetData>
    <row r="2" spans="2:13" x14ac:dyDescent="0.3">
      <c r="C2" s="23" t="s">
        <v>117</v>
      </c>
      <c r="D2" s="23" t="s">
        <v>117</v>
      </c>
      <c r="E2" s="23" t="s">
        <v>117</v>
      </c>
      <c r="F2" s="23" t="s">
        <v>117</v>
      </c>
      <c r="G2" s="23" t="s">
        <v>116</v>
      </c>
      <c r="H2" s="23" t="s">
        <v>116</v>
      </c>
      <c r="I2" s="23" t="s">
        <v>116</v>
      </c>
      <c r="J2" s="23" t="s">
        <v>116</v>
      </c>
      <c r="K2" s="23" t="s">
        <v>116</v>
      </c>
      <c r="L2" s="23" t="s">
        <v>116</v>
      </c>
      <c r="M2" s="23" t="s">
        <v>116</v>
      </c>
    </row>
    <row r="3" spans="2:13" x14ac:dyDescent="0.3">
      <c r="C3" s="23">
        <v>2018</v>
      </c>
      <c r="D3" s="23">
        <v>2019</v>
      </c>
      <c r="E3" s="23">
        <v>2020</v>
      </c>
      <c r="F3" s="23">
        <v>2021</v>
      </c>
      <c r="G3" s="23">
        <v>2022</v>
      </c>
      <c r="H3" s="23" t="s">
        <v>14</v>
      </c>
      <c r="I3" s="23" t="s">
        <v>15</v>
      </c>
      <c r="J3" s="23" t="s">
        <v>16</v>
      </c>
      <c r="K3" s="23" t="s">
        <v>17</v>
      </c>
      <c r="L3" s="23" t="s">
        <v>18</v>
      </c>
      <c r="M3" s="23" t="s">
        <v>19</v>
      </c>
    </row>
    <row r="4" spans="2:13" x14ac:dyDescent="0.3">
      <c r="B4" s="1" t="s">
        <v>12</v>
      </c>
      <c r="C4" s="16">
        <v>697659.5</v>
      </c>
      <c r="D4" s="16">
        <v>717099</v>
      </c>
      <c r="E4" s="16">
        <v>738172.5</v>
      </c>
      <c r="F4" s="16">
        <v>755725.02148391167</v>
      </c>
      <c r="G4" s="16">
        <v>771554.28984904196</v>
      </c>
      <c r="H4" s="87">
        <v>779612.58671531873</v>
      </c>
      <c r="I4" s="87">
        <v>792536.90069595841</v>
      </c>
      <c r="J4" s="87">
        <v>800062.78841769381</v>
      </c>
      <c r="K4" s="87">
        <v>804434.22335815814</v>
      </c>
      <c r="L4" s="87">
        <v>804530.18205205246</v>
      </c>
      <c r="M4" s="87">
        <v>802014.30513947736</v>
      </c>
    </row>
    <row r="5" spans="2:13" x14ac:dyDescent="0.3">
      <c r="B5" t="s">
        <v>11</v>
      </c>
      <c r="D5" s="88">
        <v>2.7863879155949345E-2</v>
      </c>
      <c r="E5" s="88">
        <v>2.9387155748369365E-2</v>
      </c>
      <c r="F5" s="88">
        <v>2.3778346502899561E-2</v>
      </c>
      <c r="G5" s="88">
        <v>2.0945804247752164E-2</v>
      </c>
      <c r="H5" s="88">
        <f>H4/G4-1</f>
        <v>1.0444238302211195E-2</v>
      </c>
      <c r="I5" s="88">
        <f>I4/H4-1</f>
        <v>1.6577867264935708E-2</v>
      </c>
      <c r="J5" s="88">
        <f t="shared" ref="J5:L5" si="0">J4/I4-1</f>
        <v>9.4959461384405142E-3</v>
      </c>
      <c r="K5" s="88">
        <f t="shared" si="0"/>
        <v>5.4638648412954627E-3</v>
      </c>
      <c r="L5" s="88">
        <f t="shared" si="0"/>
        <v>1.1928718484122136E-4</v>
      </c>
      <c r="M5" s="88">
        <f>M4/L4-1</f>
        <v>-3.1271380101092205E-3</v>
      </c>
    </row>
    <row r="7" spans="2:13" x14ac:dyDescent="0.3">
      <c r="B7" t="s">
        <v>86</v>
      </c>
      <c r="G7" s="60"/>
      <c r="H7" s="60">
        <f>1+H5</f>
        <v>1.0104442383022112</v>
      </c>
      <c r="I7" s="60">
        <f>H7*(1+I5)</f>
        <v>1.0271952487634044</v>
      </c>
      <c r="J7" s="60">
        <f t="shared" ref="J7:M7" si="1">I7*(1+J5)</f>
        <v>1.0369494395193237</v>
      </c>
      <c r="K7" s="60">
        <f t="shared" si="1"/>
        <v>1.0426151911041144</v>
      </c>
      <c r="L7" s="60">
        <f t="shared" si="1"/>
        <v>1.0427395617351338</v>
      </c>
      <c r="M7" s="60">
        <f t="shared" si="1"/>
        <v>1.0394787712169873</v>
      </c>
    </row>
    <row r="9" spans="2:13" x14ac:dyDescent="0.3">
      <c r="B9" t="s">
        <v>119</v>
      </c>
    </row>
    <row r="10" spans="2:13" x14ac:dyDescent="0.3">
      <c r="B10" t="s">
        <v>118</v>
      </c>
      <c r="F10" s="16"/>
    </row>
  </sheetData>
  <pageMargins left="0.7" right="0.7" top="0.75" bottom="0.75" header="0.3" footer="0.3"/>
  <headerFooter>
    <oddFooter>&amp;C_x000D_&amp;1#&amp;"Century Gothic"&amp;7&amp;K7F7F7F BUSINESS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D914-6E5B-4AAF-BB28-BD72B3E1812E}">
  <sheetPr>
    <pageSetUpPr fitToPage="1"/>
  </sheetPr>
  <dimension ref="A2:AF31"/>
  <sheetViews>
    <sheetView topLeftCell="A8" zoomScale="85" zoomScaleNormal="85" workbookViewId="0">
      <pane xSplit="2" topLeftCell="H1" activePane="topRight" state="frozen"/>
      <selection pane="topRight" activeCell="M31" sqref="M31"/>
    </sheetView>
  </sheetViews>
  <sheetFormatPr defaultRowHeight="14.4" outlineLevelCol="1" x14ac:dyDescent="0.3"/>
  <cols>
    <col min="1" max="1" width="9.5546875" customWidth="1"/>
    <col min="2" max="2" width="66" customWidth="1"/>
    <col min="3" max="3" width="9.77734375" hidden="1" customWidth="1" outlineLevel="1"/>
    <col min="4" max="4" width="10.5546875" hidden="1" customWidth="1" outlineLevel="1"/>
    <col min="5" max="5" width="10.77734375" hidden="1" customWidth="1" outlineLevel="1"/>
    <col min="6" max="7" width="10.21875" hidden="1" customWidth="1" outlineLevel="1"/>
    <col min="8" max="8" width="10.21875" customWidth="1" collapsed="1"/>
    <col min="9" max="9" width="10.21875" customWidth="1"/>
    <col min="10" max="10" width="12" customWidth="1"/>
    <col min="11" max="13" width="12.77734375" bestFit="1" customWidth="1"/>
    <col min="14" max="14" width="10.5546875" hidden="1" customWidth="1" outlineLevel="1"/>
    <col min="15" max="18" width="10.21875" hidden="1" customWidth="1" outlineLevel="1"/>
    <col min="19" max="19" width="11.5546875" customWidth="1" collapsed="1"/>
    <col min="20" max="24" width="11.5546875" customWidth="1"/>
    <col min="25" max="25" width="12.21875" customWidth="1"/>
    <col min="26" max="26" width="17.44140625" customWidth="1"/>
    <col min="27" max="27" width="14.77734375" customWidth="1"/>
    <col min="28" max="28" width="14.21875" customWidth="1"/>
    <col min="29" max="31" width="13.21875" bestFit="1" customWidth="1"/>
    <col min="32" max="32" width="14.21875" customWidth="1"/>
  </cols>
  <sheetData>
    <row r="2" spans="1:26" x14ac:dyDescent="0.3">
      <c r="B2" s="1" t="s">
        <v>3</v>
      </c>
    </row>
    <row r="3" spans="1:26" x14ac:dyDescent="0.3">
      <c r="B3" s="1"/>
    </row>
    <row r="4" spans="1:26" x14ac:dyDescent="0.3">
      <c r="A4" s="2" t="s">
        <v>5</v>
      </c>
      <c r="B4" s="2" t="s">
        <v>4</v>
      </c>
      <c r="C4" s="101" t="s">
        <v>22</v>
      </c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101" t="s">
        <v>23</v>
      </c>
      <c r="O4" s="102"/>
      <c r="P4" s="102"/>
      <c r="Q4" s="102"/>
      <c r="R4" s="102"/>
      <c r="S4" s="102"/>
      <c r="T4" s="102"/>
      <c r="U4" s="102"/>
      <c r="V4" s="102"/>
      <c r="W4" s="102"/>
      <c r="X4" s="103"/>
    </row>
    <row r="5" spans="1:26" ht="27.75" customHeight="1" x14ac:dyDescent="0.3">
      <c r="A5" s="3"/>
      <c r="B5" s="3"/>
      <c r="C5" s="19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0">
        <v>2019</v>
      </c>
      <c r="L5" s="20">
        <v>2020</v>
      </c>
      <c r="M5" s="20">
        <v>2021</v>
      </c>
      <c r="N5" s="19">
        <v>2011</v>
      </c>
      <c r="O5" s="20">
        <v>2012</v>
      </c>
      <c r="P5" s="20">
        <v>2013</v>
      </c>
      <c r="Q5" s="20">
        <v>2014</v>
      </c>
      <c r="R5" s="20">
        <v>2015</v>
      </c>
      <c r="S5" s="20">
        <v>2016</v>
      </c>
      <c r="T5" s="20">
        <v>2017</v>
      </c>
      <c r="U5" s="20">
        <v>2018</v>
      </c>
      <c r="V5" s="20">
        <v>2019</v>
      </c>
      <c r="W5" s="20">
        <v>2020</v>
      </c>
      <c r="X5" s="20">
        <v>2021</v>
      </c>
    </row>
    <row r="6" spans="1:26" ht="20.25" customHeight="1" x14ac:dyDescent="0.3">
      <c r="A6" s="3" t="s">
        <v>6</v>
      </c>
      <c r="B6" s="3" t="s">
        <v>0</v>
      </c>
      <c r="C6" s="4">
        <v>46</v>
      </c>
      <c r="D6" s="4">
        <v>84</v>
      </c>
      <c r="E6" s="4">
        <v>107</v>
      </c>
      <c r="F6" s="4">
        <v>8</v>
      </c>
      <c r="G6" s="4">
        <v>0</v>
      </c>
      <c r="H6" s="4">
        <f>'[9]E21. ARS'!H$12</f>
        <v>0</v>
      </c>
      <c r="I6" s="4">
        <f>'[9]E21. ARS'!I$12</f>
        <v>0</v>
      </c>
      <c r="J6" s="4">
        <f>'[9]E21. ARS'!J$12</f>
        <v>174</v>
      </c>
      <c r="K6" s="4">
        <f>'[9]E21. ARS'!K$12</f>
        <v>181</v>
      </c>
      <c r="L6" s="4">
        <f>'[10]E21. ARS'!$C$12</f>
        <v>165</v>
      </c>
      <c r="M6" s="4">
        <f>'[11]E21. ARS'!$C$12</f>
        <v>97</v>
      </c>
      <c r="N6" s="5">
        <v>7229</v>
      </c>
      <c r="O6" s="5">
        <v>26529</v>
      </c>
      <c r="P6" s="5">
        <v>32641.7</v>
      </c>
      <c r="Q6" s="5">
        <v>2541</v>
      </c>
      <c r="R6" s="5">
        <v>0</v>
      </c>
      <c r="S6" s="5">
        <f>'[9]E21. ARS'!H$26</f>
        <v>0</v>
      </c>
      <c r="T6" s="5">
        <f>'[9]E21. ARS'!I$26</f>
        <v>0</v>
      </c>
      <c r="U6" s="5">
        <f>'[9]E21. ARS'!J$26</f>
        <v>85444.40216545912</v>
      </c>
      <c r="V6" s="5">
        <f>'[9]E21. ARS'!K$26</f>
        <v>91548.275262681287</v>
      </c>
      <c r="W6" s="5">
        <f>'[10]E21. ARS'!$C$27</f>
        <v>87843.657048606721</v>
      </c>
      <c r="X6" s="5">
        <f>'[11]E21. ARS'!$C$27</f>
        <v>51641.422628574859</v>
      </c>
    </row>
    <row r="7" spans="1:26" ht="20.25" customHeight="1" x14ac:dyDescent="0.3">
      <c r="A7" s="3" t="s">
        <v>7</v>
      </c>
      <c r="B7" s="3" t="s">
        <v>1</v>
      </c>
      <c r="C7" s="4">
        <v>10012</v>
      </c>
      <c r="D7" s="4">
        <v>10388</v>
      </c>
      <c r="E7" s="4">
        <v>11339</v>
      </c>
      <c r="F7" s="4">
        <v>11678</v>
      </c>
      <c r="G7" s="4">
        <v>13223</v>
      </c>
      <c r="H7" s="4">
        <f>'[9]E21. ARS'!H$11</f>
        <v>11927</v>
      </c>
      <c r="I7" s="4">
        <f>'[9]E21. ARS'!I$11</f>
        <v>13391</v>
      </c>
      <c r="J7" s="4">
        <f>'[9]E21. ARS'!J$11</f>
        <v>12370</v>
      </c>
      <c r="K7" s="4">
        <f>'[9]E21. ARS'!K$11</f>
        <v>8213</v>
      </c>
      <c r="L7" s="4">
        <f>'[10]E21. ARS'!$C$11</f>
        <v>1661</v>
      </c>
      <c r="M7" s="4">
        <f>'[11]E21. ARS'!$C$11</f>
        <v>4484</v>
      </c>
      <c r="N7" s="5">
        <v>512119.11</v>
      </c>
      <c r="O7" s="5">
        <v>540066</v>
      </c>
      <c r="P7" s="5">
        <v>606902.39999999676</v>
      </c>
      <c r="Q7" s="5">
        <v>632838.3400000066</v>
      </c>
      <c r="R7" s="5">
        <v>733071.87000001292</v>
      </c>
      <c r="S7" s="5">
        <f>'[9]E21. ARS'!H$25</f>
        <v>1459273.5899999999</v>
      </c>
      <c r="T7" s="5">
        <f>'[9]E21. ARS'!I$25</f>
        <v>1719767.92</v>
      </c>
      <c r="U7" s="5">
        <f>'[9]E21. ARS'!J$25</f>
        <v>1628136.49</v>
      </c>
      <c r="V7" s="5">
        <f>'[9]E21. ARS'!K$25</f>
        <v>1639933.97</v>
      </c>
      <c r="W7" s="5">
        <f>'[10]E21. ARS'!$C$26</f>
        <v>1553466.08</v>
      </c>
      <c r="X7" s="5">
        <f>'[11]E21. ARS'!$C$26</f>
        <v>1981689.6300000001</v>
      </c>
    </row>
    <row r="8" spans="1:26" ht="22.5" customHeight="1" x14ac:dyDescent="0.3">
      <c r="A8" s="3" t="s">
        <v>8</v>
      </c>
      <c r="B8" s="3" t="s">
        <v>13</v>
      </c>
      <c r="C8" s="4">
        <v>6810</v>
      </c>
      <c r="D8" s="4">
        <v>7376</v>
      </c>
      <c r="E8" s="4">
        <v>6858</v>
      </c>
      <c r="F8" s="4">
        <v>5991</v>
      </c>
      <c r="G8" s="4">
        <v>5842</v>
      </c>
      <c r="H8" s="4">
        <f>'[9]E21. ARS'!H$10</f>
        <v>4873</v>
      </c>
      <c r="I8" s="4">
        <f>'[9]E21. ARS'!I$10</f>
        <v>4895</v>
      </c>
      <c r="J8" s="4">
        <f>'[9]E21. ARS'!J$10</f>
        <v>4260</v>
      </c>
      <c r="K8" s="4">
        <f>'[9]E21. ARS'!K$10</f>
        <v>2997</v>
      </c>
      <c r="L8" s="4">
        <f>'[10]E21. ARS'!$C$10</f>
        <v>819</v>
      </c>
      <c r="M8" s="4">
        <f>'[11]E21. ARS'!$C$10</f>
        <v>993</v>
      </c>
      <c r="N8" s="5">
        <v>343207.35</v>
      </c>
      <c r="O8" s="5">
        <v>382805.11</v>
      </c>
      <c r="P8" s="5">
        <v>366831.99999999726</v>
      </c>
      <c r="Q8" s="5">
        <v>324752.89999999816</v>
      </c>
      <c r="R8" s="5">
        <v>323813.31999999861</v>
      </c>
      <c r="S8" s="5">
        <f>'[9]E21. ARS'!H$24</f>
        <v>895849.5</v>
      </c>
      <c r="T8" s="5">
        <f>'[9]E21. ARS'!I$24</f>
        <v>945129.26</v>
      </c>
      <c r="U8" s="5">
        <f>'[9]E21. ARS'!J$24</f>
        <v>1024514.7199999999</v>
      </c>
      <c r="V8" s="5">
        <f>'[9]E21. ARS'!K$24</f>
        <v>870725.48</v>
      </c>
      <c r="W8" s="5">
        <f>'[10]E21. ARS'!$C$25</f>
        <v>412881.64</v>
      </c>
      <c r="X8" s="5">
        <f>'[11]E21. ARS'!$C$25</f>
        <v>584993.17999999993</v>
      </c>
    </row>
    <row r="9" spans="1:26" ht="20.25" customHeight="1" x14ac:dyDescent="0.3">
      <c r="A9" s="3" t="s">
        <v>9</v>
      </c>
      <c r="B9" s="3" t="s">
        <v>2</v>
      </c>
      <c r="C9" s="4">
        <v>146503</v>
      </c>
      <c r="D9" s="4">
        <v>159465</v>
      </c>
      <c r="E9" s="4">
        <v>191747</v>
      </c>
      <c r="F9" s="4">
        <v>187300</v>
      </c>
      <c r="G9" s="4">
        <v>199962</v>
      </c>
      <c r="H9" s="4">
        <f>'[9]E21. ARS'!H$13</f>
        <v>233073</v>
      </c>
      <c r="I9" s="4">
        <f>'[9]E21. ARS'!I$13</f>
        <v>236250</v>
      </c>
      <c r="J9" s="4">
        <f>'[9]E21. ARS'!J$13</f>
        <v>253643</v>
      </c>
      <c r="K9" s="4">
        <f>'[9]E21. ARS'!K$13</f>
        <v>235312</v>
      </c>
      <c r="L9" s="4">
        <f>'[10]E21. ARS'!$C$13</f>
        <v>225169</v>
      </c>
      <c r="M9" s="4">
        <f>'[11]E21. ARS'!$C$13</f>
        <v>257575</v>
      </c>
      <c r="N9" s="5">
        <v>1181824.7300000933</v>
      </c>
      <c r="O9" s="5">
        <v>1283959.8499999689</v>
      </c>
      <c r="P9" s="5">
        <v>1581508.2799998836</v>
      </c>
      <c r="Q9" s="5">
        <v>1573660.140000131</v>
      </c>
      <c r="R9" s="5">
        <v>1716467.6499997114</v>
      </c>
      <c r="S9" s="5">
        <f>'[9]E21. ARS'!H$27</f>
        <v>1011147.85</v>
      </c>
      <c r="T9" s="5">
        <f>'[9]E21. ARS'!I$27</f>
        <v>904774.34000000008</v>
      </c>
      <c r="U9" s="5">
        <f>'[9]E21. ARS'!J$27</f>
        <v>1346291.067834541</v>
      </c>
      <c r="V9" s="5">
        <f>'[9]E21. ARS'!K$27</f>
        <v>1335430.9864620562</v>
      </c>
      <c r="W9" s="5">
        <f>'[10]E21. ARS'!$C$28</f>
        <v>1408878.7629513931</v>
      </c>
      <c r="X9" s="5">
        <f>'[11]E21. ARS'!$C$28</f>
        <v>1605285.4073714253</v>
      </c>
    </row>
    <row r="10" spans="1:26" ht="20.25" customHeight="1" x14ac:dyDescent="0.3">
      <c r="A10" s="3"/>
      <c r="B10" s="3" t="s">
        <v>20</v>
      </c>
      <c r="C10" s="4"/>
      <c r="D10" s="4"/>
      <c r="E10" s="4"/>
      <c r="F10" s="4"/>
      <c r="G10" s="4"/>
      <c r="H10" s="4">
        <f>'[9]E21. ARS'!H$14</f>
        <v>0</v>
      </c>
      <c r="I10" s="4">
        <f>'[9]E21. ARS'!I$14</f>
        <v>0</v>
      </c>
      <c r="J10" s="4">
        <f>'[9]E21. ARS'!J$14</f>
        <v>0</v>
      </c>
      <c r="K10" s="4">
        <f>'[9]E21. ARS'!K$14</f>
        <v>0</v>
      </c>
      <c r="L10" s="4">
        <f>'[10]E21. ARS'!$C$14</f>
        <v>0</v>
      </c>
      <c r="M10" s="4">
        <v>0</v>
      </c>
      <c r="N10" s="5"/>
      <c r="O10" s="5"/>
      <c r="P10" s="5"/>
      <c r="Q10" s="5"/>
      <c r="R10" s="5"/>
      <c r="S10" s="5">
        <f>'[9]E21. ARS'!H$14</f>
        <v>0</v>
      </c>
      <c r="T10" s="5">
        <f>'[9]E21. ARS'!I$14</f>
        <v>0</v>
      </c>
      <c r="U10" s="5">
        <f>'[9]E21. ARS'!J$14</f>
        <v>0</v>
      </c>
      <c r="V10" s="5">
        <f>'[9]E21. ARS'!K$14</f>
        <v>0</v>
      </c>
      <c r="W10" s="5">
        <f>'[10]E21. ARS'!$C$29</f>
        <v>2008389.0699999998</v>
      </c>
      <c r="X10" s="5">
        <v>0</v>
      </c>
    </row>
    <row r="11" spans="1:26" x14ac:dyDescent="0.3">
      <c r="B11" s="27" t="s">
        <v>25</v>
      </c>
      <c r="N11" s="22">
        <f t="shared" ref="N11:X11" si="0">SUM(N6:N10)</f>
        <v>2044380.1900000933</v>
      </c>
      <c r="O11" s="22">
        <f t="shared" si="0"/>
        <v>2233359.9599999688</v>
      </c>
      <c r="P11" s="22">
        <f t="shared" si="0"/>
        <v>2587884.3799998779</v>
      </c>
      <c r="Q11" s="22">
        <f t="shared" si="0"/>
        <v>2533792.3800001359</v>
      </c>
      <c r="R11" s="22">
        <f t="shared" si="0"/>
        <v>2773352.8399997232</v>
      </c>
      <c r="S11" s="22">
        <f t="shared" si="0"/>
        <v>3366270.94</v>
      </c>
      <c r="T11" s="22">
        <f t="shared" si="0"/>
        <v>3569671.5199999996</v>
      </c>
      <c r="U11" s="22">
        <f t="shared" si="0"/>
        <v>4084386.6799999997</v>
      </c>
      <c r="V11" s="22">
        <f t="shared" si="0"/>
        <v>3937638.7117247372</v>
      </c>
      <c r="W11" s="22">
        <f t="shared" si="0"/>
        <v>5471459.21</v>
      </c>
      <c r="X11" s="22">
        <f t="shared" si="0"/>
        <v>4223609.6399999997</v>
      </c>
    </row>
    <row r="12" spans="1:26" x14ac:dyDescent="0.3">
      <c r="B12" s="28" t="s">
        <v>115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Z12" s="29"/>
    </row>
    <row r="13" spans="1:26" x14ac:dyDescent="0.3"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6" x14ac:dyDescent="0.3">
      <c r="B14" s="2" t="s">
        <v>21</v>
      </c>
      <c r="C14" s="24">
        <v>2011</v>
      </c>
      <c r="D14" s="24">
        <v>2012</v>
      </c>
      <c r="E14" s="24">
        <v>2013</v>
      </c>
      <c r="F14" s="24">
        <v>2014</v>
      </c>
      <c r="G14" s="24">
        <v>2015</v>
      </c>
      <c r="H14" s="24">
        <v>2016</v>
      </c>
      <c r="I14" s="24">
        <v>2017</v>
      </c>
      <c r="J14" s="24">
        <v>2018</v>
      </c>
      <c r="K14" s="24">
        <v>2019</v>
      </c>
      <c r="L14" s="24">
        <v>2020</v>
      </c>
      <c r="M14" s="24">
        <v>2021</v>
      </c>
      <c r="O14" s="15" t="s">
        <v>10</v>
      </c>
      <c r="P14" s="15"/>
    </row>
    <row r="15" spans="1:26" x14ac:dyDescent="0.3">
      <c r="B15" s="26" t="s">
        <v>0</v>
      </c>
      <c r="C15" s="25">
        <f t="shared" ref="C15:F18" si="1">N6/C6</f>
        <v>157.15217391304347</v>
      </c>
      <c r="D15" s="25">
        <f t="shared" si="1"/>
        <v>315.82142857142856</v>
      </c>
      <c r="E15" s="25">
        <f t="shared" si="1"/>
        <v>305.0626168224299</v>
      </c>
      <c r="F15" s="25">
        <f t="shared" si="1"/>
        <v>317.625</v>
      </c>
      <c r="G15" s="25"/>
      <c r="H15" s="25"/>
      <c r="I15" s="25"/>
      <c r="J15" s="25">
        <f t="shared" ref="J15:L15" si="2">U6/J6</f>
        <v>491.05978256010991</v>
      </c>
      <c r="K15" s="25">
        <f t="shared" si="2"/>
        <v>505.79157603691317</v>
      </c>
      <c r="L15" s="25">
        <f t="shared" si="2"/>
        <v>532.38580029458615</v>
      </c>
      <c r="M15" s="25">
        <f>X6/M6</f>
        <v>532.38580029458615</v>
      </c>
      <c r="O15" s="6">
        <v>156</v>
      </c>
      <c r="P15" s="7">
        <v>163.80000000000001</v>
      </c>
      <c r="Q15" s="7">
        <v>162.57</v>
      </c>
      <c r="R15" s="8">
        <v>166.32</v>
      </c>
      <c r="S15" s="10" t="s">
        <v>89</v>
      </c>
      <c r="T15" s="10"/>
      <c r="U15" s="10"/>
      <c r="V15" s="10"/>
      <c r="W15" s="10"/>
      <c r="X15" s="10"/>
    </row>
    <row r="16" spans="1:26" x14ac:dyDescent="0.3">
      <c r="B16" s="26" t="s">
        <v>1</v>
      </c>
      <c r="C16" s="25">
        <f t="shared" si="1"/>
        <v>51.150530363563725</v>
      </c>
      <c r="D16" s="25">
        <f t="shared" si="1"/>
        <v>51.989410858683094</v>
      </c>
      <c r="E16" s="25">
        <f t="shared" si="1"/>
        <v>53.523450039685756</v>
      </c>
      <c r="F16" s="25">
        <f t="shared" si="1"/>
        <v>54.19064394588171</v>
      </c>
      <c r="G16" s="25">
        <f>R7/G7</f>
        <v>55.439149209711331</v>
      </c>
      <c r="H16" s="25">
        <f t="shared" ref="H16:M16" si="3">S7/H7</f>
        <v>122.35043095497609</v>
      </c>
      <c r="I16" s="25">
        <f t="shared" si="3"/>
        <v>128.42714659099394</v>
      </c>
      <c r="J16" s="25">
        <f t="shared" si="3"/>
        <v>131.61976475343573</v>
      </c>
      <c r="K16" s="25">
        <f t="shared" si="3"/>
        <v>199.67538901741142</v>
      </c>
      <c r="L16" s="25">
        <f t="shared" si="3"/>
        <v>935.25953040337151</v>
      </c>
      <c r="M16" s="25">
        <f t="shared" si="3"/>
        <v>441.94683987511155</v>
      </c>
      <c r="O16" s="9">
        <v>52</v>
      </c>
      <c r="P16" s="10">
        <v>54.6</v>
      </c>
      <c r="Q16" s="10">
        <v>54.19</v>
      </c>
      <c r="R16" s="11">
        <v>55.44</v>
      </c>
      <c r="S16" s="10" t="s">
        <v>90</v>
      </c>
      <c r="T16" s="10"/>
      <c r="U16" s="10"/>
      <c r="V16" s="10"/>
      <c r="W16" s="10"/>
      <c r="X16" s="10"/>
    </row>
    <row r="17" spans="2:32" x14ac:dyDescent="0.3">
      <c r="B17" s="26" t="s">
        <v>13</v>
      </c>
      <c r="C17" s="25">
        <f t="shared" si="1"/>
        <v>50.397555066079292</v>
      </c>
      <c r="D17" s="25">
        <f t="shared" si="1"/>
        <v>51.898740509761389</v>
      </c>
      <c r="E17" s="25">
        <f t="shared" si="1"/>
        <v>53.489647127442005</v>
      </c>
      <c r="F17" s="25">
        <f t="shared" si="1"/>
        <v>54.206793523618451</v>
      </c>
      <c r="G17" s="25">
        <f>R8/G8</f>
        <v>55.428503937007633</v>
      </c>
      <c r="H17" s="25">
        <f t="shared" ref="H17:M17" si="4">S8/H8</f>
        <v>183.83942130104657</v>
      </c>
      <c r="I17" s="25">
        <f t="shared" si="4"/>
        <v>193.08054341164453</v>
      </c>
      <c r="J17" s="25">
        <f t="shared" si="4"/>
        <v>240.49641314553986</v>
      </c>
      <c r="K17" s="25">
        <f t="shared" si="4"/>
        <v>290.53235902569236</v>
      </c>
      <c r="L17" s="25">
        <f t="shared" si="4"/>
        <v>504.12898656898659</v>
      </c>
      <c r="M17" s="25">
        <f t="shared" si="4"/>
        <v>589.11699899295058</v>
      </c>
      <c r="O17" s="9">
        <v>52</v>
      </c>
      <c r="P17" s="10">
        <v>54.6</v>
      </c>
      <c r="Q17" s="10">
        <v>54.19</v>
      </c>
      <c r="R17" s="11">
        <v>55.44</v>
      </c>
      <c r="S17" s="10" t="s">
        <v>90</v>
      </c>
      <c r="T17" s="10"/>
      <c r="U17" s="10"/>
      <c r="V17" s="10"/>
      <c r="W17" s="10"/>
      <c r="X17" s="10"/>
      <c r="AB17" s="61"/>
      <c r="AC17" s="61"/>
      <c r="AD17" s="61"/>
      <c r="AE17" s="61"/>
      <c r="AF17" s="61"/>
    </row>
    <row r="18" spans="2:32" x14ac:dyDescent="0.3">
      <c r="B18" s="26" t="s">
        <v>2</v>
      </c>
      <c r="C18" s="25">
        <f t="shared" si="1"/>
        <v>8.0668978109669656</v>
      </c>
      <c r="D18" s="25">
        <f t="shared" si="1"/>
        <v>8.0516718402155263</v>
      </c>
      <c r="E18" s="25">
        <f t="shared" si="1"/>
        <v>8.2478906058498112</v>
      </c>
      <c r="F18" s="25">
        <f t="shared" si="1"/>
        <v>8.40181601708559</v>
      </c>
      <c r="G18" s="25">
        <f>R9/G9</f>
        <v>8.5839692041473459</v>
      </c>
      <c r="H18" s="25">
        <f t="shared" ref="H18:M18" si="5">S9/H9</f>
        <v>4.3383311237251849</v>
      </c>
      <c r="I18" s="25">
        <f t="shared" si="5"/>
        <v>3.8297326560846563</v>
      </c>
      <c r="J18" s="25">
        <f t="shared" si="5"/>
        <v>5.3078187367068717</v>
      </c>
      <c r="K18" s="25">
        <f t="shared" si="5"/>
        <v>5.6751503810347801</v>
      </c>
      <c r="L18" s="25">
        <f t="shared" si="5"/>
        <v>6.2569837009152822</v>
      </c>
      <c r="M18" s="25">
        <f t="shared" si="5"/>
        <v>6.2323028530386306</v>
      </c>
      <c r="O18" s="12">
        <v>8.06</v>
      </c>
      <c r="P18" s="13">
        <v>8.4600000000000009</v>
      </c>
      <c r="Q18" s="13">
        <v>8.4</v>
      </c>
      <c r="R18" s="14">
        <v>8.59</v>
      </c>
      <c r="S18" s="10" t="s">
        <v>61</v>
      </c>
      <c r="T18" s="10"/>
      <c r="U18" s="10"/>
      <c r="V18" s="10"/>
      <c r="W18" s="10"/>
      <c r="X18" s="10"/>
    </row>
    <row r="19" spans="2:32" x14ac:dyDescent="0.3">
      <c r="Z19" s="18"/>
    </row>
    <row r="20" spans="2:32" x14ac:dyDescent="0.3">
      <c r="B20" s="2" t="s">
        <v>94</v>
      </c>
      <c r="C20" s="3"/>
      <c r="D20" s="3"/>
      <c r="E20" s="3"/>
      <c r="F20" s="3"/>
      <c r="G20" s="3"/>
      <c r="H20" s="3"/>
      <c r="I20" s="3"/>
      <c r="J20" s="24">
        <v>2018</v>
      </c>
      <c r="K20" s="24">
        <v>2019</v>
      </c>
      <c r="L20" s="24">
        <v>2020</v>
      </c>
      <c r="M20" s="24">
        <v>2021</v>
      </c>
    </row>
    <row r="21" spans="2:32" x14ac:dyDescent="0.3">
      <c r="B21" s="3" t="s">
        <v>0</v>
      </c>
      <c r="C21" s="3"/>
      <c r="D21" s="3"/>
      <c r="E21" s="3"/>
      <c r="F21" s="3"/>
      <c r="G21" s="3"/>
      <c r="H21" s="3"/>
      <c r="I21" s="3"/>
      <c r="J21" s="5">
        <f>J6*'Existing ARS Tariffs'!D5</f>
        <v>30490.019999999997</v>
      </c>
      <c r="K21" s="5">
        <f>K6*'Existing ARS Tariffs'!E5</f>
        <v>32375.47</v>
      </c>
      <c r="L21" s="5">
        <f>L6*'Existing ARS Tariffs'!F5</f>
        <v>29983.8</v>
      </c>
      <c r="M21" s="5">
        <f>M6*'Existing ARS Tariffs'!G5</f>
        <v>17565.73</v>
      </c>
    </row>
    <row r="22" spans="2:32" x14ac:dyDescent="0.3">
      <c r="B22" s="3" t="s">
        <v>1</v>
      </c>
      <c r="C22" s="3"/>
      <c r="D22" s="3"/>
      <c r="E22" s="3"/>
      <c r="F22" s="3"/>
      <c r="G22" s="3"/>
      <c r="H22" s="3"/>
      <c r="I22" s="3"/>
      <c r="J22" s="5">
        <f>J7*'Existing ARS Tariffs'!D6</f>
        <v>722531.7</v>
      </c>
      <c r="K22" s="5">
        <f>K7*'Existing ARS Tariffs'!E6</f>
        <v>489659.06</v>
      </c>
      <c r="L22" s="5">
        <f>L7*'Existing ARS Tariffs'!F6</f>
        <v>100606.77</v>
      </c>
      <c r="M22" s="5">
        <f>M7*'Existing ARS Tariffs'!G6</f>
        <v>270654.24</v>
      </c>
    </row>
    <row r="23" spans="2:32" x14ac:dyDescent="0.3">
      <c r="B23" s="3" t="s">
        <v>13</v>
      </c>
      <c r="C23" s="3"/>
      <c r="D23" s="3"/>
      <c r="E23" s="3"/>
      <c r="F23" s="3"/>
      <c r="G23" s="3"/>
      <c r="H23" s="3"/>
      <c r="I23" s="3"/>
      <c r="J23" s="5">
        <f>J8*'Existing ARS Tariffs'!D7</f>
        <v>248826.59999999998</v>
      </c>
      <c r="K23" s="5">
        <f>K8*'Existing ARS Tariffs'!E7</f>
        <v>178681.13999999998</v>
      </c>
      <c r="L23" s="5">
        <f>L8*'Existing ARS Tariffs'!F7</f>
        <v>49606.83</v>
      </c>
      <c r="M23" s="5">
        <f>M8*'Existing ARS Tariffs'!G7</f>
        <v>59937.479999999996</v>
      </c>
    </row>
    <row r="24" spans="2:32" x14ac:dyDescent="0.3">
      <c r="J24" s="74"/>
      <c r="K24" s="74"/>
      <c r="L24" s="74"/>
      <c r="M24" s="74"/>
    </row>
    <row r="26" spans="2:32" x14ac:dyDescent="0.3">
      <c r="B26" s="2" t="s">
        <v>95</v>
      </c>
      <c r="C26" s="3"/>
      <c r="D26" s="3"/>
      <c r="E26" s="3"/>
      <c r="F26" s="3"/>
      <c r="G26" s="3"/>
      <c r="H26" s="3"/>
      <c r="I26" s="3"/>
      <c r="J26" s="24">
        <v>2018</v>
      </c>
      <c r="K26" s="24">
        <v>2019</v>
      </c>
      <c r="L26" s="24">
        <v>2020</v>
      </c>
      <c r="M26" s="24">
        <v>2021</v>
      </c>
    </row>
    <row r="27" spans="2:32" x14ac:dyDescent="0.3">
      <c r="B27" s="3" t="s">
        <v>0</v>
      </c>
      <c r="C27" s="3"/>
      <c r="D27" s="3"/>
      <c r="E27" s="3"/>
      <c r="F27" s="3"/>
      <c r="G27" s="3"/>
      <c r="H27" s="3"/>
      <c r="I27" s="3"/>
      <c r="J27" s="75">
        <f>U6-J21</f>
        <v>54954.382165459123</v>
      </c>
      <c r="K27" s="75">
        <f t="shared" ref="K27:M27" si="6">V6-K21</f>
        <v>59172.805262681286</v>
      </c>
      <c r="L27" s="75">
        <f t="shared" si="6"/>
        <v>57859.857048606718</v>
      </c>
      <c r="M27" s="75">
        <f t="shared" si="6"/>
        <v>34075.692628574863</v>
      </c>
    </row>
    <row r="28" spans="2:32" x14ac:dyDescent="0.3">
      <c r="B28" s="3" t="s">
        <v>1</v>
      </c>
      <c r="C28" s="3"/>
      <c r="D28" s="3"/>
      <c r="E28" s="3"/>
      <c r="F28" s="3"/>
      <c r="G28" s="3"/>
      <c r="H28" s="3"/>
      <c r="I28" s="3"/>
      <c r="J28" s="75">
        <f t="shared" ref="J28:M28" si="7">U7-J22</f>
        <v>905604.79</v>
      </c>
      <c r="K28" s="75">
        <f t="shared" si="7"/>
        <v>1150274.9099999999</v>
      </c>
      <c r="L28" s="75">
        <f t="shared" si="7"/>
        <v>1452859.31</v>
      </c>
      <c r="M28" s="75">
        <f t="shared" si="7"/>
        <v>1711035.3900000001</v>
      </c>
    </row>
    <row r="29" spans="2:32" x14ac:dyDescent="0.3">
      <c r="B29" s="3" t="s">
        <v>13</v>
      </c>
      <c r="C29" s="3"/>
      <c r="D29" s="3"/>
      <c r="E29" s="3"/>
      <c r="F29" s="3"/>
      <c r="G29" s="3"/>
      <c r="H29" s="3"/>
      <c r="I29" s="3"/>
      <c r="J29" s="75">
        <f t="shared" ref="J29:M29" si="8">U8-J23</f>
        <v>775688.11999999988</v>
      </c>
      <c r="K29" s="75">
        <f t="shared" si="8"/>
        <v>692044.34</v>
      </c>
      <c r="L29" s="75">
        <f t="shared" si="8"/>
        <v>363274.81</v>
      </c>
      <c r="M29" s="75">
        <f t="shared" si="8"/>
        <v>525055.69999999995</v>
      </c>
    </row>
    <row r="30" spans="2:32" x14ac:dyDescent="0.3">
      <c r="B30" s="2" t="s">
        <v>107</v>
      </c>
      <c r="C30" s="3"/>
      <c r="D30" s="3"/>
      <c r="E30" s="3"/>
      <c r="F30" s="3"/>
      <c r="G30" s="3"/>
      <c r="H30" s="3"/>
      <c r="I30" s="3"/>
      <c r="J30" s="22">
        <f>SUM(J27:J29)</f>
        <v>1736247.2921654591</v>
      </c>
      <c r="K30" s="22">
        <f t="shared" ref="K30:M30" si="9">SUM(K27:K29)</f>
        <v>1901492.0552626811</v>
      </c>
      <c r="L30" s="22">
        <f t="shared" si="9"/>
        <v>1873993.9770486068</v>
      </c>
      <c r="M30" s="22">
        <f t="shared" si="9"/>
        <v>2270166.7826285749</v>
      </c>
    </row>
    <row r="31" spans="2:32" x14ac:dyDescent="0.3">
      <c r="B31" s="2" t="s">
        <v>108</v>
      </c>
      <c r="C31" s="3"/>
      <c r="D31" s="3"/>
      <c r="E31" s="3"/>
      <c r="F31" s="3"/>
      <c r="G31" s="3"/>
      <c r="H31" s="3"/>
      <c r="I31" s="3"/>
      <c r="J31" s="22">
        <f>J30/CPI!D6</f>
        <v>2039737.5364173048</v>
      </c>
      <c r="K31" s="22">
        <f>K30/CPI!E6</f>
        <v>2193495.4518351755</v>
      </c>
      <c r="L31" s="22">
        <f>L30/CPI!F6</f>
        <v>2143329.4441782986</v>
      </c>
      <c r="M31" s="22">
        <f>M30/CPI!G6</f>
        <v>2508680.2742019747</v>
      </c>
    </row>
  </sheetData>
  <mergeCells count="2">
    <mergeCell ref="N4:X4"/>
    <mergeCell ref="C4:M4"/>
  </mergeCells>
  <pageMargins left="0.7" right="0.7" top="0.75" bottom="0.75" header="0.3" footer="0.3"/>
  <pageSetup paperSize="9" scale="69" orientation="landscape" r:id="rId1"/>
  <headerFooter>
    <oddFooter>&amp;C_x000D_&amp;1#&amp;"Century Gothic"&amp;7&amp;K7F7F7F BUSINESS USE ONLY</oddFooter>
  </headerFooter>
</worksheet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CPI</vt:lpstr>
      <vt:lpstr>HY23 to FY28 Proposal</vt:lpstr>
      <vt:lpstr>New Reference Service Fees</vt:lpstr>
      <vt:lpstr>Proposed ARS Tariffs</vt:lpstr>
      <vt:lpstr>Existing ARS Tariffs</vt:lpstr>
      <vt:lpstr>Customer growth</vt:lpstr>
      <vt:lpstr>2018-2021 Historical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Jdanova</dc:creator>
  <cp:lastModifiedBy>Steven Martin</cp:lastModifiedBy>
  <cp:lastPrinted>2016-09-22T01:29:04Z</cp:lastPrinted>
  <dcterms:created xsi:type="dcterms:W3CDTF">2016-08-18T01:56:45Z</dcterms:created>
  <dcterms:modified xsi:type="dcterms:W3CDTF">2023-01-19T06:17:40Z</dcterms:modified>
</cp:coreProperties>
</file>