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9416" windowHeight="8496" tabRatio="605"/>
  </bookViews>
  <sheets>
    <sheet name="Contents" sheetId="11" r:id="rId1"/>
    <sheet name="Escalators" sheetId="3" r:id="rId2"/>
    <sheet name="Opex Inputs" sheetId="5" r:id="rId3"/>
    <sheet name="Direct $ Inputs" sheetId="2" r:id="rId4"/>
    <sheet name="Direct $ Composition" sheetId="1" r:id="rId5"/>
    <sheet name="Direct Summary" sheetId="13" r:id="rId6"/>
    <sheet name="Overheads" sheetId="6" r:id="rId7"/>
    <sheet name="Capex by Purpose" sheetId="12" r:id="rId8"/>
    <sheet name="Station Summary" sheetId="7" r:id="rId9"/>
    <sheet name="Other Tables" sheetId="15" r:id="rId10"/>
    <sheet name="PTRM Inputs" sheetId="4" r:id="rId11"/>
  </sheets>
  <definedNames>
    <definedName name="Thousands">Escalators!$C$44</definedName>
  </definedNames>
  <calcPr calcId="145621"/>
</workbook>
</file>

<file path=xl/calcChain.xml><?xml version="1.0" encoding="utf-8"?>
<calcChain xmlns="http://schemas.openxmlformats.org/spreadsheetml/2006/main">
  <c r="H123" i="2" l="1"/>
  <c r="G123" i="2"/>
  <c r="F123" i="2"/>
  <c r="E123" i="2"/>
  <c r="D123" i="2"/>
  <c r="C123" i="2"/>
  <c r="C23" i="15" l="1"/>
  <c r="D23" i="15"/>
  <c r="D30" i="15" s="1"/>
  <c r="E23" i="15"/>
  <c r="E30" i="15" s="1"/>
  <c r="F23" i="15"/>
  <c r="G23" i="15"/>
  <c r="H23" i="15"/>
  <c r="I23" i="15"/>
  <c r="I30" i="15" s="1"/>
  <c r="I38" i="15" s="1"/>
  <c r="J23" i="15"/>
  <c r="K23" i="15"/>
  <c r="C24" i="15"/>
  <c r="D24" i="15"/>
  <c r="D37" i="15" s="1"/>
  <c r="E24" i="15"/>
  <c r="F24" i="15"/>
  <c r="G24" i="15"/>
  <c r="H24" i="15"/>
  <c r="L24" i="15" s="1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I40" i="15" s="1"/>
  <c r="J27" i="15"/>
  <c r="K27" i="15"/>
  <c r="C28" i="15"/>
  <c r="D28" i="15"/>
  <c r="D41" i="15" s="1"/>
  <c r="E28" i="15"/>
  <c r="F28" i="15"/>
  <c r="G28" i="15"/>
  <c r="H28" i="15"/>
  <c r="H41" i="15" s="1"/>
  <c r="I28" i="15"/>
  <c r="J28" i="15"/>
  <c r="K28" i="15"/>
  <c r="C29" i="15"/>
  <c r="D29" i="15"/>
  <c r="E29" i="15"/>
  <c r="F29" i="15"/>
  <c r="G29" i="15"/>
  <c r="H29" i="15"/>
  <c r="I29" i="15"/>
  <c r="J29" i="15"/>
  <c r="K29" i="15"/>
  <c r="H30" i="15"/>
  <c r="H36" i="15" s="1"/>
  <c r="C32" i="15" a="1"/>
  <c r="C32" i="15" s="1"/>
  <c r="L32" i="15"/>
  <c r="E36" i="15" l="1"/>
  <c r="E38" i="15"/>
  <c r="E40" i="15"/>
  <c r="E42" i="15"/>
  <c r="D36" i="15"/>
  <c r="D39" i="15"/>
  <c r="I42" i="15"/>
  <c r="H39" i="15"/>
  <c r="I39" i="15"/>
  <c r="L27" i="15"/>
  <c r="L26" i="15"/>
  <c r="L30" i="15" s="1"/>
  <c r="L28" i="15"/>
  <c r="L25" i="15"/>
  <c r="H37" i="15"/>
  <c r="I36" i="15"/>
  <c r="L29" i="15"/>
  <c r="I41" i="15"/>
  <c r="E41" i="15"/>
  <c r="J30" i="15"/>
  <c r="J38" i="15" s="1"/>
  <c r="L23" i="15"/>
  <c r="J39" i="15"/>
  <c r="J36" i="15"/>
  <c r="F32" i="15"/>
  <c r="J32" i="15"/>
  <c r="J33" i="15" s="1"/>
  <c r="I32" i="15"/>
  <c r="I33" i="15" s="1"/>
  <c r="E32" i="15"/>
  <c r="E33" i="15" s="1"/>
  <c r="H42" i="15"/>
  <c r="D42" i="15"/>
  <c r="H40" i="15"/>
  <c r="D40" i="15"/>
  <c r="H38" i="15"/>
  <c r="H43" i="15" s="1"/>
  <c r="D38" i="15"/>
  <c r="D43" i="15" s="1"/>
  <c r="H32" i="15"/>
  <c r="H33" i="15" s="1"/>
  <c r="D32" i="15"/>
  <c r="D33" i="15" s="1"/>
  <c r="K30" i="15"/>
  <c r="K40" i="15" s="1"/>
  <c r="G30" i="15"/>
  <c r="C30" i="15"/>
  <c r="C42" i="15" s="1"/>
  <c r="C40" i="15"/>
  <c r="E39" i="15"/>
  <c r="E43" i="15" s="1"/>
  <c r="I37" i="15"/>
  <c r="E37" i="15"/>
  <c r="K32" i="15"/>
  <c r="G32" i="15"/>
  <c r="F30" i="15"/>
  <c r="G8" i="15"/>
  <c r="F8" i="15"/>
  <c r="E8" i="15"/>
  <c r="D8" i="15"/>
  <c r="C8" i="15"/>
  <c r="G7" i="15"/>
  <c r="F7" i="15"/>
  <c r="E7" i="15"/>
  <c r="D7" i="15"/>
  <c r="C7" i="15"/>
  <c r="G6" i="15"/>
  <c r="F6" i="15"/>
  <c r="E6" i="15"/>
  <c r="D6" i="15"/>
  <c r="C6" i="15"/>
  <c r="G5" i="15"/>
  <c r="F5" i="15"/>
  <c r="E5" i="15"/>
  <c r="D5" i="15"/>
  <c r="C5" i="15"/>
  <c r="L33" i="15" l="1"/>
  <c r="J37" i="15"/>
  <c r="I43" i="15"/>
  <c r="J41" i="15"/>
  <c r="J43" i="15" s="1"/>
  <c r="J40" i="15"/>
  <c r="J42" i="15"/>
  <c r="G36" i="15"/>
  <c r="G38" i="15"/>
  <c r="G33" i="15"/>
  <c r="G37" i="15"/>
  <c r="G39" i="15"/>
  <c r="G41" i="15"/>
  <c r="G42" i="15"/>
  <c r="K36" i="15"/>
  <c r="K38" i="15"/>
  <c r="K33" i="15"/>
  <c r="K37" i="15"/>
  <c r="K39" i="15"/>
  <c r="K41" i="15"/>
  <c r="K42" i="15"/>
  <c r="F33" i="15"/>
  <c r="F37" i="15"/>
  <c r="F39" i="15"/>
  <c r="F41" i="15"/>
  <c r="F36" i="15"/>
  <c r="F38" i="15"/>
  <c r="F40" i="15"/>
  <c r="F42" i="15"/>
  <c r="C36" i="15"/>
  <c r="C38" i="15"/>
  <c r="C33" i="15"/>
  <c r="C37" i="15"/>
  <c r="C39" i="15"/>
  <c r="C41" i="15"/>
  <c r="G40" i="15"/>
  <c r="F9" i="15"/>
  <c r="H8" i="15"/>
  <c r="H7" i="15"/>
  <c r="C9" i="15"/>
  <c r="G9" i="15"/>
  <c r="D9" i="15"/>
  <c r="H6" i="15"/>
  <c r="E9" i="15"/>
  <c r="H5" i="15"/>
  <c r="M30" i="15" s="1"/>
  <c r="O11" i="4"/>
  <c r="N11" i="4"/>
  <c r="M11" i="4"/>
  <c r="L11" i="4"/>
  <c r="K11" i="4"/>
  <c r="P11" i="4"/>
  <c r="L40" i="15" l="1"/>
  <c r="L41" i="15"/>
  <c r="L38" i="15"/>
  <c r="K43" i="15"/>
  <c r="L42" i="15"/>
  <c r="L39" i="15"/>
  <c r="L36" i="15"/>
  <c r="C43" i="15"/>
  <c r="F43" i="15"/>
  <c r="L37" i="15"/>
  <c r="G43" i="15"/>
  <c r="H9" i="15"/>
  <c r="L43" i="15" l="1"/>
  <c r="J15" i="7"/>
  <c r="G51" i="4"/>
  <c r="F51" i="4"/>
  <c r="E51" i="4"/>
  <c r="D51" i="4"/>
  <c r="C51" i="4"/>
  <c r="H50" i="4"/>
  <c r="H51" i="4"/>
  <c r="AM15" i="1"/>
  <c r="H95" i="1"/>
  <c r="AG15" i="1"/>
  <c r="AH15" i="1"/>
  <c r="AI15" i="1"/>
  <c r="AJ15" i="1"/>
  <c r="AK15" i="1"/>
  <c r="H15" i="1"/>
  <c r="D7" i="3" l="1"/>
  <c r="E7" i="3" l="1"/>
  <c r="F7" i="3" l="1"/>
  <c r="G7" i="3" l="1"/>
  <c r="H7" i="3" l="1"/>
  <c r="G83" i="6" l="1"/>
  <c r="F83" i="6"/>
  <c r="E83" i="6"/>
  <c r="D83" i="6"/>
  <c r="C83" i="6"/>
  <c r="H29" i="6"/>
  <c r="H28" i="6"/>
  <c r="H27" i="6"/>
  <c r="G30" i="6"/>
  <c r="G31" i="6" s="1"/>
  <c r="F30" i="6"/>
  <c r="F31" i="6" s="1"/>
  <c r="E30" i="6"/>
  <c r="E31" i="6" s="1"/>
  <c r="D30" i="6"/>
  <c r="D31" i="6" s="1"/>
  <c r="C30" i="6"/>
  <c r="C31" i="6" s="1"/>
  <c r="H83" i="6" l="1"/>
  <c r="H30" i="6"/>
  <c r="H94" i="1" l="1"/>
  <c r="H91" i="1"/>
  <c r="H90" i="1"/>
  <c r="H89" i="1"/>
  <c r="H88" i="1"/>
  <c r="H87" i="1"/>
  <c r="H86" i="1"/>
  <c r="H85" i="1"/>
  <c r="H84" i="1"/>
  <c r="H83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7" i="1"/>
  <c r="I127" i="1" l="1"/>
  <c r="M127" i="1"/>
  <c r="L127" i="1"/>
  <c r="J127" i="1"/>
  <c r="I128" i="1"/>
  <c r="K127" i="1"/>
  <c r="L128" i="1"/>
  <c r="M128" i="1"/>
  <c r="AE128" i="1"/>
  <c r="AA128" i="1"/>
  <c r="AB127" i="1"/>
  <c r="W128" i="1"/>
  <c r="X127" i="1"/>
  <c r="S128" i="1"/>
  <c r="O128" i="1"/>
  <c r="P127" i="1"/>
  <c r="V127" i="1"/>
  <c r="R127" i="1"/>
  <c r="AC127" i="1"/>
  <c r="Y127" i="1"/>
  <c r="P128" i="1"/>
  <c r="AD128" i="1"/>
  <c r="AE127" i="1"/>
  <c r="AA127" i="1"/>
  <c r="V128" i="1"/>
  <c r="W127" i="1"/>
  <c r="R128" i="1"/>
  <c r="S127" i="1"/>
  <c r="O127" i="1"/>
  <c r="AC128" i="1"/>
  <c r="AD127" i="1"/>
  <c r="Y128" i="1"/>
  <c r="U128" i="1"/>
  <c r="Q128" i="1"/>
  <c r="AB128" i="1"/>
  <c r="X128" i="1"/>
  <c r="U127" i="1"/>
  <c r="Q127" i="1"/>
  <c r="E108" i="2"/>
  <c r="H21" i="6" l="1"/>
  <c r="H20" i="6"/>
  <c r="H31" i="6" s="1"/>
  <c r="G22" i="6"/>
  <c r="F22" i="6"/>
  <c r="E22" i="6"/>
  <c r="D22" i="6"/>
  <c r="C22" i="6"/>
  <c r="D36" i="6" l="1"/>
  <c r="E36" i="6"/>
  <c r="F36" i="6"/>
  <c r="C35" i="6"/>
  <c r="G36" i="6"/>
  <c r="D35" i="6"/>
  <c r="H22" i="6"/>
  <c r="G35" i="6"/>
  <c r="G37" i="6" s="1"/>
  <c r="G38" i="6" s="1"/>
  <c r="E35" i="6"/>
  <c r="F35" i="6"/>
  <c r="C36" i="6"/>
  <c r="C37" i="6" s="1"/>
  <c r="C38" i="6" s="1"/>
  <c r="D37" i="6"/>
  <c r="D38" i="6" s="1"/>
  <c r="H35" i="6" l="1"/>
  <c r="E37" i="6"/>
  <c r="E38" i="6" s="1"/>
  <c r="F37" i="6"/>
  <c r="F38" i="6" s="1"/>
  <c r="H36" i="6"/>
  <c r="H37" i="6" l="1"/>
  <c r="AK127" i="1" l="1"/>
  <c r="AJ127" i="1"/>
  <c r="AI127" i="1"/>
  <c r="AH127" i="1"/>
  <c r="AG127" i="1"/>
  <c r="AG128" i="1"/>
  <c r="K128" i="1"/>
  <c r="J128" i="1"/>
  <c r="F19" i="13" l="1"/>
  <c r="H19" i="13"/>
  <c r="E19" i="13"/>
  <c r="AJ128" i="1"/>
  <c r="G20" i="13" s="1"/>
  <c r="AH128" i="1"/>
  <c r="E20" i="13" s="1"/>
  <c r="AI128" i="1"/>
  <c r="D20" i="13"/>
  <c r="AM127" i="1"/>
  <c r="G19" i="13"/>
  <c r="D19" i="13"/>
  <c r="AK128" i="1"/>
  <c r="H20" i="13" s="1"/>
  <c r="I19" i="13" l="1"/>
  <c r="F20" i="13"/>
  <c r="AM128" i="1"/>
  <c r="I20" i="13" l="1"/>
  <c r="G108" i="2"/>
  <c r="F108" i="2"/>
  <c r="D108" i="2"/>
  <c r="C108" i="2"/>
  <c r="N36" i="2" l="1"/>
  <c r="N37" i="2"/>
  <c r="N41" i="2"/>
  <c r="N33" i="2"/>
  <c r="N43" i="2"/>
  <c r="N35" i="2" s="1"/>
  <c r="N40" i="2" l="1"/>
  <c r="N34" i="2"/>
  <c r="N38" i="2"/>
  <c r="N39" i="2"/>
  <c r="M6" i="2"/>
  <c r="M5" i="2"/>
  <c r="C5" i="3" l="1"/>
  <c r="AK95" i="1" l="1"/>
  <c r="AJ95" i="1"/>
  <c r="AI95" i="1"/>
  <c r="AH95" i="1"/>
  <c r="AG95" i="1"/>
  <c r="AK96" i="1"/>
  <c r="AJ96" i="1"/>
  <c r="AI96" i="1"/>
  <c r="AH96" i="1"/>
  <c r="AG96" i="1"/>
  <c r="AM96" i="1" l="1"/>
  <c r="AM95" i="1"/>
  <c r="L108" i="1"/>
  <c r="K108" i="1"/>
  <c r="J108" i="1"/>
  <c r="H106" i="2"/>
  <c r="H107" i="2"/>
  <c r="G121" i="2"/>
  <c r="D121" i="2"/>
  <c r="C121" i="2"/>
  <c r="Q108" i="1" l="1"/>
  <c r="AN95" i="1"/>
  <c r="AC108" i="1"/>
  <c r="AN96" i="1"/>
  <c r="Y108" i="1"/>
  <c r="X108" i="1"/>
  <c r="P108" i="1"/>
  <c r="U108" i="1"/>
  <c r="AD108" i="1"/>
  <c r="E121" i="2"/>
  <c r="AK94" i="1"/>
  <c r="AH94" i="1"/>
  <c r="V108" i="1"/>
  <c r="AA108" i="1"/>
  <c r="AE108" i="1"/>
  <c r="R108" i="1"/>
  <c r="AI94" i="1"/>
  <c r="W108" i="1"/>
  <c r="AB108" i="1"/>
  <c r="O108" i="1"/>
  <c r="S108" i="1"/>
  <c r="AG94" i="1"/>
  <c r="AJ94" i="1"/>
  <c r="I108" i="1"/>
  <c r="M108" i="1"/>
  <c r="AI108" i="1" l="1"/>
  <c r="AM94" i="1"/>
  <c r="AH108" i="1"/>
  <c r="AJ108" i="1"/>
  <c r="AK108" i="1"/>
  <c r="H105" i="2"/>
  <c r="F121" i="2"/>
  <c r="AG108" i="1"/>
  <c r="H15" i="7" l="1"/>
  <c r="H16" i="7" s="1"/>
  <c r="H17" i="7" s="1"/>
  <c r="H108" i="2"/>
  <c r="H121" i="2" s="1"/>
  <c r="AM108" i="1"/>
  <c r="AN94" i="1"/>
  <c r="I15" i="7" l="1"/>
  <c r="AN108" i="1"/>
  <c r="H47" i="2"/>
  <c r="K56" i="2" l="1"/>
  <c r="K55" i="2"/>
  <c r="K54" i="2"/>
  <c r="K53" i="2"/>
  <c r="K52" i="2"/>
  <c r="K51" i="2"/>
  <c r="K50" i="2"/>
  <c r="K49" i="2"/>
  <c r="K48" i="2"/>
  <c r="K86" i="2"/>
  <c r="J86" i="2"/>
  <c r="K57" i="2" l="1"/>
  <c r="C23" i="5" l="1"/>
  <c r="C22" i="5"/>
  <c r="H7" i="5"/>
  <c r="H8" i="5" l="1"/>
  <c r="C10" i="3" l="1"/>
  <c r="E31" i="7" l="1"/>
  <c r="H29" i="7"/>
  <c r="H25" i="7"/>
  <c r="F31" i="7"/>
  <c r="H28" i="7"/>
  <c r="H24" i="7"/>
  <c r="C31" i="7"/>
  <c r="G31" i="7"/>
  <c r="H27" i="7"/>
  <c r="H23" i="7"/>
  <c r="D31" i="7"/>
  <c r="H30" i="7"/>
  <c r="H26" i="7"/>
  <c r="H22" i="7"/>
  <c r="H31" i="7"/>
  <c r="I31" i="7" l="1"/>
  <c r="K31" i="7" s="1"/>
  <c r="H32" i="7"/>
  <c r="C31" i="3" l="1"/>
  <c r="D31" i="3" s="1"/>
  <c r="C30" i="3" l="1"/>
  <c r="D30" i="3" s="1"/>
  <c r="C35" i="3"/>
  <c r="C36" i="3" s="1"/>
  <c r="D36" i="3" s="1"/>
  <c r="G25" i="12"/>
  <c r="F25" i="12"/>
  <c r="E25" i="12"/>
  <c r="D25" i="12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E31" i="3"/>
  <c r="F31" i="3" s="1"/>
  <c r="G31" i="3" s="1"/>
  <c r="H31" i="3" s="1"/>
  <c r="E30" i="3"/>
  <c r="E42" i="13" l="1"/>
  <c r="E43" i="13"/>
  <c r="E66" i="13" s="1"/>
  <c r="D12" i="4" s="1"/>
  <c r="D42" i="13"/>
  <c r="D43" i="13"/>
  <c r="F30" i="3"/>
  <c r="K42" i="2"/>
  <c r="C29" i="5"/>
  <c r="C28" i="5"/>
  <c r="C27" i="5"/>
  <c r="C26" i="5"/>
  <c r="C25" i="5"/>
  <c r="C24" i="5"/>
  <c r="C21" i="5"/>
  <c r="D66" i="13" l="1"/>
  <c r="C12" i="4" s="1"/>
  <c r="D65" i="13"/>
  <c r="F42" i="13"/>
  <c r="F43" i="13"/>
  <c r="F66" i="13" s="1"/>
  <c r="E12" i="4" s="1"/>
  <c r="E65" i="13"/>
  <c r="G30" i="3"/>
  <c r="C11" i="4" l="1"/>
  <c r="D11" i="4"/>
  <c r="G42" i="13"/>
  <c r="G43" i="13"/>
  <c r="F65" i="13"/>
  <c r="H30" i="3"/>
  <c r="G68" i="12"/>
  <c r="F68" i="12"/>
  <c r="E68" i="12"/>
  <c r="H68" i="12" s="1"/>
  <c r="D68" i="12"/>
  <c r="C68" i="12"/>
  <c r="G72" i="6"/>
  <c r="F72" i="6"/>
  <c r="E72" i="6"/>
  <c r="D72" i="6"/>
  <c r="C72" i="6"/>
  <c r="H56" i="12"/>
  <c r="H54" i="12"/>
  <c r="H42" i="12"/>
  <c r="H36" i="12"/>
  <c r="H26" i="12"/>
  <c r="G28" i="12"/>
  <c r="G70" i="12" s="1"/>
  <c r="F28" i="12"/>
  <c r="F70" i="12" s="1"/>
  <c r="E28" i="12"/>
  <c r="E70" i="12" s="1"/>
  <c r="D28" i="12"/>
  <c r="D70" i="12" s="1"/>
  <c r="C28" i="12"/>
  <c r="G17" i="6"/>
  <c r="F17" i="6"/>
  <c r="E17" i="6"/>
  <c r="D17" i="6"/>
  <c r="C17" i="6"/>
  <c r="E11" i="4" l="1"/>
  <c r="G65" i="13"/>
  <c r="H42" i="13"/>
  <c r="H43" i="13"/>
  <c r="G66" i="13"/>
  <c r="F12" i="4" s="1"/>
  <c r="G45" i="6"/>
  <c r="G46" i="6" s="1"/>
  <c r="F45" i="6"/>
  <c r="F46" i="6" s="1"/>
  <c r="E45" i="6"/>
  <c r="E46" i="6" s="1"/>
  <c r="H28" i="12"/>
  <c r="C70" i="12"/>
  <c r="H70" i="12" s="1"/>
  <c r="C45" i="6"/>
  <c r="C46" i="6" s="1"/>
  <c r="D45" i="6"/>
  <c r="D46" i="6" s="1"/>
  <c r="C27" i="12"/>
  <c r="G27" i="12"/>
  <c r="H25" i="12"/>
  <c r="H17" i="6"/>
  <c r="H72" i="6"/>
  <c r="F27" i="12"/>
  <c r="H24" i="12"/>
  <c r="H22" i="12"/>
  <c r="E27" i="12"/>
  <c r="D27" i="12"/>
  <c r="H23" i="12"/>
  <c r="H21" i="12"/>
  <c r="F11" i="4" l="1"/>
  <c r="H65" i="13"/>
  <c r="I42" i="13"/>
  <c r="H66" i="13"/>
  <c r="G12" i="4" s="1"/>
  <c r="I43" i="13"/>
  <c r="E29" i="12"/>
  <c r="E30" i="12" s="1"/>
  <c r="E31" i="12"/>
  <c r="D29" i="12"/>
  <c r="D30" i="12" s="1"/>
  <c r="D31" i="12"/>
  <c r="F29" i="12"/>
  <c r="F30" i="12" s="1"/>
  <c r="F31" i="12"/>
  <c r="G29" i="12"/>
  <c r="G30" i="12" s="1"/>
  <c r="G31" i="12"/>
  <c r="C29" i="12"/>
  <c r="C30" i="12" s="1"/>
  <c r="C31" i="12"/>
  <c r="H27" i="12"/>
  <c r="I65" i="13" l="1"/>
  <c r="G11" i="4"/>
  <c r="I66" i="13"/>
  <c r="H29" i="12"/>
  <c r="H30" i="12" s="1"/>
  <c r="H31" i="12"/>
  <c r="H44" i="6" l="1"/>
  <c r="H43" i="6"/>
  <c r="H42" i="6"/>
  <c r="H45" i="6" l="1"/>
  <c r="H46" i="6" s="1"/>
  <c r="J57" i="2"/>
  <c r="H14" i="5" l="1"/>
  <c r="G15" i="5"/>
  <c r="F15" i="5"/>
  <c r="E15" i="5"/>
  <c r="D15" i="5"/>
  <c r="C15" i="5"/>
  <c r="J100" i="2"/>
  <c r="G97" i="2"/>
  <c r="F97" i="2"/>
  <c r="E97" i="2"/>
  <c r="D97" i="2"/>
  <c r="C97" i="2"/>
  <c r="K6" i="4" l="1"/>
  <c r="K7" i="4"/>
  <c r="M6" i="4"/>
  <c r="N6" i="4"/>
  <c r="O6" i="4"/>
  <c r="L6" i="4"/>
  <c r="W89" i="1"/>
  <c r="J89" i="1"/>
  <c r="P89" i="1"/>
  <c r="V89" i="1"/>
  <c r="AB89" i="1"/>
  <c r="AC89" i="1"/>
  <c r="Q89" i="1"/>
  <c r="G99" i="2" l="1"/>
  <c r="F99" i="2"/>
  <c r="E99" i="2"/>
  <c r="D99" i="2"/>
  <c r="C99" i="2"/>
  <c r="G96" i="2"/>
  <c r="F96" i="2"/>
  <c r="E96" i="2"/>
  <c r="D96" i="2"/>
  <c r="C96" i="2"/>
  <c r="G95" i="2"/>
  <c r="F95" i="2"/>
  <c r="E95" i="2"/>
  <c r="D95" i="2"/>
  <c r="C95" i="2"/>
  <c r="G93" i="2"/>
  <c r="F93" i="2"/>
  <c r="E93" i="2"/>
  <c r="D93" i="2"/>
  <c r="C93" i="2"/>
  <c r="G92" i="2"/>
  <c r="F92" i="2"/>
  <c r="E92" i="2"/>
  <c r="D92" i="2"/>
  <c r="C92" i="2"/>
  <c r="C91" i="2"/>
  <c r="G91" i="2"/>
  <c r="F91" i="2"/>
  <c r="E91" i="2"/>
  <c r="D91" i="2"/>
  <c r="M96" i="2"/>
  <c r="AB84" i="1" l="1"/>
  <c r="AB85" i="1"/>
  <c r="AB83" i="1"/>
  <c r="AC87" i="1"/>
  <c r="AB87" i="1"/>
  <c r="AC88" i="1"/>
  <c r="AB88" i="1"/>
  <c r="AC91" i="1"/>
  <c r="AB91" i="1"/>
  <c r="E36" i="3" l="1"/>
  <c r="L7" i="4" s="1"/>
  <c r="F36" i="3" l="1"/>
  <c r="M7" i="4" s="1"/>
  <c r="G36" i="3" l="1"/>
  <c r="N7" i="4" s="1"/>
  <c r="M8" i="4"/>
  <c r="M12" i="4" s="1"/>
  <c r="C30" i="5"/>
  <c r="C31" i="5" s="1"/>
  <c r="K8" i="4"/>
  <c r="K12" i="4" s="1"/>
  <c r="H9" i="5"/>
  <c r="H11" i="5"/>
  <c r="H12" i="5"/>
  <c r="H13" i="5"/>
  <c r="H10" i="5"/>
  <c r="H6" i="5"/>
  <c r="M9" i="4" l="1"/>
  <c r="K9" i="4"/>
  <c r="H36" i="3"/>
  <c r="O7" i="4" s="1"/>
  <c r="L8" i="4"/>
  <c r="L12" i="4" s="1"/>
  <c r="P6" i="4"/>
  <c r="H15" i="5"/>
  <c r="E8" i="3"/>
  <c r="J28" i="1"/>
  <c r="J29" i="1"/>
  <c r="P29" i="1"/>
  <c r="K40" i="1"/>
  <c r="J30" i="1"/>
  <c r="P30" i="1"/>
  <c r="J41" i="1"/>
  <c r="P41" i="1"/>
  <c r="Q41" i="1"/>
  <c r="J31" i="1"/>
  <c r="W31" i="1"/>
  <c r="H9" i="2"/>
  <c r="Q32" i="1"/>
  <c r="AB32" i="1"/>
  <c r="Q43" i="1"/>
  <c r="J33" i="1"/>
  <c r="W33" i="1"/>
  <c r="Q44" i="1"/>
  <c r="J34" i="1"/>
  <c r="W34" i="1"/>
  <c r="Q35" i="1"/>
  <c r="K46" i="1"/>
  <c r="J36" i="1"/>
  <c r="Q87" i="1"/>
  <c r="Q88" i="1"/>
  <c r="Q91" i="1"/>
  <c r="W87" i="1"/>
  <c r="W88" i="1"/>
  <c r="W91" i="1"/>
  <c r="J83" i="1"/>
  <c r="J84" i="1"/>
  <c r="J85" i="1"/>
  <c r="J87" i="1"/>
  <c r="J88" i="1"/>
  <c r="J91" i="1"/>
  <c r="P83" i="1"/>
  <c r="P84" i="1"/>
  <c r="P85" i="1"/>
  <c r="P87" i="1"/>
  <c r="P88" i="1"/>
  <c r="P91" i="1"/>
  <c r="V83" i="1"/>
  <c r="V84" i="1"/>
  <c r="V85" i="1"/>
  <c r="V87" i="1"/>
  <c r="V88" i="1"/>
  <c r="V91" i="1"/>
  <c r="G16" i="6"/>
  <c r="G23" i="6" s="1"/>
  <c r="F16" i="6"/>
  <c r="F23" i="6" s="1"/>
  <c r="E16" i="6"/>
  <c r="E23" i="6" s="1"/>
  <c r="D16" i="6"/>
  <c r="D23" i="6" s="1"/>
  <c r="C16" i="6"/>
  <c r="C23" i="6" s="1"/>
  <c r="H49" i="4"/>
  <c r="H48" i="4"/>
  <c r="H47" i="4"/>
  <c r="H46" i="4"/>
  <c r="H45" i="4"/>
  <c r="H44" i="4"/>
  <c r="H43" i="4"/>
  <c r="G52" i="4"/>
  <c r="F52" i="4"/>
  <c r="E52" i="4"/>
  <c r="D52" i="4"/>
  <c r="C52" i="4"/>
  <c r="H8" i="4"/>
  <c r="H9" i="4"/>
  <c r="H11" i="4"/>
  <c r="H12" i="4"/>
  <c r="P72" i="1"/>
  <c r="V72" i="1"/>
  <c r="P73" i="1"/>
  <c r="V73" i="1"/>
  <c r="P74" i="1"/>
  <c r="V74" i="1"/>
  <c r="V76" i="1"/>
  <c r="P76" i="1"/>
  <c r="V77" i="1"/>
  <c r="P77" i="1"/>
  <c r="V80" i="1"/>
  <c r="P80" i="1"/>
  <c r="P75" i="1"/>
  <c r="V75" i="1"/>
  <c r="P78" i="1"/>
  <c r="V78" i="1"/>
  <c r="P79" i="1"/>
  <c r="V79" i="1"/>
  <c r="I72" i="1"/>
  <c r="O72" i="1"/>
  <c r="U72" i="1"/>
  <c r="I73" i="1"/>
  <c r="O73" i="1"/>
  <c r="U73" i="1"/>
  <c r="I74" i="1"/>
  <c r="O74" i="1"/>
  <c r="U74" i="1"/>
  <c r="I75" i="1"/>
  <c r="O75" i="1"/>
  <c r="U75" i="1"/>
  <c r="I76" i="1"/>
  <c r="O76" i="1"/>
  <c r="U76" i="1"/>
  <c r="I77" i="1"/>
  <c r="O77" i="1"/>
  <c r="U77" i="1"/>
  <c r="I78" i="1"/>
  <c r="O78" i="1"/>
  <c r="U78" i="1"/>
  <c r="I79" i="1"/>
  <c r="O79" i="1"/>
  <c r="U79" i="1"/>
  <c r="I80" i="1"/>
  <c r="O80" i="1"/>
  <c r="U80" i="1"/>
  <c r="H99" i="2"/>
  <c r="H98" i="2"/>
  <c r="H97" i="2"/>
  <c r="H96" i="2"/>
  <c r="H95" i="2"/>
  <c r="H94" i="2"/>
  <c r="H93" i="2"/>
  <c r="H92" i="2"/>
  <c r="H91" i="2"/>
  <c r="G100" i="2"/>
  <c r="F100" i="2"/>
  <c r="E100" i="2"/>
  <c r="D100" i="2"/>
  <c r="C100" i="2"/>
  <c r="H85" i="2"/>
  <c r="H78" i="2"/>
  <c r="H81" i="2"/>
  <c r="H83" i="2"/>
  <c r="H77" i="2"/>
  <c r="H79" i="2"/>
  <c r="H80" i="2"/>
  <c r="H82" i="2"/>
  <c r="H84" i="2"/>
  <c r="G86" i="2"/>
  <c r="F86" i="2"/>
  <c r="E86" i="2"/>
  <c r="D86" i="2"/>
  <c r="C86" i="2"/>
  <c r="P62" i="2"/>
  <c r="E72" i="2"/>
  <c r="J72" i="2"/>
  <c r="C48" i="2"/>
  <c r="D48" i="2"/>
  <c r="O50" i="1" s="1"/>
  <c r="E48" i="2"/>
  <c r="F48" i="2"/>
  <c r="G48" i="2"/>
  <c r="AA50" i="1" s="1"/>
  <c r="C49" i="2"/>
  <c r="K51" i="1" s="1"/>
  <c r="D49" i="2"/>
  <c r="E49" i="2"/>
  <c r="F49" i="2"/>
  <c r="G49" i="2"/>
  <c r="AC51" i="1" s="1"/>
  <c r="C50" i="2"/>
  <c r="J52" i="1" s="1"/>
  <c r="D50" i="2"/>
  <c r="P52" i="1" s="1"/>
  <c r="E50" i="2"/>
  <c r="F50" i="2"/>
  <c r="G50" i="2"/>
  <c r="AB52" i="1" s="1"/>
  <c r="C51" i="2"/>
  <c r="I53" i="1" s="1"/>
  <c r="D51" i="2"/>
  <c r="E51" i="2"/>
  <c r="F51" i="2"/>
  <c r="W53" i="1" s="1"/>
  <c r="G51" i="2"/>
  <c r="AB53" i="1" s="1"/>
  <c r="C52" i="2"/>
  <c r="K54" i="1" s="1"/>
  <c r="D52" i="2"/>
  <c r="E52" i="2"/>
  <c r="F52" i="2"/>
  <c r="G52" i="2"/>
  <c r="AB54" i="1" s="1"/>
  <c r="C53" i="2"/>
  <c r="J55" i="1" s="1"/>
  <c r="D53" i="2"/>
  <c r="E53" i="2"/>
  <c r="F53" i="2"/>
  <c r="W55" i="1" s="1"/>
  <c r="G53" i="2"/>
  <c r="AC55" i="1" s="1"/>
  <c r="C54" i="2"/>
  <c r="K56" i="1" s="1"/>
  <c r="D54" i="2"/>
  <c r="E54" i="2"/>
  <c r="E118" i="2" s="1"/>
  <c r="F54" i="2"/>
  <c r="G54" i="2"/>
  <c r="C55" i="2"/>
  <c r="I57" i="1" s="1"/>
  <c r="D55" i="2"/>
  <c r="E55" i="2"/>
  <c r="F55" i="2"/>
  <c r="V57" i="1" s="1"/>
  <c r="G55" i="2"/>
  <c r="AB57" i="1" s="1"/>
  <c r="C56" i="2"/>
  <c r="I58" i="1" s="1"/>
  <c r="D56" i="2"/>
  <c r="O58" i="1" s="1"/>
  <c r="E56" i="2"/>
  <c r="E120" i="2" s="1"/>
  <c r="F56" i="2"/>
  <c r="G56" i="2"/>
  <c r="G42" i="2"/>
  <c r="F42" i="2"/>
  <c r="E42" i="2"/>
  <c r="AG36" i="1"/>
  <c r="AG35" i="1"/>
  <c r="AG34" i="1"/>
  <c r="AG33" i="1"/>
  <c r="AG32" i="1"/>
  <c r="AG31" i="1"/>
  <c r="AG30" i="1"/>
  <c r="AI30" i="1"/>
  <c r="AG29" i="1"/>
  <c r="AI29" i="1"/>
  <c r="AG28" i="1"/>
  <c r="AI28" i="1"/>
  <c r="H10" i="2"/>
  <c r="H6" i="2"/>
  <c r="AK91" i="1"/>
  <c r="AJ91" i="1"/>
  <c r="AG91" i="1"/>
  <c r="AK90" i="1"/>
  <c r="AJ90" i="1"/>
  <c r="AI90" i="1"/>
  <c r="AH90" i="1"/>
  <c r="AG90" i="1"/>
  <c r="AK89" i="1"/>
  <c r="AJ89" i="1"/>
  <c r="AI89" i="1"/>
  <c r="AH89" i="1"/>
  <c r="AG89" i="1"/>
  <c r="AK88" i="1"/>
  <c r="AJ88" i="1"/>
  <c r="AG88" i="1"/>
  <c r="AK87" i="1"/>
  <c r="AJ87" i="1"/>
  <c r="AG87" i="1"/>
  <c r="AK86" i="1"/>
  <c r="AJ86" i="1"/>
  <c r="AI86" i="1"/>
  <c r="AH86" i="1"/>
  <c r="AG86" i="1"/>
  <c r="AK85" i="1"/>
  <c r="AJ85" i="1"/>
  <c r="AI85" i="1"/>
  <c r="AG85" i="1"/>
  <c r="AK84" i="1"/>
  <c r="AJ84" i="1"/>
  <c r="AI84" i="1"/>
  <c r="AG84" i="1"/>
  <c r="AK83" i="1"/>
  <c r="AJ83" i="1"/>
  <c r="AI83" i="1"/>
  <c r="AG83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69" i="1"/>
  <c r="AJ69" i="1"/>
  <c r="AG69" i="1"/>
  <c r="AK68" i="1"/>
  <c r="AJ68" i="1"/>
  <c r="AG68" i="1"/>
  <c r="AK67" i="1"/>
  <c r="AJ67" i="1"/>
  <c r="AG67" i="1"/>
  <c r="AK66" i="1"/>
  <c r="AJ66" i="1"/>
  <c r="AG66" i="1"/>
  <c r="AK65" i="1"/>
  <c r="AJ65" i="1"/>
  <c r="AG65" i="1"/>
  <c r="AK64" i="1"/>
  <c r="AJ64" i="1"/>
  <c r="AG64" i="1"/>
  <c r="AK63" i="1"/>
  <c r="AJ63" i="1"/>
  <c r="AI63" i="1"/>
  <c r="AG63" i="1"/>
  <c r="AK62" i="1"/>
  <c r="AJ62" i="1"/>
  <c r="AI62" i="1"/>
  <c r="AG62" i="1"/>
  <c r="AK61" i="1"/>
  <c r="AJ61" i="1"/>
  <c r="AI61" i="1"/>
  <c r="AG61" i="1"/>
  <c r="AK58" i="1"/>
  <c r="AJ58" i="1"/>
  <c r="AK57" i="1"/>
  <c r="AJ57" i="1"/>
  <c r="AK56" i="1"/>
  <c r="AJ56" i="1"/>
  <c r="AK55" i="1"/>
  <c r="AJ55" i="1"/>
  <c r="AK54" i="1"/>
  <c r="AJ54" i="1"/>
  <c r="AK53" i="1"/>
  <c r="AJ53" i="1"/>
  <c r="AK52" i="1"/>
  <c r="AJ52" i="1"/>
  <c r="AI52" i="1"/>
  <c r="AG52" i="1"/>
  <c r="AK51" i="1"/>
  <c r="AJ51" i="1"/>
  <c r="AK50" i="1"/>
  <c r="AJ50" i="1"/>
  <c r="AK47" i="1"/>
  <c r="AJ47" i="1"/>
  <c r="AG47" i="1"/>
  <c r="AK46" i="1"/>
  <c r="AJ46" i="1"/>
  <c r="AG46" i="1"/>
  <c r="AK45" i="1"/>
  <c r="AJ45" i="1"/>
  <c r="AG45" i="1"/>
  <c r="AK44" i="1"/>
  <c r="AJ44" i="1"/>
  <c r="AG44" i="1"/>
  <c r="AK43" i="1"/>
  <c r="AJ43" i="1"/>
  <c r="AG43" i="1"/>
  <c r="AK42" i="1"/>
  <c r="AJ42" i="1"/>
  <c r="AG42" i="1"/>
  <c r="AK41" i="1"/>
  <c r="AJ41" i="1"/>
  <c r="AG41" i="1"/>
  <c r="AK40" i="1"/>
  <c r="AJ40" i="1"/>
  <c r="AG40" i="1"/>
  <c r="AK39" i="1"/>
  <c r="AJ39" i="1"/>
  <c r="AG39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H52" i="4" l="1"/>
  <c r="Y100" i="1"/>
  <c r="AC100" i="1"/>
  <c r="L9" i="4"/>
  <c r="Y104" i="1"/>
  <c r="AE104" i="1"/>
  <c r="AE103" i="1"/>
  <c r="AH16" i="1"/>
  <c r="D22" i="5"/>
  <c r="D23" i="5"/>
  <c r="W57" i="1"/>
  <c r="G57" i="2"/>
  <c r="U57" i="1"/>
  <c r="U53" i="1"/>
  <c r="U55" i="1"/>
  <c r="J58" i="1"/>
  <c r="V55" i="1"/>
  <c r="V53" i="1"/>
  <c r="H53" i="2"/>
  <c r="L53" i="2" s="1"/>
  <c r="F8" i="3"/>
  <c r="D21" i="5"/>
  <c r="D29" i="5"/>
  <c r="D25" i="5"/>
  <c r="D27" i="5"/>
  <c r="D24" i="5"/>
  <c r="D26" i="5"/>
  <c r="D28" i="5"/>
  <c r="P32" i="1"/>
  <c r="P43" i="1"/>
  <c r="Q58" i="1"/>
  <c r="K41" i="1"/>
  <c r="H55" i="2"/>
  <c r="L55" i="2" s="1"/>
  <c r="AC35" i="1"/>
  <c r="E113" i="2"/>
  <c r="H37" i="2"/>
  <c r="L37" i="2" s="1"/>
  <c r="H51" i="2"/>
  <c r="L51" i="2" s="1"/>
  <c r="P58" i="1"/>
  <c r="AC57" i="1"/>
  <c r="Q50" i="1"/>
  <c r="J46" i="1"/>
  <c r="AB35" i="1"/>
  <c r="P35" i="1"/>
  <c r="E117" i="2"/>
  <c r="E116" i="2"/>
  <c r="E115" i="2"/>
  <c r="E114" i="2"/>
  <c r="V29" i="1"/>
  <c r="U51" i="1"/>
  <c r="H26" i="2"/>
  <c r="F28" i="2"/>
  <c r="H23" i="2"/>
  <c r="H52" i="2"/>
  <c r="L52" i="2" s="1"/>
  <c r="H49" i="2"/>
  <c r="L49" i="2" s="1"/>
  <c r="H86" i="2"/>
  <c r="AB51" i="1"/>
  <c r="AC50" i="1"/>
  <c r="E119" i="2"/>
  <c r="J43" i="1"/>
  <c r="E28" i="2"/>
  <c r="AB28" i="1"/>
  <c r="P28" i="1"/>
  <c r="H19" i="2"/>
  <c r="AB29" i="1"/>
  <c r="W36" i="1"/>
  <c r="Q46" i="1"/>
  <c r="AI46" i="1" s="1"/>
  <c r="P44" i="1"/>
  <c r="H24" i="2"/>
  <c r="K43" i="1"/>
  <c r="AI43" i="1" s="1"/>
  <c r="J39" i="1"/>
  <c r="C28" i="2"/>
  <c r="H36" i="2"/>
  <c r="L36" i="2" s="1"/>
  <c r="J47" i="1"/>
  <c r="V36" i="1"/>
  <c r="P46" i="1"/>
  <c r="V30" i="1"/>
  <c r="H40" i="2"/>
  <c r="L40" i="2" s="1"/>
  <c r="V28" i="1"/>
  <c r="E112" i="2"/>
  <c r="H35" i="2"/>
  <c r="L35" i="2" s="1"/>
  <c r="J45" i="1"/>
  <c r="V34" i="1"/>
  <c r="H38" i="2"/>
  <c r="L38" i="2" s="1"/>
  <c r="V33" i="1"/>
  <c r="AC32" i="1"/>
  <c r="J42" i="1"/>
  <c r="V31" i="1"/>
  <c r="AB30" i="1"/>
  <c r="J40" i="1"/>
  <c r="H16" i="6"/>
  <c r="H23" i="6" s="1"/>
  <c r="AG79" i="1"/>
  <c r="AG73" i="1"/>
  <c r="V58" i="1"/>
  <c r="W58" i="1"/>
  <c r="W50" i="1"/>
  <c r="V50" i="1"/>
  <c r="F57" i="2"/>
  <c r="Q51" i="1"/>
  <c r="O51" i="1"/>
  <c r="W54" i="1"/>
  <c r="V54" i="1"/>
  <c r="P53" i="1"/>
  <c r="O53" i="1"/>
  <c r="Q53" i="1"/>
  <c r="P57" i="1"/>
  <c r="Q57" i="1"/>
  <c r="O57" i="1"/>
  <c r="P51" i="1"/>
  <c r="W56" i="1"/>
  <c r="V56" i="1"/>
  <c r="D57" i="2"/>
  <c r="H48" i="2"/>
  <c r="L48" i="2" s="1"/>
  <c r="C62" i="2"/>
  <c r="G62" i="2"/>
  <c r="D62" i="2"/>
  <c r="F62" i="2"/>
  <c r="P34" i="1"/>
  <c r="Q34" i="1"/>
  <c r="C42" i="2"/>
  <c r="H41" i="2"/>
  <c r="L41" i="2" s="1"/>
  <c r="U58" i="1"/>
  <c r="K57" i="1"/>
  <c r="J57" i="1"/>
  <c r="U54" i="1"/>
  <c r="V52" i="1"/>
  <c r="AH52" i="1" s="1"/>
  <c r="AM52" i="1" s="1"/>
  <c r="U50" i="1"/>
  <c r="AG80" i="1"/>
  <c r="AA51" i="1"/>
  <c r="AA100" i="1" s="1"/>
  <c r="J51" i="1"/>
  <c r="P40" i="1"/>
  <c r="Q40" i="1"/>
  <c r="G14" i="2"/>
  <c r="G28" i="2"/>
  <c r="H21" i="2"/>
  <c r="D42" i="2"/>
  <c r="H34" i="2"/>
  <c r="L34" i="2" s="1"/>
  <c r="C57" i="2"/>
  <c r="H56" i="2"/>
  <c r="L56" i="2" s="1"/>
  <c r="H54" i="2"/>
  <c r="L54" i="2" s="1"/>
  <c r="P56" i="1"/>
  <c r="O56" i="1"/>
  <c r="Q56" i="1"/>
  <c r="O54" i="1"/>
  <c r="P54" i="1"/>
  <c r="H50" i="2"/>
  <c r="L50" i="2" s="1"/>
  <c r="W51" i="1"/>
  <c r="V51" i="1"/>
  <c r="AA57" i="1"/>
  <c r="AG78" i="1"/>
  <c r="AB50" i="1"/>
  <c r="P50" i="1"/>
  <c r="K55" i="1"/>
  <c r="Q54" i="1"/>
  <c r="K47" i="1"/>
  <c r="K36" i="1"/>
  <c r="K45" i="1"/>
  <c r="K34" i="1"/>
  <c r="K33" i="1"/>
  <c r="K42" i="1"/>
  <c r="K31" i="1"/>
  <c r="K39" i="1"/>
  <c r="P36" i="1"/>
  <c r="Q36" i="1"/>
  <c r="J44" i="1"/>
  <c r="K44" i="1"/>
  <c r="AI44" i="1" s="1"/>
  <c r="P33" i="1"/>
  <c r="Q33" i="1"/>
  <c r="P31" i="1"/>
  <c r="Q31" i="1"/>
  <c r="H22" i="2"/>
  <c r="H33" i="2"/>
  <c r="L33" i="2" s="1"/>
  <c r="U56" i="1"/>
  <c r="J53" i="1"/>
  <c r="K53" i="1"/>
  <c r="AG76" i="1"/>
  <c r="AG72" i="1"/>
  <c r="D28" i="2"/>
  <c r="H20" i="2"/>
  <c r="H25" i="2"/>
  <c r="H27" i="2"/>
  <c r="H39" i="2"/>
  <c r="L39" i="2" s="1"/>
  <c r="E57" i="2"/>
  <c r="AC58" i="1"/>
  <c r="AB58" i="1"/>
  <c r="AA58" i="1"/>
  <c r="AA56" i="1"/>
  <c r="AC56" i="1"/>
  <c r="AB56" i="1"/>
  <c r="J56" i="1"/>
  <c r="I56" i="1"/>
  <c r="AC54" i="1"/>
  <c r="AA54" i="1"/>
  <c r="J54" i="1"/>
  <c r="I54" i="1"/>
  <c r="K50" i="1"/>
  <c r="I50" i="1"/>
  <c r="I55" i="1"/>
  <c r="AA53" i="1"/>
  <c r="I51" i="1"/>
  <c r="J50" i="1"/>
  <c r="AC53" i="1"/>
  <c r="K58" i="1"/>
  <c r="Q47" i="1"/>
  <c r="P47" i="1"/>
  <c r="AB36" i="1"/>
  <c r="AC36" i="1"/>
  <c r="V35" i="1"/>
  <c r="W35" i="1"/>
  <c r="K35" i="1"/>
  <c r="J35" i="1"/>
  <c r="P45" i="1"/>
  <c r="Q45" i="1"/>
  <c r="AB34" i="1"/>
  <c r="AC34" i="1"/>
  <c r="AB33" i="1"/>
  <c r="AC33" i="1"/>
  <c r="W32" i="1"/>
  <c r="V32" i="1"/>
  <c r="J32" i="1"/>
  <c r="K32" i="1"/>
  <c r="Q42" i="1"/>
  <c r="P42" i="1"/>
  <c r="AB31" i="1"/>
  <c r="AC31" i="1"/>
  <c r="P39" i="1"/>
  <c r="Q39" i="1"/>
  <c r="AG75" i="1"/>
  <c r="H11" i="2"/>
  <c r="AG77" i="1"/>
  <c r="AG74" i="1"/>
  <c r="O8" i="4"/>
  <c r="O12" i="4" s="1"/>
  <c r="G8" i="3"/>
  <c r="P55" i="1"/>
  <c r="AB55" i="1"/>
  <c r="AA55" i="1"/>
  <c r="O55" i="1"/>
  <c r="Q55" i="1"/>
  <c r="AI87" i="1"/>
  <c r="N8" i="4"/>
  <c r="N12" i="4" s="1"/>
  <c r="AI91" i="1"/>
  <c r="H100" i="2"/>
  <c r="AH85" i="1"/>
  <c r="AM85" i="1" s="1"/>
  <c r="AN85" i="1" s="1"/>
  <c r="AI88" i="1"/>
  <c r="AH83" i="1"/>
  <c r="AM83" i="1" s="1"/>
  <c r="AN83" i="1" s="1"/>
  <c r="AH79" i="1"/>
  <c r="AH75" i="1"/>
  <c r="AH77" i="1"/>
  <c r="AH74" i="1"/>
  <c r="AH72" i="1"/>
  <c r="AH87" i="1"/>
  <c r="AH84" i="1"/>
  <c r="AH78" i="1"/>
  <c r="AH80" i="1"/>
  <c r="AH76" i="1"/>
  <c r="AH73" i="1"/>
  <c r="AM86" i="1"/>
  <c r="AN86" i="1" s="1"/>
  <c r="AM90" i="1"/>
  <c r="AN90" i="1" s="1"/>
  <c r="AH88" i="1"/>
  <c r="AH41" i="1"/>
  <c r="AH91" i="1"/>
  <c r="AM89" i="1"/>
  <c r="AN89" i="1" s="1"/>
  <c r="D14" i="2"/>
  <c r="H8" i="2"/>
  <c r="H13" i="2"/>
  <c r="F14" i="2"/>
  <c r="E14" i="2"/>
  <c r="H5" i="2"/>
  <c r="C14" i="2"/>
  <c r="H12" i="2"/>
  <c r="H7" i="2"/>
  <c r="O104" i="1" l="1"/>
  <c r="AA103" i="1"/>
  <c r="AH17" i="1"/>
  <c r="S103" i="1"/>
  <c r="U103" i="1"/>
  <c r="U104" i="1"/>
  <c r="I100" i="1"/>
  <c r="O103" i="1"/>
  <c r="AI19" i="1"/>
  <c r="AG19" i="1"/>
  <c r="AD104" i="1"/>
  <c r="S100" i="1"/>
  <c r="AG16" i="1"/>
  <c r="K103" i="1"/>
  <c r="X104" i="1"/>
  <c r="AK10" i="1"/>
  <c r="P12" i="4"/>
  <c r="AA106" i="1"/>
  <c r="AI23" i="1"/>
  <c r="O106" i="1"/>
  <c r="U106" i="1"/>
  <c r="AI22" i="1"/>
  <c r="S106" i="1"/>
  <c r="AH23" i="1"/>
  <c r="N9" i="4"/>
  <c r="O105" i="1"/>
  <c r="I105" i="1"/>
  <c r="U105" i="1"/>
  <c r="AG18" i="1"/>
  <c r="AH10" i="1"/>
  <c r="AJ10" i="1"/>
  <c r="L103" i="1"/>
  <c r="AJ16" i="1"/>
  <c r="AD103" i="1"/>
  <c r="L104" i="1"/>
  <c r="AJ18" i="1"/>
  <c r="M104" i="1"/>
  <c r="AK18" i="1"/>
  <c r="AI10" i="1"/>
  <c r="R100" i="1"/>
  <c r="U99" i="1"/>
  <c r="AA107" i="1"/>
  <c r="O107" i="1"/>
  <c r="U107" i="1"/>
  <c r="I103" i="1"/>
  <c r="W100" i="1"/>
  <c r="K100" i="1"/>
  <c r="AJ17" i="1"/>
  <c r="AK17" i="1"/>
  <c r="AI16" i="1"/>
  <c r="AH19" i="1"/>
  <c r="AJ19" i="1"/>
  <c r="S104" i="1"/>
  <c r="AI18" i="1"/>
  <c r="AK19" i="1"/>
  <c r="AH9" i="1"/>
  <c r="AE100" i="1"/>
  <c r="AG10" i="1"/>
  <c r="AD100" i="1"/>
  <c r="AJ9" i="1"/>
  <c r="L100" i="1"/>
  <c r="AA104" i="1"/>
  <c r="O9" i="4"/>
  <c r="O100" i="1"/>
  <c r="AG17" i="1"/>
  <c r="AE101" i="1"/>
  <c r="AA101" i="1"/>
  <c r="W101" i="1"/>
  <c r="S101" i="1"/>
  <c r="O101" i="1"/>
  <c r="AH11" i="1"/>
  <c r="R101" i="1"/>
  <c r="AC101" i="1"/>
  <c r="Y101" i="1"/>
  <c r="Y102" i="1"/>
  <c r="AA102" i="1"/>
  <c r="I104" i="1"/>
  <c r="U100" i="1"/>
  <c r="AK16" i="1"/>
  <c r="M103" i="1"/>
  <c r="Y103" i="1"/>
  <c r="R103" i="1"/>
  <c r="AI17" i="1"/>
  <c r="X103" i="1"/>
  <c r="AH18" i="1"/>
  <c r="R104" i="1"/>
  <c r="AI9" i="1"/>
  <c r="AG9" i="1"/>
  <c r="X100" i="1"/>
  <c r="M100" i="1"/>
  <c r="AK9" i="1"/>
  <c r="K104" i="1"/>
  <c r="AI40" i="1"/>
  <c r="Q100" i="1"/>
  <c r="F23" i="5"/>
  <c r="F22" i="5"/>
  <c r="E23" i="5"/>
  <c r="E22" i="5"/>
  <c r="E122" i="2"/>
  <c r="H62" i="2"/>
  <c r="AH58" i="1"/>
  <c r="AH29" i="1"/>
  <c r="AM29" i="1" s="1"/>
  <c r="G13" i="7"/>
  <c r="G9" i="7"/>
  <c r="F29" i="5"/>
  <c r="F21" i="5"/>
  <c r="F28" i="5"/>
  <c r="F24" i="5"/>
  <c r="F27" i="5"/>
  <c r="F25" i="5"/>
  <c r="F26" i="5"/>
  <c r="E29" i="5"/>
  <c r="E21" i="5"/>
  <c r="E25" i="5"/>
  <c r="E28" i="5"/>
  <c r="E24" i="5"/>
  <c r="E27" i="5"/>
  <c r="E26" i="5"/>
  <c r="AH45" i="1"/>
  <c r="AH46" i="1"/>
  <c r="AM46" i="1" s="1"/>
  <c r="AH44" i="1"/>
  <c r="AM44" i="1" s="1"/>
  <c r="AM73" i="1"/>
  <c r="AN73" i="1" s="1"/>
  <c r="G6" i="7"/>
  <c r="G12" i="7"/>
  <c r="G8" i="7"/>
  <c r="AH30" i="1"/>
  <c r="AM30" i="1" s="1"/>
  <c r="AH47" i="1"/>
  <c r="AH43" i="1"/>
  <c r="AM43" i="1" s="1"/>
  <c r="AI41" i="1"/>
  <c r="AM41" i="1" s="1"/>
  <c r="AH39" i="1"/>
  <c r="H57" i="2"/>
  <c r="AH42" i="1"/>
  <c r="AH28" i="1"/>
  <c r="AM28" i="1" s="1"/>
  <c r="H28" i="2"/>
  <c r="AN52" i="1"/>
  <c r="AH40" i="1"/>
  <c r="AI54" i="1"/>
  <c r="AM80" i="1"/>
  <c r="AN80" i="1" s="1"/>
  <c r="AM79" i="1"/>
  <c r="AN79" i="1" s="1"/>
  <c r="AH32" i="1"/>
  <c r="AH35" i="1"/>
  <c r="AI56" i="1"/>
  <c r="AG58" i="1"/>
  <c r="AI51" i="1"/>
  <c r="AM76" i="1"/>
  <c r="AN76" i="1" s="1"/>
  <c r="AI45" i="1"/>
  <c r="AI31" i="1"/>
  <c r="AM72" i="1"/>
  <c r="AN72" i="1" s="1"/>
  <c r="AI58" i="1"/>
  <c r="AG54" i="1"/>
  <c r="AI33" i="1"/>
  <c r="AI42" i="1"/>
  <c r="AH50" i="1"/>
  <c r="AM88" i="1"/>
  <c r="AN88" i="1" s="1"/>
  <c r="AM78" i="1"/>
  <c r="AN78" i="1" s="1"/>
  <c r="AI32" i="1"/>
  <c r="AI35" i="1"/>
  <c r="AH33" i="1"/>
  <c r="AI47" i="1"/>
  <c r="AI34" i="1"/>
  <c r="AG51" i="1"/>
  <c r="AI53" i="1"/>
  <c r="AH54" i="1"/>
  <c r="AH56" i="1"/>
  <c r="AH53" i="1"/>
  <c r="AI39" i="1"/>
  <c r="AH51" i="1"/>
  <c r="AI36" i="1"/>
  <c r="AM74" i="1"/>
  <c r="AN74" i="1" s="1"/>
  <c r="AH31" i="1"/>
  <c r="AG56" i="1"/>
  <c r="AG57" i="1"/>
  <c r="AG53" i="1"/>
  <c r="AH34" i="1"/>
  <c r="AH57" i="1"/>
  <c r="AI55" i="1"/>
  <c r="F67" i="2"/>
  <c r="F116" i="2" s="1"/>
  <c r="F71" i="2"/>
  <c r="F120" i="2" s="1"/>
  <c r="F65" i="2"/>
  <c r="F69" i="2"/>
  <c r="F118" i="2" s="1"/>
  <c r="F70" i="2"/>
  <c r="F119" i="2" s="1"/>
  <c r="F63" i="2"/>
  <c r="F112" i="2" s="1"/>
  <c r="F66" i="2"/>
  <c r="F115" i="2" s="1"/>
  <c r="F64" i="2"/>
  <c r="F68" i="2"/>
  <c r="F117" i="2" s="1"/>
  <c r="AM75" i="1"/>
  <c r="AN75" i="1" s="1"/>
  <c r="AH36" i="1"/>
  <c r="AG50" i="1"/>
  <c r="C65" i="2"/>
  <c r="C114" i="2" s="1"/>
  <c r="C69" i="2"/>
  <c r="C118" i="2" s="1"/>
  <c r="C67" i="2"/>
  <c r="C116" i="2" s="1"/>
  <c r="C71" i="2"/>
  <c r="C120" i="2" s="1"/>
  <c r="C63" i="2"/>
  <c r="C112" i="2" s="1"/>
  <c r="C64" i="2"/>
  <c r="C113" i="2" s="1"/>
  <c r="C68" i="2"/>
  <c r="C117" i="2" s="1"/>
  <c r="C66" i="2"/>
  <c r="C115" i="2" s="1"/>
  <c r="C70" i="2"/>
  <c r="C119" i="2" s="1"/>
  <c r="AI50" i="1"/>
  <c r="H42" i="2"/>
  <c r="L42" i="2" s="1"/>
  <c r="G66" i="2"/>
  <c r="G115" i="2" s="1"/>
  <c r="G70" i="2"/>
  <c r="G119" i="2" s="1"/>
  <c r="G64" i="2"/>
  <c r="G68" i="2"/>
  <c r="G117" i="2" s="1"/>
  <c r="G65" i="2"/>
  <c r="G67" i="2"/>
  <c r="G116" i="2" s="1"/>
  <c r="G69" i="2"/>
  <c r="G118" i="2" s="1"/>
  <c r="G71" i="2"/>
  <c r="G120" i="2" s="1"/>
  <c r="G63" i="2"/>
  <c r="G112" i="2" s="1"/>
  <c r="AM77" i="1"/>
  <c r="AN77" i="1" s="1"/>
  <c r="D64" i="2"/>
  <c r="D68" i="2"/>
  <c r="D117" i="2" s="1"/>
  <c r="D66" i="2"/>
  <c r="D115" i="2" s="1"/>
  <c r="D70" i="2"/>
  <c r="D119" i="2" s="1"/>
  <c r="D67" i="2"/>
  <c r="D116" i="2" s="1"/>
  <c r="D71" i="2"/>
  <c r="D120" i="2" s="1"/>
  <c r="D63" i="2"/>
  <c r="D112" i="2" s="1"/>
  <c r="D69" i="2"/>
  <c r="D118" i="2" s="1"/>
  <c r="D65" i="2"/>
  <c r="AI57" i="1"/>
  <c r="AH55" i="1"/>
  <c r="AG55" i="1"/>
  <c r="AM87" i="1"/>
  <c r="AN87" i="1" s="1"/>
  <c r="P7" i="4"/>
  <c r="H8" i="3"/>
  <c r="D30" i="5"/>
  <c r="D31" i="5" s="1"/>
  <c r="AM84" i="1"/>
  <c r="AN84" i="1" s="1"/>
  <c r="AM91" i="1"/>
  <c r="AN91" i="1" s="1"/>
  <c r="H14" i="2"/>
  <c r="AG104" i="1" l="1"/>
  <c r="AG100" i="1"/>
  <c r="AG103" i="1"/>
  <c r="AC99" i="1"/>
  <c r="I99" i="1"/>
  <c r="S102" i="1"/>
  <c r="O102" i="1"/>
  <c r="K102" i="1"/>
  <c r="AD102" i="1"/>
  <c r="AJ12" i="1"/>
  <c r="AK12" i="1"/>
  <c r="AG12" i="1"/>
  <c r="U101" i="1"/>
  <c r="AI11" i="1"/>
  <c r="AD107" i="1"/>
  <c r="X107" i="1"/>
  <c r="AK104" i="1"/>
  <c r="G29" i="7"/>
  <c r="AK100" i="1"/>
  <c r="AM19" i="1"/>
  <c r="AH25" i="1"/>
  <c r="AG25" i="1"/>
  <c r="AJ23" i="1"/>
  <c r="AG23" i="1"/>
  <c r="Y105" i="1"/>
  <c r="AM9" i="1"/>
  <c r="AI14" i="1"/>
  <c r="AM16" i="1"/>
  <c r="Y106" i="1"/>
  <c r="AD106" i="1"/>
  <c r="AM10" i="1"/>
  <c r="AH7" i="1"/>
  <c r="AM40" i="1"/>
  <c r="G25" i="7"/>
  <c r="K106" i="1"/>
  <c r="U102" i="1"/>
  <c r="AD101" i="1"/>
  <c r="S107" i="1"/>
  <c r="AJ21" i="1"/>
  <c r="AH20" i="1"/>
  <c r="AE105" i="1"/>
  <c r="AI20" i="1"/>
  <c r="AA105" i="1"/>
  <c r="AG105" i="1" s="1"/>
  <c r="AJ100" i="1"/>
  <c r="AI25" i="1"/>
  <c r="L99" i="1"/>
  <c r="O99" i="1"/>
  <c r="AI8" i="1"/>
  <c r="X99" i="1"/>
  <c r="AK20" i="1"/>
  <c r="M105" i="1"/>
  <c r="AI12" i="1"/>
  <c r="AK24" i="1"/>
  <c r="M107" i="1"/>
  <c r="AA99" i="1"/>
  <c r="AA109" i="1" s="1"/>
  <c r="K107" i="1"/>
  <c r="R105" i="1"/>
  <c r="AH21" i="1"/>
  <c r="AI21" i="1"/>
  <c r="X105" i="1"/>
  <c r="M106" i="1"/>
  <c r="AK22" i="1"/>
  <c r="AG7" i="1"/>
  <c r="G24" i="7"/>
  <c r="K99" i="1"/>
  <c r="AI100" i="1"/>
  <c r="Q99" i="1"/>
  <c r="AH14" i="1"/>
  <c r="AJ13" i="1"/>
  <c r="L102" i="1"/>
  <c r="AE102" i="1"/>
  <c r="R102" i="1"/>
  <c r="AG11" i="1"/>
  <c r="I101" i="1"/>
  <c r="AG101" i="1" s="1"/>
  <c r="AH12" i="1"/>
  <c r="AM17" i="1"/>
  <c r="AG24" i="1"/>
  <c r="I107" i="1"/>
  <c r="AG107" i="1" s="1"/>
  <c r="Y107" i="1"/>
  <c r="AK25" i="1"/>
  <c r="AE99" i="1"/>
  <c r="AG8" i="1"/>
  <c r="AD99" i="1"/>
  <c r="AJ104" i="1"/>
  <c r="K101" i="1"/>
  <c r="AG20" i="1"/>
  <c r="AG21" i="1"/>
  <c r="AH22" i="1"/>
  <c r="AG22" i="1"/>
  <c r="I106" i="1"/>
  <c r="AG106" i="1" s="1"/>
  <c r="AK23" i="1"/>
  <c r="M102" i="1"/>
  <c r="AK13" i="1"/>
  <c r="R99" i="1"/>
  <c r="AM18" i="1"/>
  <c r="K105" i="1"/>
  <c r="AK103" i="1"/>
  <c r="AH13" i="1"/>
  <c r="AK14" i="1"/>
  <c r="X101" i="1"/>
  <c r="AJ25" i="1"/>
  <c r="AJ8" i="1"/>
  <c r="M99" i="1"/>
  <c r="S99" i="1"/>
  <c r="G28" i="7"/>
  <c r="AI7" i="1"/>
  <c r="W99" i="1"/>
  <c r="AJ103" i="1"/>
  <c r="AG13" i="1"/>
  <c r="I102" i="1"/>
  <c r="X102" i="1"/>
  <c r="AJ14" i="1"/>
  <c r="AI13" i="1"/>
  <c r="AG14" i="1"/>
  <c r="L101" i="1"/>
  <c r="AJ11" i="1"/>
  <c r="Q101" i="1"/>
  <c r="AK11" i="1"/>
  <c r="M101" i="1"/>
  <c r="AK101" i="1" s="1"/>
  <c r="AJ24" i="1"/>
  <c r="L107" i="1"/>
  <c r="AH24" i="1"/>
  <c r="AE107" i="1"/>
  <c r="R107" i="1"/>
  <c r="AI24" i="1"/>
  <c r="Y99" i="1"/>
  <c r="AH8" i="1"/>
  <c r="AK8" i="1"/>
  <c r="AJ20" i="1"/>
  <c r="L105" i="1"/>
  <c r="AD105" i="1"/>
  <c r="S105" i="1"/>
  <c r="AK21" i="1"/>
  <c r="X106" i="1"/>
  <c r="AJ22" i="1"/>
  <c r="L106" i="1"/>
  <c r="AE106" i="1"/>
  <c r="R106" i="1"/>
  <c r="AJ7" i="1"/>
  <c r="AK7" i="1"/>
  <c r="G23" i="5"/>
  <c r="H23" i="5" s="1"/>
  <c r="G22" i="5"/>
  <c r="H22" i="5" s="1"/>
  <c r="C122" i="2"/>
  <c r="G22" i="7"/>
  <c r="P8" i="4"/>
  <c r="Q7" i="4"/>
  <c r="AM35" i="1"/>
  <c r="AM54" i="1"/>
  <c r="AN54" i="1" s="1"/>
  <c r="AM32" i="1"/>
  <c r="E30" i="5"/>
  <c r="E31" i="5" s="1"/>
  <c r="G21" i="5"/>
  <c r="G29" i="5"/>
  <c r="H29" i="5" s="1"/>
  <c r="G27" i="5"/>
  <c r="H27" i="5" s="1"/>
  <c r="G25" i="5"/>
  <c r="H25" i="5" s="1"/>
  <c r="G26" i="5"/>
  <c r="H26" i="5" s="1"/>
  <c r="G24" i="5"/>
  <c r="H24" i="5" s="1"/>
  <c r="G28" i="5"/>
  <c r="H28" i="5" s="1"/>
  <c r="AM45" i="1"/>
  <c r="E11" i="7"/>
  <c r="AN44" i="1"/>
  <c r="E7" i="7"/>
  <c r="G14" i="7"/>
  <c r="AN29" i="1"/>
  <c r="D7" i="7"/>
  <c r="AN41" i="1"/>
  <c r="E8" i="7"/>
  <c r="G7" i="7"/>
  <c r="G10" i="7"/>
  <c r="AN30" i="1"/>
  <c r="D8" i="7"/>
  <c r="AN46" i="1"/>
  <c r="E13" i="7"/>
  <c r="AN43" i="1"/>
  <c r="E10" i="7"/>
  <c r="G11" i="7"/>
  <c r="AN28" i="1"/>
  <c r="D6" i="7"/>
  <c r="AM39" i="1"/>
  <c r="AM58" i="1"/>
  <c r="AM42" i="1"/>
  <c r="P63" i="1"/>
  <c r="P101" i="1" s="1"/>
  <c r="D114" i="2"/>
  <c r="P62" i="1"/>
  <c r="D113" i="2"/>
  <c r="AB62" i="1"/>
  <c r="AB100" i="1" s="1"/>
  <c r="G113" i="2"/>
  <c r="V62" i="1"/>
  <c r="V100" i="1" s="1"/>
  <c r="F113" i="2"/>
  <c r="V63" i="1"/>
  <c r="V101" i="1" s="1"/>
  <c r="F114" i="2"/>
  <c r="AB63" i="1"/>
  <c r="AB101" i="1" s="1"/>
  <c r="G114" i="2"/>
  <c r="AM56" i="1"/>
  <c r="AM53" i="1"/>
  <c r="AM57" i="1"/>
  <c r="AM31" i="1"/>
  <c r="AM33" i="1"/>
  <c r="AM47" i="1"/>
  <c r="AM51" i="1"/>
  <c r="AM34" i="1"/>
  <c r="Q64" i="1"/>
  <c r="P64" i="1"/>
  <c r="P102" i="1" s="1"/>
  <c r="AC68" i="1"/>
  <c r="AC106" i="1" s="1"/>
  <c r="AB68" i="1"/>
  <c r="AB106" i="1" s="1"/>
  <c r="W64" i="1"/>
  <c r="V64" i="1"/>
  <c r="V102" i="1" s="1"/>
  <c r="P61" i="1"/>
  <c r="D72" i="2"/>
  <c r="AB65" i="1"/>
  <c r="AB103" i="1" s="1"/>
  <c r="AC65" i="1"/>
  <c r="AC103" i="1" s="1"/>
  <c r="J64" i="1"/>
  <c r="J102" i="1" s="1"/>
  <c r="H66" i="2"/>
  <c r="H115" i="2" s="1"/>
  <c r="J69" i="1"/>
  <c r="H71" i="2"/>
  <c r="H120" i="2" s="1"/>
  <c r="P69" i="1"/>
  <c r="Q69" i="1"/>
  <c r="Q107" i="1" s="1"/>
  <c r="Q66" i="1"/>
  <c r="Q104" i="1" s="1"/>
  <c r="P66" i="1"/>
  <c r="P104" i="1" s="1"/>
  <c r="AB61" i="1"/>
  <c r="G72" i="2"/>
  <c r="AC64" i="1"/>
  <c r="AB64" i="1"/>
  <c r="AB102" i="1" s="1"/>
  <c r="J66" i="1"/>
  <c r="J104" i="1" s="1"/>
  <c r="H68" i="2"/>
  <c r="H117" i="2" s="1"/>
  <c r="H67" i="2"/>
  <c r="H116" i="2" s="1"/>
  <c r="J65" i="1"/>
  <c r="J103" i="1" s="1"/>
  <c r="F72" i="2"/>
  <c r="V61" i="1"/>
  <c r="W69" i="1"/>
  <c r="W107" i="1" s="1"/>
  <c r="V69" i="1"/>
  <c r="V107" i="1" s="1"/>
  <c r="AM55" i="1"/>
  <c r="Q65" i="1"/>
  <c r="Q103" i="1" s="1"/>
  <c r="P65" i="1"/>
  <c r="P103" i="1" s="1"/>
  <c r="AC69" i="1"/>
  <c r="AC107" i="1" s="1"/>
  <c r="AB69" i="1"/>
  <c r="AB107" i="1" s="1"/>
  <c r="AC66" i="1"/>
  <c r="AC104" i="1" s="1"/>
  <c r="AB66" i="1"/>
  <c r="AB104" i="1" s="1"/>
  <c r="J62" i="1"/>
  <c r="J100" i="1" s="1"/>
  <c r="H64" i="2"/>
  <c r="H113" i="2" s="1"/>
  <c r="H69" i="2"/>
  <c r="H118" i="2" s="1"/>
  <c r="J67" i="1"/>
  <c r="V66" i="1"/>
  <c r="V104" i="1" s="1"/>
  <c r="W66" i="1"/>
  <c r="W104" i="1" s="1"/>
  <c r="W68" i="1"/>
  <c r="W106" i="1" s="1"/>
  <c r="V68" i="1"/>
  <c r="V106" i="1" s="1"/>
  <c r="W65" i="1"/>
  <c r="W103" i="1" s="1"/>
  <c r="V65" i="1"/>
  <c r="V103" i="1" s="1"/>
  <c r="P67" i="1"/>
  <c r="P105" i="1" s="1"/>
  <c r="Q67" i="1"/>
  <c r="Q105" i="1" s="1"/>
  <c r="Q68" i="1"/>
  <c r="Q106" i="1" s="1"/>
  <c r="P68" i="1"/>
  <c r="P106" i="1" s="1"/>
  <c r="AC67" i="1"/>
  <c r="AC105" i="1" s="1"/>
  <c r="AB67" i="1"/>
  <c r="AB105" i="1" s="1"/>
  <c r="AM50" i="1"/>
  <c r="H70" i="2"/>
  <c r="H119" i="2" s="1"/>
  <c r="J68" i="1"/>
  <c r="J106" i="1" s="1"/>
  <c r="J61" i="1"/>
  <c r="C72" i="2"/>
  <c r="H63" i="2"/>
  <c r="H112" i="2" s="1"/>
  <c r="J63" i="1"/>
  <c r="J101" i="1" s="1"/>
  <c r="H65" i="2"/>
  <c r="H114" i="2" s="1"/>
  <c r="V67" i="1"/>
  <c r="V105" i="1" s="1"/>
  <c r="W67" i="1"/>
  <c r="W105" i="1" s="1"/>
  <c r="AM36" i="1"/>
  <c r="F30" i="5"/>
  <c r="F31" i="5" s="1"/>
  <c r="O109" i="1" l="1"/>
  <c r="U109" i="1"/>
  <c r="AM23" i="1"/>
  <c r="AI99" i="1"/>
  <c r="AG102" i="1"/>
  <c r="AJ102" i="1"/>
  <c r="AN40" i="1"/>
  <c r="AN9" i="1"/>
  <c r="C7" i="7"/>
  <c r="AG99" i="1"/>
  <c r="AM25" i="1"/>
  <c r="AK102" i="1"/>
  <c r="AJ105" i="1"/>
  <c r="Y109" i="1"/>
  <c r="AM20" i="1"/>
  <c r="AJ99" i="1"/>
  <c r="E26" i="7"/>
  <c r="D24" i="7"/>
  <c r="E24" i="7"/>
  <c r="G30" i="7"/>
  <c r="E27" i="7"/>
  <c r="D13" i="7"/>
  <c r="AK99" i="1"/>
  <c r="AN16" i="1"/>
  <c r="E23" i="7"/>
  <c r="AN45" i="1"/>
  <c r="AJ101" i="1"/>
  <c r="R109" i="1"/>
  <c r="AM22" i="1"/>
  <c r="AI101" i="1"/>
  <c r="AD109" i="1"/>
  <c r="AE109" i="1"/>
  <c r="AM11" i="1"/>
  <c r="AK106" i="1"/>
  <c r="AK107" i="1"/>
  <c r="AK105" i="1"/>
  <c r="C10" i="7"/>
  <c r="E29" i="7"/>
  <c r="G26" i="7"/>
  <c r="D23" i="7"/>
  <c r="AN32" i="1"/>
  <c r="AJ106" i="1"/>
  <c r="AM14" i="1"/>
  <c r="G27" i="7"/>
  <c r="G23" i="7"/>
  <c r="AJ107" i="1"/>
  <c r="AM13" i="1"/>
  <c r="S109" i="1"/>
  <c r="C11" i="7"/>
  <c r="AN18" i="1"/>
  <c r="AM21" i="1"/>
  <c r="AM8" i="1"/>
  <c r="AM24" i="1"/>
  <c r="AM12" i="1"/>
  <c r="X109" i="1"/>
  <c r="AI103" i="1"/>
  <c r="AH102" i="1"/>
  <c r="AB99" i="1"/>
  <c r="AB109" i="1" s="1"/>
  <c r="AI106" i="1"/>
  <c r="V99" i="1"/>
  <c r="P99" i="1"/>
  <c r="AI105" i="1"/>
  <c r="AC102" i="1"/>
  <c r="AC109" i="1" s="1"/>
  <c r="AI104" i="1"/>
  <c r="W102" i="1"/>
  <c r="W109" i="1" s="1"/>
  <c r="Q102" i="1"/>
  <c r="AH101" i="1"/>
  <c r="AH104" i="1"/>
  <c r="P107" i="1"/>
  <c r="P100" i="1"/>
  <c r="AH100" i="1" s="1"/>
  <c r="AM100" i="1" s="1"/>
  <c r="AN100" i="1" s="1"/>
  <c r="J107" i="1"/>
  <c r="J105" i="1"/>
  <c r="AH105" i="1" s="1"/>
  <c r="J99" i="1"/>
  <c r="AH106" i="1"/>
  <c r="AI107" i="1"/>
  <c r="AH103" i="1"/>
  <c r="AM7" i="1"/>
  <c r="K109" i="1"/>
  <c r="M109" i="1"/>
  <c r="L109" i="1"/>
  <c r="I109" i="1"/>
  <c r="F122" i="2"/>
  <c r="G122" i="2"/>
  <c r="D122" i="2"/>
  <c r="H122" i="2"/>
  <c r="G16" i="7"/>
  <c r="G17" i="7" s="1"/>
  <c r="D22" i="7"/>
  <c r="D10" i="7"/>
  <c r="AN35" i="1"/>
  <c r="E12" i="7"/>
  <c r="AN34" i="1"/>
  <c r="D12" i="7"/>
  <c r="AN51" i="1"/>
  <c r="AN31" i="1"/>
  <c r="D9" i="7"/>
  <c r="AN56" i="1"/>
  <c r="AN36" i="1"/>
  <c r="D14" i="7"/>
  <c r="AN47" i="1"/>
  <c r="E14" i="7"/>
  <c r="AN57" i="1"/>
  <c r="AN58" i="1"/>
  <c r="AN53" i="1"/>
  <c r="AN39" i="1"/>
  <c r="E6" i="7"/>
  <c r="AN50" i="1"/>
  <c r="AN55" i="1"/>
  <c r="AN33" i="1"/>
  <c r="D11" i="7"/>
  <c r="AN42" i="1"/>
  <c r="E9" i="7"/>
  <c r="AH65" i="1"/>
  <c r="AH61" i="1"/>
  <c r="AI66" i="1"/>
  <c r="H72" i="2"/>
  <c r="AI65" i="1"/>
  <c r="AH66" i="1"/>
  <c r="AI68" i="1"/>
  <c r="AH69" i="1"/>
  <c r="AI67" i="1"/>
  <c r="AH62" i="1"/>
  <c r="AI64" i="1"/>
  <c r="AH63" i="1"/>
  <c r="AH68" i="1"/>
  <c r="AH67" i="1"/>
  <c r="AI69" i="1"/>
  <c r="AH64" i="1"/>
  <c r="G30" i="5"/>
  <c r="G31" i="5" s="1"/>
  <c r="H31" i="5" s="1"/>
  <c r="H21" i="5"/>
  <c r="H30" i="5" s="1"/>
  <c r="AM101" i="1" l="1"/>
  <c r="AN101" i="1" s="1"/>
  <c r="AN13" i="1"/>
  <c r="AG109" i="1"/>
  <c r="C23" i="7"/>
  <c r="AN20" i="1"/>
  <c r="G32" i="7"/>
  <c r="AJ109" i="1"/>
  <c r="AK109" i="1"/>
  <c r="E30" i="7"/>
  <c r="D28" i="7"/>
  <c r="D30" i="7"/>
  <c r="C9" i="7"/>
  <c r="D27" i="7"/>
  <c r="E28" i="7"/>
  <c r="D26" i="7"/>
  <c r="C8" i="7"/>
  <c r="AN11" i="1"/>
  <c r="C12" i="7"/>
  <c r="D29" i="7"/>
  <c r="C13" i="7"/>
  <c r="AN22" i="1"/>
  <c r="E25" i="7"/>
  <c r="D25" i="7"/>
  <c r="C14" i="7"/>
  <c r="AN24" i="1"/>
  <c r="AI102" i="1"/>
  <c r="C6" i="7"/>
  <c r="AN7" i="1"/>
  <c r="AH99" i="1"/>
  <c r="P109" i="1"/>
  <c r="AH107" i="1"/>
  <c r="AM107" i="1" s="1"/>
  <c r="AN107" i="1" s="1"/>
  <c r="V109" i="1"/>
  <c r="Y110" i="1" s="1"/>
  <c r="Q109" i="1"/>
  <c r="J109" i="1"/>
  <c r="M110" i="1" s="1"/>
  <c r="C27" i="7"/>
  <c r="C26" i="7"/>
  <c r="E22" i="7"/>
  <c r="E16" i="7"/>
  <c r="E17" i="7" s="1"/>
  <c r="D16" i="7"/>
  <c r="D17" i="7" s="1"/>
  <c r="AE110" i="1"/>
  <c r="AM106" i="1"/>
  <c r="AN106" i="1" s="1"/>
  <c r="C64" i="12"/>
  <c r="F64" i="12"/>
  <c r="AM67" i="1"/>
  <c r="AM63" i="1"/>
  <c r="AM69" i="1"/>
  <c r="AM68" i="1"/>
  <c r="AM66" i="1"/>
  <c r="AM103" i="1"/>
  <c r="AN103" i="1" s="1"/>
  <c r="AM61" i="1"/>
  <c r="AM104" i="1"/>
  <c r="AN104" i="1" s="1"/>
  <c r="AM64" i="1"/>
  <c r="AM105" i="1"/>
  <c r="AN105" i="1" s="1"/>
  <c r="AM62" i="1"/>
  <c r="AM65" i="1"/>
  <c r="C28" i="7" l="1"/>
  <c r="C24" i="7"/>
  <c r="S110" i="1"/>
  <c r="AI109" i="1"/>
  <c r="C22" i="7"/>
  <c r="C30" i="7"/>
  <c r="D32" i="7"/>
  <c r="AH109" i="1"/>
  <c r="C25" i="7"/>
  <c r="C29" i="7"/>
  <c r="E32" i="7"/>
  <c r="C16" i="7"/>
  <c r="C17" i="7" s="1"/>
  <c r="AN68" i="1"/>
  <c r="F13" i="7"/>
  <c r="AN64" i="1"/>
  <c r="F9" i="7"/>
  <c r="AN61" i="1"/>
  <c r="F6" i="7"/>
  <c r="AN66" i="1"/>
  <c r="F11" i="7"/>
  <c r="AN69" i="1"/>
  <c r="F14" i="7"/>
  <c r="AN65" i="1"/>
  <c r="F10" i="7"/>
  <c r="AN62" i="1"/>
  <c r="F7" i="7"/>
  <c r="AN63" i="1"/>
  <c r="F8" i="7"/>
  <c r="AN67" i="1"/>
  <c r="F12" i="7"/>
  <c r="AM102" i="1"/>
  <c r="AN102" i="1" s="1"/>
  <c r="AM99" i="1"/>
  <c r="M129" i="1" l="1"/>
  <c r="I129" i="1"/>
  <c r="P129" i="1"/>
  <c r="AC129" i="1"/>
  <c r="AC130" i="1" s="1"/>
  <c r="X129" i="1"/>
  <c r="X130" i="1" s="1"/>
  <c r="K129" i="1"/>
  <c r="AA129" i="1"/>
  <c r="AA130" i="1" s="1"/>
  <c r="J129" i="1"/>
  <c r="AD129" i="1"/>
  <c r="AD130" i="1" s="1"/>
  <c r="V129" i="1"/>
  <c r="V130" i="1" s="1"/>
  <c r="L129" i="1"/>
  <c r="S129" i="1"/>
  <c r="O129" i="1"/>
  <c r="AB129" i="1"/>
  <c r="AB130" i="1" s="1"/>
  <c r="W129" i="1"/>
  <c r="W130" i="1" s="1"/>
  <c r="R129" i="1"/>
  <c r="AE129" i="1"/>
  <c r="AE130" i="1" s="1"/>
  <c r="U129" i="1"/>
  <c r="U130" i="1" s="1"/>
  <c r="Q129" i="1"/>
  <c r="Y129" i="1"/>
  <c r="Y130" i="1" s="1"/>
  <c r="C32" i="7"/>
  <c r="I6" i="7"/>
  <c r="J6" i="7" s="1"/>
  <c r="J16" i="7" s="1"/>
  <c r="AN99" i="1"/>
  <c r="AM109" i="1"/>
  <c r="F28" i="7"/>
  <c r="I28" i="7" s="1"/>
  <c r="K28" i="7" s="1"/>
  <c r="I12" i="7"/>
  <c r="J12" i="7" s="1"/>
  <c r="F23" i="7"/>
  <c r="I23" i="7" s="1"/>
  <c r="K23" i="7" s="1"/>
  <c r="I7" i="7"/>
  <c r="J7" i="7" s="1"/>
  <c r="F30" i="7"/>
  <c r="I30" i="7" s="1"/>
  <c r="K30" i="7" s="1"/>
  <c r="I14" i="7"/>
  <c r="J14" i="7" s="1"/>
  <c r="F29" i="7"/>
  <c r="I29" i="7" s="1"/>
  <c r="K29" i="7" s="1"/>
  <c r="I13" i="7"/>
  <c r="J13" i="7" s="1"/>
  <c r="F24" i="7"/>
  <c r="I24" i="7" s="1"/>
  <c r="K24" i="7" s="1"/>
  <c r="I8" i="7"/>
  <c r="J8" i="7" s="1"/>
  <c r="F26" i="7"/>
  <c r="I26" i="7" s="1"/>
  <c r="K26" i="7" s="1"/>
  <c r="I10" i="7"/>
  <c r="J10" i="7" s="1"/>
  <c r="F27" i="7"/>
  <c r="I27" i="7" s="1"/>
  <c r="K27" i="7" s="1"/>
  <c r="I11" i="7"/>
  <c r="J11" i="7" s="1"/>
  <c r="F25" i="7"/>
  <c r="I25" i="7" s="1"/>
  <c r="K25" i="7" s="1"/>
  <c r="I9" i="7"/>
  <c r="J9" i="7" s="1"/>
  <c r="F22" i="7"/>
  <c r="F16" i="7"/>
  <c r="F17" i="7" s="1"/>
  <c r="E44" i="13" l="1"/>
  <c r="E45" i="13" s="1"/>
  <c r="P130" i="1"/>
  <c r="D44" i="13"/>
  <c r="O130" i="1"/>
  <c r="AK129" i="1"/>
  <c r="M130" i="1"/>
  <c r="F44" i="13"/>
  <c r="F45" i="13" s="1"/>
  <c r="Q130" i="1"/>
  <c r="AJ129" i="1"/>
  <c r="L130" i="1"/>
  <c r="AI129" i="1"/>
  <c r="K130" i="1"/>
  <c r="AG129" i="1"/>
  <c r="I130" i="1"/>
  <c r="G44" i="13"/>
  <c r="G45" i="13" s="1"/>
  <c r="R130" i="1"/>
  <c r="H44" i="13"/>
  <c r="H45" i="13" s="1"/>
  <c r="S130" i="1"/>
  <c r="AH129" i="1"/>
  <c r="J130" i="1"/>
  <c r="O116" i="1"/>
  <c r="AC123" i="1"/>
  <c r="U119" i="1"/>
  <c r="L124" i="1"/>
  <c r="V120" i="1"/>
  <c r="Y119" i="1"/>
  <c r="P119" i="1"/>
  <c r="AN109" i="1"/>
  <c r="L123" i="1"/>
  <c r="Q123" i="1"/>
  <c r="S116" i="1"/>
  <c r="AC116" i="1"/>
  <c r="AA116" i="1"/>
  <c r="AD116" i="1"/>
  <c r="Y116" i="1"/>
  <c r="F32" i="7"/>
  <c r="I22" i="7"/>
  <c r="I34" i="7" s="1"/>
  <c r="I16" i="7"/>
  <c r="I17" i="7" s="1"/>
  <c r="D64" i="12"/>
  <c r="G21" i="13" l="1"/>
  <c r="AJ130" i="1"/>
  <c r="H21" i="13"/>
  <c r="AK130" i="1"/>
  <c r="X119" i="1"/>
  <c r="E21" i="13"/>
  <c r="AH130" i="1"/>
  <c r="F21" i="13"/>
  <c r="AI130" i="1"/>
  <c r="I44" i="13"/>
  <c r="I45" i="13" s="1"/>
  <c r="D45" i="13"/>
  <c r="D21" i="13"/>
  <c r="AM129" i="1"/>
  <c r="AM130" i="1" s="1"/>
  <c r="AG130" i="1"/>
  <c r="AB123" i="1"/>
  <c r="W123" i="1"/>
  <c r="F38" i="13" s="1"/>
  <c r="K123" i="1"/>
  <c r="I123" i="1"/>
  <c r="S123" i="1"/>
  <c r="X123" i="1"/>
  <c r="M123" i="1"/>
  <c r="R123" i="1"/>
  <c r="I116" i="1"/>
  <c r="J116" i="1"/>
  <c r="AE116" i="1"/>
  <c r="Q116" i="1"/>
  <c r="X116" i="1"/>
  <c r="W120" i="1"/>
  <c r="M116" i="1"/>
  <c r="R116" i="1"/>
  <c r="L116" i="1"/>
  <c r="K116" i="1"/>
  <c r="AB116" i="1"/>
  <c r="AE120" i="1"/>
  <c r="P116" i="1"/>
  <c r="V116" i="1"/>
  <c r="W116" i="1"/>
  <c r="U116" i="1"/>
  <c r="D31" i="13" s="1"/>
  <c r="W119" i="1"/>
  <c r="R119" i="1"/>
  <c r="AB119" i="1"/>
  <c r="I119" i="1"/>
  <c r="AA119" i="1"/>
  <c r="K119" i="1"/>
  <c r="O119" i="1"/>
  <c r="D34" i="13" s="1"/>
  <c r="AE123" i="1"/>
  <c r="U123" i="1"/>
  <c r="J123" i="1"/>
  <c r="AD123" i="1"/>
  <c r="P123" i="1"/>
  <c r="O123" i="1"/>
  <c r="D38" i="13" s="1"/>
  <c r="AA123" i="1"/>
  <c r="Y123" i="1"/>
  <c r="V123" i="1"/>
  <c r="U124" i="1"/>
  <c r="W124" i="1"/>
  <c r="W125" i="1" s="1"/>
  <c r="AC119" i="1"/>
  <c r="J119" i="1"/>
  <c r="M119" i="1"/>
  <c r="L119" i="1"/>
  <c r="AE119" i="1"/>
  <c r="Q119" i="1"/>
  <c r="V119" i="1"/>
  <c r="E34" i="13" s="1"/>
  <c r="S119" i="1"/>
  <c r="H34" i="13" s="1"/>
  <c r="AD119" i="1"/>
  <c r="K124" i="1"/>
  <c r="AB124" i="1"/>
  <c r="AA124" i="1"/>
  <c r="O124" i="1"/>
  <c r="V124" i="1"/>
  <c r="S124" i="1"/>
  <c r="AE124" i="1"/>
  <c r="I124" i="1"/>
  <c r="AB120" i="1"/>
  <c r="J120" i="1"/>
  <c r="U120" i="1"/>
  <c r="U121" i="1" s="1"/>
  <c r="I120" i="1"/>
  <c r="Y124" i="1"/>
  <c r="M124" i="1"/>
  <c r="AD124" i="1"/>
  <c r="J124" i="1"/>
  <c r="R124" i="1"/>
  <c r="R125" i="1" s="1"/>
  <c r="L120" i="1"/>
  <c r="Q120" i="1"/>
  <c r="R120" i="1"/>
  <c r="AD120" i="1"/>
  <c r="AC124" i="1"/>
  <c r="AC125" i="1" s="1"/>
  <c r="X124" i="1"/>
  <c r="Q124" i="1"/>
  <c r="P124" i="1"/>
  <c r="K120" i="1"/>
  <c r="AA120" i="1"/>
  <c r="Y120" i="1"/>
  <c r="S120" i="1"/>
  <c r="M120" i="1"/>
  <c r="P120" i="1"/>
  <c r="E35" i="13" s="1"/>
  <c r="O120" i="1"/>
  <c r="AC120" i="1"/>
  <c r="X120" i="1"/>
  <c r="H31" i="13"/>
  <c r="L115" i="1"/>
  <c r="AB115" i="1"/>
  <c r="V115" i="1"/>
  <c r="AA115" i="1"/>
  <c r="AA117" i="1" s="1"/>
  <c r="U115" i="1"/>
  <c r="AE115" i="1"/>
  <c r="AD115" i="1"/>
  <c r="AD117" i="1" s="1"/>
  <c r="R115" i="1"/>
  <c r="S115" i="1"/>
  <c r="I115" i="1"/>
  <c r="O115" i="1"/>
  <c r="M115" i="1"/>
  <c r="AC115" i="1"/>
  <c r="AC117" i="1" s="1"/>
  <c r="Y115" i="1"/>
  <c r="Y117" i="1" s="1"/>
  <c r="X115" i="1"/>
  <c r="Q115" i="1"/>
  <c r="J115" i="1"/>
  <c r="P115" i="1"/>
  <c r="W115" i="1"/>
  <c r="K115" i="1"/>
  <c r="AK116" i="1"/>
  <c r="H8" i="13" s="1"/>
  <c r="L125" i="1"/>
  <c r="K22" i="7"/>
  <c r="K32" i="7" s="1"/>
  <c r="I32" i="7"/>
  <c r="E64" i="12"/>
  <c r="AB125" i="1" l="1"/>
  <c r="AG116" i="1"/>
  <c r="V121" i="1"/>
  <c r="G38" i="13"/>
  <c r="G61" i="13" s="1"/>
  <c r="X117" i="1"/>
  <c r="AJ123" i="1"/>
  <c r="G15" i="13" s="1"/>
  <c r="AI123" i="1"/>
  <c r="F15" i="13" s="1"/>
  <c r="F61" i="13" s="1"/>
  <c r="D67" i="13"/>
  <c r="I21" i="13"/>
  <c r="I22" i="13" s="1"/>
  <c r="D22" i="13"/>
  <c r="C38" i="12" s="1"/>
  <c r="F67" i="13"/>
  <c r="F22" i="13"/>
  <c r="E38" i="12" s="1"/>
  <c r="X121" i="1"/>
  <c r="AD125" i="1"/>
  <c r="G34" i="13"/>
  <c r="W117" i="1"/>
  <c r="AB121" i="1"/>
  <c r="K125" i="1"/>
  <c r="E67" i="13"/>
  <c r="E22" i="13"/>
  <c r="D38" i="12" s="1"/>
  <c r="H67" i="13"/>
  <c r="H22" i="13"/>
  <c r="G38" i="12" s="1"/>
  <c r="G67" i="13"/>
  <c r="G22" i="13"/>
  <c r="F38" i="12" s="1"/>
  <c r="R121" i="1"/>
  <c r="I121" i="1"/>
  <c r="F31" i="13"/>
  <c r="J117" i="1"/>
  <c r="K121" i="1"/>
  <c r="L121" i="1"/>
  <c r="W121" i="1"/>
  <c r="E31" i="13"/>
  <c r="AJ116" i="1"/>
  <c r="G8" i="13" s="1"/>
  <c r="H38" i="13"/>
  <c r="P117" i="1"/>
  <c r="AE117" i="1"/>
  <c r="AB117" i="1"/>
  <c r="M121" i="1"/>
  <c r="M125" i="1"/>
  <c r="H39" i="13"/>
  <c r="AI116" i="1"/>
  <c r="F8" i="13" s="1"/>
  <c r="AH116" i="1"/>
  <c r="E8" i="13" s="1"/>
  <c r="O121" i="1"/>
  <c r="F34" i="13"/>
  <c r="E38" i="13"/>
  <c r="G31" i="13"/>
  <c r="U117" i="1"/>
  <c r="F35" i="13"/>
  <c r="AE125" i="1"/>
  <c r="AH123" i="1"/>
  <c r="E15" i="13" s="1"/>
  <c r="V117" i="1"/>
  <c r="P125" i="1"/>
  <c r="V125" i="1"/>
  <c r="U125" i="1"/>
  <c r="AG119" i="1"/>
  <c r="D11" i="13" s="1"/>
  <c r="D57" i="13" s="1"/>
  <c r="D39" i="13"/>
  <c r="D40" i="13" s="1"/>
  <c r="S125" i="1"/>
  <c r="AA121" i="1"/>
  <c r="AA125" i="1"/>
  <c r="AJ119" i="1"/>
  <c r="G11" i="13" s="1"/>
  <c r="G57" i="13" s="1"/>
  <c r="AK119" i="1"/>
  <c r="H11" i="13" s="1"/>
  <c r="H57" i="13" s="1"/>
  <c r="AI119" i="1"/>
  <c r="F11" i="13" s="1"/>
  <c r="Y125" i="1"/>
  <c r="AK123" i="1"/>
  <c r="H15" i="13" s="1"/>
  <c r="AG123" i="1"/>
  <c r="D15" i="13" s="1"/>
  <c r="S121" i="1"/>
  <c r="F39" i="13"/>
  <c r="F40" i="13" s="1"/>
  <c r="J125" i="1"/>
  <c r="AH119" i="1"/>
  <c r="E11" i="13" s="1"/>
  <c r="E57" i="13" s="1"/>
  <c r="AE121" i="1"/>
  <c r="J121" i="1"/>
  <c r="AD121" i="1"/>
  <c r="AK124" i="1"/>
  <c r="H16" i="13" s="1"/>
  <c r="AG124" i="1"/>
  <c r="D16" i="13" s="1"/>
  <c r="D35" i="13"/>
  <c r="D36" i="13" s="1"/>
  <c r="AJ124" i="1"/>
  <c r="G16" i="13" s="1"/>
  <c r="G17" i="13" s="1"/>
  <c r="Q125" i="1"/>
  <c r="AI120" i="1"/>
  <c r="F12" i="13" s="1"/>
  <c r="F13" i="13" s="1"/>
  <c r="E39" i="13"/>
  <c r="Q121" i="1"/>
  <c r="P121" i="1"/>
  <c r="X125" i="1"/>
  <c r="AH120" i="1"/>
  <c r="E12" i="13" s="1"/>
  <c r="E58" i="13" s="1"/>
  <c r="AC121" i="1"/>
  <c r="I125" i="1"/>
  <c r="G39" i="13"/>
  <c r="O125" i="1"/>
  <c r="AI124" i="1"/>
  <c r="F16" i="13" s="1"/>
  <c r="E36" i="13"/>
  <c r="AH124" i="1"/>
  <c r="E16" i="13" s="1"/>
  <c r="H35" i="13"/>
  <c r="H36" i="13" s="1"/>
  <c r="Y121" i="1"/>
  <c r="G35" i="13"/>
  <c r="AG120" i="1"/>
  <c r="D12" i="13" s="1"/>
  <c r="AJ120" i="1"/>
  <c r="G12" i="13" s="1"/>
  <c r="AK120" i="1"/>
  <c r="H12" i="13" s="1"/>
  <c r="I117" i="1"/>
  <c r="AG115" i="1"/>
  <c r="D7" i="13" s="1"/>
  <c r="S117" i="1"/>
  <c r="H30" i="13"/>
  <c r="H32" i="13" s="1"/>
  <c r="L117" i="1"/>
  <c r="AJ115" i="1"/>
  <c r="G7" i="13" s="1"/>
  <c r="D8" i="13"/>
  <c r="H54" i="13"/>
  <c r="K117" i="1"/>
  <c r="AI115" i="1"/>
  <c r="F7" i="13" s="1"/>
  <c r="Q117" i="1"/>
  <c r="F30" i="13"/>
  <c r="F32" i="13" s="1"/>
  <c r="M117" i="1"/>
  <c r="AK115" i="1"/>
  <c r="H7" i="13" s="1"/>
  <c r="R117" i="1"/>
  <c r="G30" i="13"/>
  <c r="G32" i="13" s="1"/>
  <c r="O117" i="1"/>
  <c r="D30" i="13"/>
  <c r="D32" i="13" s="1"/>
  <c r="F37" i="4"/>
  <c r="F61" i="4" s="1"/>
  <c r="K34" i="7"/>
  <c r="F36" i="4"/>
  <c r="F60" i="4" s="1"/>
  <c r="F33" i="4"/>
  <c r="F57" i="4" s="1"/>
  <c r="F34" i="4"/>
  <c r="F58" i="4" s="1"/>
  <c r="G36" i="13" l="1"/>
  <c r="I38" i="13"/>
  <c r="F54" i="13"/>
  <c r="G40" i="13"/>
  <c r="G46" i="13" s="1"/>
  <c r="G13" i="4"/>
  <c r="G38" i="4" s="1"/>
  <c r="G62" i="4" s="1"/>
  <c r="H68" i="13"/>
  <c r="G52" i="12" s="1"/>
  <c r="AM116" i="1"/>
  <c r="E40" i="13"/>
  <c r="F13" i="4"/>
  <c r="F38" i="4" s="1"/>
  <c r="F62" i="4" s="1"/>
  <c r="G68" i="13"/>
  <c r="F52" i="12" s="1"/>
  <c r="F66" i="12" s="1"/>
  <c r="D13" i="4"/>
  <c r="D38" i="4" s="1"/>
  <c r="D62" i="4" s="1"/>
  <c r="E68" i="13"/>
  <c r="D52" i="12" s="1"/>
  <c r="D66" i="12" s="1"/>
  <c r="E13" i="4"/>
  <c r="E38" i="4" s="1"/>
  <c r="E62" i="4" s="1"/>
  <c r="F68" i="13"/>
  <c r="E52" i="12" s="1"/>
  <c r="E66" i="12" s="1"/>
  <c r="AJ121" i="1"/>
  <c r="H38" i="12"/>
  <c r="I67" i="13"/>
  <c r="I68" i="13" s="1"/>
  <c r="C13" i="4"/>
  <c r="D68" i="13"/>
  <c r="C52" i="12" s="1"/>
  <c r="C66" i="12" s="1"/>
  <c r="H61" i="13"/>
  <c r="H40" i="13"/>
  <c r="H46" i="13" s="1"/>
  <c r="F36" i="13"/>
  <c r="F46" i="13" s="1"/>
  <c r="I31" i="13"/>
  <c r="F37" i="12"/>
  <c r="I34" i="13"/>
  <c r="E62" i="13"/>
  <c r="AG121" i="1"/>
  <c r="E61" i="13"/>
  <c r="G54" i="13"/>
  <c r="E54" i="13"/>
  <c r="D51" i="12" s="1"/>
  <c r="D65" i="12" s="1"/>
  <c r="D62" i="13"/>
  <c r="F57" i="13"/>
  <c r="I57" i="13" s="1"/>
  <c r="H62" i="13"/>
  <c r="J131" i="1"/>
  <c r="J132" i="1" s="1"/>
  <c r="AM123" i="1"/>
  <c r="H58" i="13"/>
  <c r="AK121" i="1"/>
  <c r="AH121" i="1"/>
  <c r="F62" i="13"/>
  <c r="F63" i="13" s="1"/>
  <c r="E10" i="4" s="1"/>
  <c r="AM119" i="1"/>
  <c r="H17" i="13"/>
  <c r="F58" i="13"/>
  <c r="F17" i="13"/>
  <c r="AI121" i="1"/>
  <c r="G62" i="13"/>
  <c r="I39" i="13"/>
  <c r="I40" i="13" s="1"/>
  <c r="E37" i="12"/>
  <c r="I35" i="13"/>
  <c r="G37" i="12"/>
  <c r="G13" i="13"/>
  <c r="E13" i="13"/>
  <c r="E59" i="13"/>
  <c r="D51" i="6" s="1"/>
  <c r="G58" i="13"/>
  <c r="G59" i="13" s="1"/>
  <c r="F7" i="4" s="1"/>
  <c r="AM124" i="1"/>
  <c r="E17" i="13"/>
  <c r="I16" i="13"/>
  <c r="D37" i="12"/>
  <c r="AM120" i="1"/>
  <c r="H13" i="13"/>
  <c r="D46" i="13"/>
  <c r="D58" i="13"/>
  <c r="I12" i="13"/>
  <c r="L131" i="1"/>
  <c r="L132" i="1" s="1"/>
  <c r="AJ117" i="1"/>
  <c r="I11" i="13"/>
  <c r="D13" i="13"/>
  <c r="D61" i="13"/>
  <c r="I15" i="13"/>
  <c r="D17" i="13"/>
  <c r="H53" i="13"/>
  <c r="G35" i="12"/>
  <c r="H9" i="13"/>
  <c r="F9" i="13"/>
  <c r="E35" i="12"/>
  <c r="F53" i="13"/>
  <c r="I8" i="13"/>
  <c r="D54" i="13"/>
  <c r="C37" i="12"/>
  <c r="D53" i="13"/>
  <c r="C35" i="12"/>
  <c r="D9" i="13"/>
  <c r="AK117" i="1"/>
  <c r="M131" i="1"/>
  <c r="M132" i="1" s="1"/>
  <c r="K131" i="1"/>
  <c r="K132" i="1" s="1"/>
  <c r="AI117" i="1"/>
  <c r="G9" i="13"/>
  <c r="F35" i="12"/>
  <c r="G53" i="13"/>
  <c r="I131" i="1"/>
  <c r="I132" i="1" s="1"/>
  <c r="AG117" i="1"/>
  <c r="AM121" i="1" l="1"/>
  <c r="H63" i="13"/>
  <c r="G10" i="4" s="1"/>
  <c r="F40" i="12"/>
  <c r="F11" i="15"/>
  <c r="C40" i="12"/>
  <c r="C11" i="15"/>
  <c r="AM125" i="1"/>
  <c r="E40" i="12"/>
  <c r="E11" i="15"/>
  <c r="G40" i="12"/>
  <c r="G11" i="15"/>
  <c r="E63" i="13"/>
  <c r="D52" i="6" s="1"/>
  <c r="C38" i="4"/>
  <c r="H13" i="4"/>
  <c r="I36" i="13"/>
  <c r="G51" i="12"/>
  <c r="H59" i="13"/>
  <c r="G7" i="4" s="1"/>
  <c r="I62" i="13"/>
  <c r="E51" i="12"/>
  <c r="E65" i="12" s="1"/>
  <c r="G63" i="13"/>
  <c r="F10" i="4" s="1"/>
  <c r="F59" i="13"/>
  <c r="E7" i="4" s="1"/>
  <c r="F23" i="13"/>
  <c r="E52" i="6"/>
  <c r="F51" i="12"/>
  <c r="F65" i="12" s="1"/>
  <c r="H23" i="13"/>
  <c r="H37" i="12"/>
  <c r="D7" i="4"/>
  <c r="G23" i="13"/>
  <c r="I17" i="13"/>
  <c r="I58" i="13"/>
  <c r="I59" i="13" s="1"/>
  <c r="D59" i="13"/>
  <c r="C7" i="4" s="1"/>
  <c r="F51" i="6"/>
  <c r="I13" i="13"/>
  <c r="D23" i="13"/>
  <c r="C49" i="12"/>
  <c r="D55" i="13"/>
  <c r="I54" i="13"/>
  <c r="C51" i="12"/>
  <c r="C65" i="12" s="1"/>
  <c r="F49" i="12"/>
  <c r="G55" i="13"/>
  <c r="F55" i="13"/>
  <c r="E49" i="12"/>
  <c r="D63" i="13"/>
  <c r="I61" i="13"/>
  <c r="H55" i="13"/>
  <c r="G49" i="12"/>
  <c r="G59" i="12" s="1"/>
  <c r="E33" i="4"/>
  <c r="E57" i="4" s="1"/>
  <c r="D36" i="4"/>
  <c r="D60" i="4" s="1"/>
  <c r="G52" i="6" l="1"/>
  <c r="H38" i="4"/>
  <c r="C62" i="4"/>
  <c r="H62" i="4" s="1"/>
  <c r="D10" i="4"/>
  <c r="G51" i="6"/>
  <c r="F52" i="6"/>
  <c r="E51" i="6"/>
  <c r="I63" i="13"/>
  <c r="C51" i="6"/>
  <c r="H7" i="4"/>
  <c r="E59" i="12"/>
  <c r="E63" i="12"/>
  <c r="C59" i="12"/>
  <c r="C63" i="12"/>
  <c r="G50" i="6"/>
  <c r="G6" i="4"/>
  <c r="G14" i="4" s="1"/>
  <c r="H69" i="13"/>
  <c r="H70" i="13" s="1"/>
  <c r="E50" i="6"/>
  <c r="E6" i="4"/>
  <c r="F69" i="13"/>
  <c r="F70" i="13" s="1"/>
  <c r="G69" i="13"/>
  <c r="G70" i="13" s="1"/>
  <c r="F50" i="6"/>
  <c r="F6" i="4"/>
  <c r="F14" i="4" s="1"/>
  <c r="C10" i="4"/>
  <c r="H10" i="4" s="1"/>
  <c r="C52" i="6"/>
  <c r="F59" i="12"/>
  <c r="F63" i="12"/>
  <c r="D69" i="13"/>
  <c r="D70" i="13" s="1"/>
  <c r="C50" i="6"/>
  <c r="C6" i="4"/>
  <c r="E34" i="4"/>
  <c r="E58" i="4" s="1"/>
  <c r="E37" i="4"/>
  <c r="E61" i="4" s="1"/>
  <c r="E36" i="4"/>
  <c r="E60" i="4" s="1"/>
  <c r="D37" i="4"/>
  <c r="D61" i="4" s="1"/>
  <c r="D34" i="4"/>
  <c r="D58" i="4" s="1"/>
  <c r="D33" i="4"/>
  <c r="D57" i="4" s="1"/>
  <c r="C14" i="4" l="1"/>
  <c r="E14" i="4"/>
  <c r="E15" i="4" s="1"/>
  <c r="E53" i="6"/>
  <c r="E56" i="6" s="1"/>
  <c r="E58" i="6" s="1"/>
  <c r="E60" i="6" s="1"/>
  <c r="E12" i="15" s="1"/>
  <c r="E14" i="15" s="1"/>
  <c r="F15" i="4"/>
  <c r="C15" i="4"/>
  <c r="C53" i="6"/>
  <c r="F53" i="6"/>
  <c r="E54" i="6" l="1"/>
  <c r="C54" i="6"/>
  <c r="C56" i="6"/>
  <c r="C58" i="6" s="1"/>
  <c r="C60" i="6" s="1"/>
  <c r="C12" i="15" s="1"/>
  <c r="C14" i="15" s="1"/>
  <c r="F54" i="6"/>
  <c r="F56" i="6"/>
  <c r="F58" i="6" s="1"/>
  <c r="F60" i="6" s="1"/>
  <c r="E65" i="6"/>
  <c r="E66" i="6"/>
  <c r="E64" i="6"/>
  <c r="E73" i="6"/>
  <c r="E74" i="6" s="1"/>
  <c r="E75" i="6" s="1"/>
  <c r="E39" i="12"/>
  <c r="E41" i="12" s="1"/>
  <c r="E43" i="12" s="1"/>
  <c r="E44" i="12" s="1"/>
  <c r="E53" i="12"/>
  <c r="F66" i="6" l="1"/>
  <c r="F22" i="4" s="1"/>
  <c r="F35" i="4" s="1"/>
  <c r="F59" i="4" s="1"/>
  <c r="F12" i="15"/>
  <c r="F14" i="15" s="1"/>
  <c r="F64" i="6"/>
  <c r="F18" i="4" s="1"/>
  <c r="F80" i="6"/>
  <c r="E67" i="6"/>
  <c r="E68" i="6" s="1"/>
  <c r="E18" i="4"/>
  <c r="E78" i="6"/>
  <c r="E55" i="12"/>
  <c r="E57" i="12" s="1"/>
  <c r="E58" i="12" s="1"/>
  <c r="E67" i="12"/>
  <c r="E69" i="12" s="1"/>
  <c r="E71" i="12" s="1"/>
  <c r="E19" i="4"/>
  <c r="E32" i="4" s="1"/>
  <c r="E56" i="4" s="1"/>
  <c r="E79" i="6"/>
  <c r="F53" i="12"/>
  <c r="F39" i="12"/>
  <c r="F41" i="12" s="1"/>
  <c r="F43" i="12" s="1"/>
  <c r="F44" i="12" s="1"/>
  <c r="F73" i="6"/>
  <c r="F74" i="6" s="1"/>
  <c r="F75" i="6" s="1"/>
  <c r="E80" i="6"/>
  <c r="E22" i="4"/>
  <c r="E35" i="4" s="1"/>
  <c r="E59" i="4" s="1"/>
  <c r="C65" i="6"/>
  <c r="C66" i="6"/>
  <c r="C64" i="6"/>
  <c r="F65" i="6"/>
  <c r="H51" i="6"/>
  <c r="G64" i="12"/>
  <c r="H64" i="12" s="1"/>
  <c r="H50" i="12"/>
  <c r="G66" i="12"/>
  <c r="H66" i="12" s="1"/>
  <c r="H52" i="12"/>
  <c r="G65" i="12"/>
  <c r="H65" i="12" s="1"/>
  <c r="H52" i="6"/>
  <c r="H51" i="12"/>
  <c r="G15" i="4"/>
  <c r="E26" i="4" l="1"/>
  <c r="F78" i="6"/>
  <c r="F67" i="6"/>
  <c r="F68" i="6" s="1"/>
  <c r="E72" i="12"/>
  <c r="C78" i="6"/>
  <c r="C18" i="4"/>
  <c r="C67" i="6"/>
  <c r="C68" i="6" s="1"/>
  <c r="F67" i="12"/>
  <c r="F69" i="12" s="1"/>
  <c r="F71" i="12" s="1"/>
  <c r="F55" i="12"/>
  <c r="F57" i="12" s="1"/>
  <c r="F58" i="12" s="1"/>
  <c r="E81" i="6"/>
  <c r="E85" i="6" s="1"/>
  <c r="E86" i="6" s="1"/>
  <c r="C80" i="6"/>
  <c r="C22" i="4"/>
  <c r="E31" i="4"/>
  <c r="E39" i="4" s="1"/>
  <c r="C19" i="4"/>
  <c r="C79" i="6"/>
  <c r="F31" i="4"/>
  <c r="F79" i="6"/>
  <c r="F19" i="4"/>
  <c r="F32" i="4" s="1"/>
  <c r="F56" i="4" s="1"/>
  <c r="G63" i="12"/>
  <c r="G53" i="6"/>
  <c r="G54" i="6" s="1"/>
  <c r="E27" i="4" l="1"/>
  <c r="E15" i="15"/>
  <c r="F39" i="4"/>
  <c r="F81" i="6"/>
  <c r="F85" i="6" s="1"/>
  <c r="F86" i="6" s="1"/>
  <c r="C26" i="4"/>
  <c r="C15" i="15" s="1"/>
  <c r="F26" i="4"/>
  <c r="F15" i="15" s="1"/>
  <c r="C81" i="6"/>
  <c r="C85" i="6" s="1"/>
  <c r="F27" i="4"/>
  <c r="E55" i="4"/>
  <c r="E63" i="4" s="1"/>
  <c r="E40" i="4"/>
  <c r="F72" i="12"/>
  <c r="F40" i="4"/>
  <c r="F55" i="4"/>
  <c r="F63" i="4" s="1"/>
  <c r="G56" i="6"/>
  <c r="F64" i="4" l="1"/>
  <c r="E64" i="4"/>
  <c r="G58" i="6"/>
  <c r="G60" i="6" s="1"/>
  <c r="G12" i="15" s="1"/>
  <c r="G14" i="15" s="1"/>
  <c r="G66" i="6" l="1"/>
  <c r="G65" i="6"/>
  <c r="G64" i="6"/>
  <c r="G37" i="4"/>
  <c r="G61" i="4" s="1"/>
  <c r="G39" i="12"/>
  <c r="G41" i="12" s="1"/>
  <c r="G43" i="12" s="1"/>
  <c r="G44" i="12" s="1"/>
  <c r="G53" i="12"/>
  <c r="G67" i="12" s="1"/>
  <c r="G69" i="12" s="1"/>
  <c r="G71" i="12" s="1"/>
  <c r="G73" i="6"/>
  <c r="G74" i="6" s="1"/>
  <c r="G75" i="6" s="1"/>
  <c r="G33" i="4"/>
  <c r="G36" i="4"/>
  <c r="G60" i="4" s="1"/>
  <c r="G34" i="4"/>
  <c r="G58" i="4" s="1"/>
  <c r="G19" i="4" l="1"/>
  <c r="G32" i="4" s="1"/>
  <c r="G56" i="4" s="1"/>
  <c r="G79" i="6"/>
  <c r="G18" i="4"/>
  <c r="G78" i="6"/>
  <c r="G22" i="4"/>
  <c r="G35" i="4" s="1"/>
  <c r="G59" i="4" s="1"/>
  <c r="G80" i="6"/>
  <c r="G55" i="12"/>
  <c r="G57" i="12" s="1"/>
  <c r="G58" i="12" s="1"/>
  <c r="G57" i="4"/>
  <c r="G31" i="4" l="1"/>
  <c r="G26" i="4"/>
  <c r="G81" i="6"/>
  <c r="G85" i="6" s="1"/>
  <c r="G86" i="6" s="1"/>
  <c r="G72" i="12"/>
  <c r="G67" i="6"/>
  <c r="G68" i="6" s="1"/>
  <c r="G27" i="4" l="1"/>
  <c r="G15" i="15"/>
  <c r="G55" i="4"/>
  <c r="G63" i="4" s="1"/>
  <c r="G64" i="4" s="1"/>
  <c r="G39" i="4"/>
  <c r="G40" i="4" s="1"/>
  <c r="C73" i="6"/>
  <c r="C39" i="12"/>
  <c r="C41" i="12" s="1"/>
  <c r="C43" i="12" s="1"/>
  <c r="C44" i="12" s="1"/>
  <c r="C53" i="12"/>
  <c r="H24" i="4" l="1"/>
  <c r="C37" i="4"/>
  <c r="C67" i="12"/>
  <c r="C55" i="12"/>
  <c r="C74" i="6"/>
  <c r="C86" i="6" s="1"/>
  <c r="H21" i="4" l="1"/>
  <c r="C34" i="4"/>
  <c r="H20" i="4"/>
  <c r="C33" i="4"/>
  <c r="C69" i="12"/>
  <c r="C71" i="12" s="1"/>
  <c r="C75" i="6"/>
  <c r="C31" i="4"/>
  <c r="C27" i="4"/>
  <c r="H37" i="4"/>
  <c r="C61" i="4"/>
  <c r="C35" i="4"/>
  <c r="C57" i="12"/>
  <c r="C58" i="12" s="1"/>
  <c r="C32" i="4"/>
  <c r="C36" i="4"/>
  <c r="H23" i="4"/>
  <c r="C39" i="4" l="1"/>
  <c r="C40" i="4" s="1"/>
  <c r="H61" i="4"/>
  <c r="H36" i="4"/>
  <c r="C60" i="4"/>
  <c r="H60" i="4" s="1"/>
  <c r="C56" i="4"/>
  <c r="C72" i="12"/>
  <c r="C55" i="4"/>
  <c r="C57" i="4"/>
  <c r="H57" i="4" s="1"/>
  <c r="H33" i="4"/>
  <c r="C58" i="4"/>
  <c r="H58" i="4" s="1"/>
  <c r="H34" i="4"/>
  <c r="C59" i="4"/>
  <c r="C63" i="4" l="1"/>
  <c r="C64" i="4" s="1"/>
  <c r="S131" i="1" l="1"/>
  <c r="R131" i="1"/>
  <c r="O131" i="1"/>
  <c r="Y131" i="1" l="1"/>
  <c r="Y132" i="1" s="1"/>
  <c r="AA131" i="1"/>
  <c r="AA132" i="1" s="1"/>
  <c r="AB131" i="1"/>
  <c r="AB132" i="1" s="1"/>
  <c r="X131" i="1"/>
  <c r="X132" i="1" s="1"/>
  <c r="AC131" i="1"/>
  <c r="AC132" i="1" s="1"/>
  <c r="V131" i="1"/>
  <c r="V132" i="1" s="1"/>
  <c r="AD131" i="1"/>
  <c r="AD132" i="1" s="1"/>
  <c r="Q131" i="1"/>
  <c r="Q132" i="1" s="1"/>
  <c r="U131" i="1"/>
  <c r="D47" i="13" s="1"/>
  <c r="AE131" i="1"/>
  <c r="AE132" i="1" s="1"/>
  <c r="W131" i="1"/>
  <c r="W132" i="1" s="1"/>
  <c r="S132" i="1"/>
  <c r="AH125" i="1"/>
  <c r="R132" i="1"/>
  <c r="O132" i="1"/>
  <c r="AK125" i="1"/>
  <c r="AK131" i="1" s="1"/>
  <c r="AI125" i="1"/>
  <c r="AI131" i="1" s="1"/>
  <c r="AJ125" i="1"/>
  <c r="AJ131" i="1" s="1"/>
  <c r="AG125" i="1"/>
  <c r="AG131" i="1" s="1"/>
  <c r="H47" i="13" l="1"/>
  <c r="F47" i="13"/>
  <c r="G47" i="13"/>
  <c r="U132" i="1"/>
  <c r="G24" i="13"/>
  <c r="AJ132" i="1"/>
  <c r="H24" i="13"/>
  <c r="AK132" i="1"/>
  <c r="F24" i="13"/>
  <c r="AI132" i="1"/>
  <c r="D24" i="13" l="1"/>
  <c r="AG132" i="1"/>
  <c r="E30" i="13" l="1"/>
  <c r="I30" i="13" s="1"/>
  <c r="I32" i="13" s="1"/>
  <c r="I46" i="13" s="1"/>
  <c r="AH115" i="1"/>
  <c r="AM115" i="1" s="1"/>
  <c r="AM117" i="1" s="1"/>
  <c r="AM131" i="1" s="1"/>
  <c r="AM132" i="1" s="1"/>
  <c r="E7" i="13" l="1"/>
  <c r="E53" i="13" s="1"/>
  <c r="E55" i="13" s="1"/>
  <c r="D6" i="4" s="1"/>
  <c r="D14" i="4" s="1"/>
  <c r="E32" i="13"/>
  <c r="E46" i="13" s="1"/>
  <c r="AH117" i="1"/>
  <c r="AH131" i="1" s="1"/>
  <c r="AH132" i="1" s="1"/>
  <c r="P131" i="1"/>
  <c r="D40" i="12" l="1"/>
  <c r="H40" i="12" s="1"/>
  <c r="D11" i="15"/>
  <c r="H11" i="15" s="1"/>
  <c r="E69" i="13"/>
  <c r="E9" i="13"/>
  <c r="E23" i="13" s="1"/>
  <c r="E24" i="13" s="1"/>
  <c r="H6" i="4"/>
  <c r="H14" i="4" s="1"/>
  <c r="D49" i="12"/>
  <c r="H49" i="12" s="1"/>
  <c r="I53" i="13"/>
  <c r="I55" i="13" s="1"/>
  <c r="I69" i="13" s="1"/>
  <c r="I7" i="13"/>
  <c r="I9" i="13" s="1"/>
  <c r="I23" i="13" s="1"/>
  <c r="I24" i="13" s="1"/>
  <c r="D50" i="6"/>
  <c r="H50" i="6" s="1"/>
  <c r="H53" i="6" s="1"/>
  <c r="D35" i="12"/>
  <c r="H35" i="12" s="1"/>
  <c r="P132" i="1"/>
  <c r="E47" i="13"/>
  <c r="I47" i="13" s="1"/>
  <c r="D59" i="12" l="1"/>
  <c r="D15" i="4" s="1"/>
  <c r="D63" i="12"/>
  <c r="H63" i="12" s="1"/>
  <c r="E70" i="13"/>
  <c r="H15" i="4"/>
  <c r="H54" i="6"/>
  <c r="J46" i="13"/>
  <c r="D53" i="6"/>
  <c r="D54" i="6" s="1"/>
  <c r="I70" i="13"/>
  <c r="H59" i="12"/>
  <c r="D56" i="6" l="1"/>
  <c r="H56" i="6" s="1"/>
  <c r="H58" i="6" s="1"/>
  <c r="D58" i="6" l="1"/>
  <c r="D60" i="6" s="1"/>
  <c r="D53" i="12" l="1"/>
  <c r="D12" i="15"/>
  <c r="D64" i="6"/>
  <c r="D39" i="12"/>
  <c r="H39" i="12" s="1"/>
  <c r="H41" i="12" s="1"/>
  <c r="H43" i="12" s="1"/>
  <c r="D73" i="6"/>
  <c r="D74" i="6" s="1"/>
  <c r="D75" i="6" s="1"/>
  <c r="H60" i="6"/>
  <c r="D65" i="6"/>
  <c r="D66" i="6"/>
  <c r="H53" i="12"/>
  <c r="H55" i="12" s="1"/>
  <c r="H57" i="12" s="1"/>
  <c r="D67" i="12"/>
  <c r="D55" i="12"/>
  <c r="D57" i="12" s="1"/>
  <c r="H12" i="15" l="1"/>
  <c r="H14" i="15" s="1"/>
  <c r="D14" i="15"/>
  <c r="H44" i="12"/>
  <c r="H73" i="6"/>
  <c r="H74" i="6" s="1"/>
  <c r="H75" i="6" s="1"/>
  <c r="D19" i="4"/>
  <c r="H19" i="4" s="1"/>
  <c r="D79" i="6"/>
  <c r="H79" i="6" s="1"/>
  <c r="H66" i="6"/>
  <c r="D80" i="6"/>
  <c r="H80" i="6" s="1"/>
  <c r="H64" i="6"/>
  <c r="D78" i="6"/>
  <c r="D67" i="6"/>
  <c r="D68" i="6" s="1"/>
  <c r="D18" i="4"/>
  <c r="D41" i="12"/>
  <c r="D43" i="12" s="1"/>
  <c r="D44" i="12" s="1"/>
  <c r="D22" i="4"/>
  <c r="D35" i="4" s="1"/>
  <c r="H65" i="6"/>
  <c r="H58" i="12"/>
  <c r="H67" i="12"/>
  <c r="H69" i="12" s="1"/>
  <c r="H71" i="12" s="1"/>
  <c r="H72" i="12" s="1"/>
  <c r="D69" i="12"/>
  <c r="D71" i="12" s="1"/>
  <c r="D72" i="12" s="1"/>
  <c r="D31" i="4" l="1"/>
  <c r="D26" i="4"/>
  <c r="D27" i="4" s="1"/>
  <c r="H78" i="6"/>
  <c r="H81" i="6" s="1"/>
  <c r="H85" i="6" s="1"/>
  <c r="H86" i="6" s="1"/>
  <c r="D81" i="6"/>
  <c r="D85" i="6" s="1"/>
  <c r="D86" i="6" s="1"/>
  <c r="D32" i="4"/>
  <c r="H32" i="4" s="1"/>
  <c r="H67" i="6"/>
  <c r="H68" i="6" s="1"/>
  <c r="H18" i="4"/>
  <c r="D58" i="12"/>
  <c r="H22" i="4"/>
  <c r="H35" i="4"/>
  <c r="D59" i="4"/>
  <c r="D39" i="4" l="1"/>
  <c r="D15" i="15"/>
  <c r="H31" i="4"/>
  <c r="H39" i="4" s="1"/>
  <c r="D55" i="4"/>
  <c r="H55" i="4" s="1"/>
  <c r="H26" i="4"/>
  <c r="H15" i="15" s="1"/>
  <c r="H59" i="4"/>
  <c r="D40" i="4"/>
  <c r="D56" i="4"/>
  <c r="H27" i="4"/>
  <c r="D63" i="4" l="1"/>
  <c r="D64" i="4" s="1"/>
  <c r="H56" i="4"/>
  <c r="H63" i="4" s="1"/>
  <c r="H40" i="4"/>
  <c r="H64" i="4" l="1"/>
  <c r="I63" i="4"/>
</calcChain>
</file>

<file path=xl/comments1.xml><?xml version="1.0" encoding="utf-8"?>
<comments xmlns="http://schemas.openxmlformats.org/spreadsheetml/2006/main">
  <authors>
    <author>Steven Martin</author>
  </authors>
  <commentList>
    <comment ref="AN20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2015 costs which are outside the scope for this CPA.</t>
        </r>
      </text>
    </comment>
    <comment ref="AN105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2015 costs which are outside the scope for this CPA.</t>
        </r>
      </text>
    </comment>
    <comment ref="S110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2015 costs which are outside the scope for this CPA.</t>
        </r>
      </text>
    </comment>
  </commentList>
</comments>
</file>

<file path=xl/sharedStrings.xml><?xml version="1.0" encoding="utf-8"?>
<sst xmlns="http://schemas.openxmlformats.org/spreadsheetml/2006/main" count="967" uniqueCount="307">
  <si>
    <t>Direct Material cost</t>
  </si>
  <si>
    <t>Direct Labour cost</t>
  </si>
  <si>
    <t>Direct Contract cost</t>
  </si>
  <si>
    <t>Direct Other cost</t>
  </si>
  <si>
    <t>Total Direct cost</t>
  </si>
  <si>
    <t>Total Direct</t>
  </si>
  <si>
    <t>Total</t>
  </si>
  <si>
    <t>Design</t>
  </si>
  <si>
    <t>Surge Arrestors</t>
  </si>
  <si>
    <t>WYK2</t>
  </si>
  <si>
    <t>RUBA</t>
  </si>
  <si>
    <t>BWA</t>
  </si>
  <si>
    <t>KLK</t>
  </si>
  <si>
    <t>SMR</t>
  </si>
  <si>
    <t>WN</t>
  </si>
  <si>
    <t>WGI</t>
  </si>
  <si>
    <t>MYT</t>
  </si>
  <si>
    <t>KMS</t>
  </si>
  <si>
    <t>ACR upgrades</t>
  </si>
  <si>
    <t>Finish Dt</t>
  </si>
  <si>
    <t>Zone Sub</t>
  </si>
  <si>
    <t>Start Contruction</t>
  </si>
  <si>
    <t>MAT</t>
  </si>
  <si>
    <t>LAB</t>
  </si>
  <si>
    <t>OTH</t>
  </si>
  <si>
    <t>TOTAL</t>
  </si>
  <si>
    <t>CHECK</t>
  </si>
  <si>
    <t>Lab</t>
  </si>
  <si>
    <t>Mat</t>
  </si>
  <si>
    <t>Network Balancing - $2016</t>
  </si>
  <si>
    <t>Units</t>
  </si>
  <si>
    <t>Cost</t>
  </si>
  <si>
    <t>unit rate</t>
  </si>
  <si>
    <t>Total Dir</t>
  </si>
  <si>
    <t>Upgrade</t>
  </si>
  <si>
    <t>Replace</t>
  </si>
  <si>
    <t>HV Customers</t>
  </si>
  <si>
    <t>Network Balancing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</si>
  <si>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</si>
  <si>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</si>
  <si>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</si>
  <si>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</si>
  <si>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</si>
  <si>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</si>
  <si>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</si>
  <si>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Forecast Capital Expenditure – As Incurred ($m Real 2015)</t>
  </si>
  <si>
    <t>Direct + Ohs</t>
  </si>
  <si>
    <t>RAB Class</t>
  </si>
  <si>
    <t>Labour escalation</t>
  </si>
  <si>
    <t>Forecast Operating &amp; Maintenance ($m Real 2015)</t>
  </si>
  <si>
    <t>Annual Testing</t>
  </si>
  <si>
    <t>Equipment &amp; PPE</t>
  </si>
  <si>
    <t>Training &amp; Change Management</t>
  </si>
  <si>
    <t>Regulation &amp; Code Changes</t>
  </si>
  <si>
    <t>Fixed</t>
  </si>
  <si>
    <t>Table 5.4 AER Final Determination - Derivation of capitalised overheads ($'000s real $2015)</t>
  </si>
  <si>
    <t>Fixed/variable split</t>
  </si>
  <si>
    <t>Variable</t>
  </si>
  <si>
    <t>Fixed/variable component</t>
  </si>
  <si>
    <t>AusNet Revised Proposal Fixed</t>
  </si>
  <si>
    <t>AusNet Revised Proposal Variable</t>
  </si>
  <si>
    <t>AER Final Determination direct cost reduction</t>
  </si>
  <si>
    <t>AER Final Determination variable component</t>
  </si>
  <si>
    <t>Augmentation</t>
  </si>
  <si>
    <t>Connections</t>
  </si>
  <si>
    <t>Replacement</t>
  </si>
  <si>
    <t>Zone substation</t>
  </si>
  <si>
    <t>Compatible Equipment</t>
  </si>
  <si>
    <t xml:space="preserve">Distribution Code </t>
  </si>
  <si>
    <t>Labour / Non Labour splits</t>
  </si>
  <si>
    <t>Labour</t>
  </si>
  <si>
    <t>Non Labour</t>
  </si>
  <si>
    <t>DESIGN</t>
  </si>
  <si>
    <t>CONSTR</t>
  </si>
  <si>
    <t>Total Opex - REFCL program</t>
  </si>
  <si>
    <t>Sole supplier risk mitigation</t>
  </si>
  <si>
    <t>Total Opex exc DRC ($2015)</t>
  </si>
  <si>
    <t>Forecast Operating &amp; Maintenance ($m Real 2016)</t>
  </si>
  <si>
    <t>Total Opex - real $2016</t>
  </si>
  <si>
    <t>Direct before labour escalation, $2016</t>
  </si>
  <si>
    <t>Capitalised Overheads Calculation</t>
  </si>
  <si>
    <t>PTRM Inputs</t>
  </si>
  <si>
    <t>(source: AER Final Decision PTRM inputs, excl. equity raising costs)</t>
  </si>
  <si>
    <t>Check</t>
  </si>
  <si>
    <t>ACR replacements - $2016</t>
  </si>
  <si>
    <t>ACR Upgrades - $2016</t>
  </si>
  <si>
    <t>HV Customer Isolations - $2016</t>
  </si>
  <si>
    <t>TOTAL COST Inputs, $2016</t>
  </si>
  <si>
    <t>(source: AER Final Decision Capex Model - Confidential)</t>
  </si>
  <si>
    <t>Contingent Project - including labour escalation</t>
  </si>
  <si>
    <t>Contingent Project - including labour escalation, excluding debt raising costs</t>
  </si>
  <si>
    <t>Total Forecast Capex - Contingent Project ($m Real 2015)</t>
  </si>
  <si>
    <t>Thousands</t>
  </si>
  <si>
    <t>Other</t>
  </si>
  <si>
    <t>Contingent Project Application - Total Cost model</t>
  </si>
  <si>
    <t>1. Escalators</t>
  </si>
  <si>
    <t>2. Inputs</t>
  </si>
  <si>
    <t>3. Outputs</t>
  </si>
  <si>
    <t>Direct Capital Cost Composition</t>
  </si>
  <si>
    <t>Direct Capital Costs</t>
  </si>
  <si>
    <t>Capex Summary by Zone Substation</t>
  </si>
  <si>
    <t>Total Direct P50, before escalation adjustments</t>
  </si>
  <si>
    <t>Table 2.1 - AusNet Services - AER Final Determination - Standard Control Capex ($'000s real $2015)</t>
  </si>
  <si>
    <t>Non-Network</t>
  </si>
  <si>
    <t>Capitalised overheads</t>
  </si>
  <si>
    <t>Escalation adjustment</t>
  </si>
  <si>
    <t>TOTAL GROSS CAPEX (includes capcons)</t>
  </si>
  <si>
    <t>capcons</t>
  </si>
  <si>
    <t>NET CAPEX (excludes capcons)</t>
  </si>
  <si>
    <t>Capex by Purpose - EDPR Final decision &amp; Contingent Project</t>
  </si>
  <si>
    <t>Capex By Purpose</t>
  </si>
  <si>
    <t>Capex Summary By Zone Substation</t>
  </si>
  <si>
    <t>Table 1a - Proposed Capex - Direct before escalation adjustments, $000's, $2016</t>
  </si>
  <si>
    <t>Table 1b - Proposed Capex - Direct before escalation adjustments, $m, $Dec 2015</t>
  </si>
  <si>
    <t>(Escalation adjustments applied to catgories)</t>
  </si>
  <si>
    <t>Fixed Overheads</t>
  </si>
  <si>
    <t>Variable Overheads</t>
  </si>
  <si>
    <t>Total Approved Capitalised Overhead (before escalation adj's)</t>
  </si>
  <si>
    <t>(Decision Escalation adjustments applied to categories)</t>
  </si>
  <si>
    <t>Operating &amp; Maintenance Costs</t>
  </si>
  <si>
    <t>Total Approved Capitalised Overhead (incl. escalation adj's)</t>
  </si>
  <si>
    <t>Opex Inputs</t>
  </si>
  <si>
    <t>Escalators</t>
  </si>
  <si>
    <t>AST Table 1C - EDPR Approved Capex &amp; Contingent Project Capex - Standard Control Capex ($'000s real $2015)</t>
  </si>
  <si>
    <t>Index - $2016 to nominal</t>
  </si>
  <si>
    <t>Forecast Operating &amp; Maintenance ($m Nominal), using Decision inflation</t>
  </si>
  <si>
    <t>Expenditure Class</t>
  </si>
  <si>
    <t>No of units</t>
  </si>
  <si>
    <t>Real escalation value (%)</t>
  </si>
  <si>
    <t>Cost Drivers</t>
  </si>
  <si>
    <t>Labour escalators</t>
  </si>
  <si>
    <t>Electricity Gas Water and Waste Services Wage Price Index (Internal labour)</t>
  </si>
  <si>
    <t>Construction Wage Price Index (External labour)</t>
  </si>
  <si>
    <t>Final Decision Escalation adjustment</t>
  </si>
  <si>
    <t>Forecast Wage Price Growth</t>
  </si>
  <si>
    <t>Actual Wage Price Growth</t>
  </si>
  <si>
    <t>EGWWS WPI (Vic) real rate of change</t>
  </si>
  <si>
    <t>(source: AER information request #049 - AusNet Services - Real escalation input cost indices, 8th March 2016)</t>
  </si>
  <si>
    <t>Construction WPI (Aus) real rate of change</t>
  </si>
  <si>
    <t>Decision Inflation</t>
  </si>
  <si>
    <t>CPI</t>
  </si>
  <si>
    <t>Labour index for Capital costs</t>
  </si>
  <si>
    <t>Labour index for Operating &amp; Maintenance costs</t>
  </si>
  <si>
    <t>(source: ABS WPI industry data adjusted for actual inflation)</t>
  </si>
  <si>
    <t>Costs Summary by Category</t>
  </si>
  <si>
    <t>Summary by Category</t>
  </si>
  <si>
    <t>Subtotal</t>
  </si>
  <si>
    <t>Grand Total</t>
  </si>
  <si>
    <t>Direct P50 - before escalation adjustments - $'000s, real $2016</t>
  </si>
  <si>
    <t>Labour Escalation - $'000s, real $2016</t>
  </si>
  <si>
    <t>Contingent Project Total Direct Cost incl. labour escalation - $'000s, real $2016</t>
  </si>
  <si>
    <t>WPI - EGWWS (Vic)</t>
  </si>
  <si>
    <t>(source: EDPR Final Decision Opex model - rate of change)</t>
  </si>
  <si>
    <t>Live line equipment purchases</t>
  </si>
  <si>
    <t>Total Gross Direct</t>
  </si>
  <si>
    <t>Alternative technologies and vendors</t>
  </si>
  <si>
    <t>Fault response &amp; analysis</t>
  </si>
  <si>
    <t>Operating, maintenance and testing instructions</t>
  </si>
  <si>
    <t>Routine maintenance of zone substation assets</t>
  </si>
  <si>
    <t>3. Aggregations &amp; Allocations</t>
  </si>
  <si>
    <t>Net increase in Network Capex incl. escalation adj's - All Groups</t>
  </si>
  <si>
    <t>Internal labour index (applied to labour costs in $2014)</t>
  </si>
  <si>
    <t>External labour index (applied to labour costs in $2014)</t>
  </si>
  <si>
    <t>Labour index (applied to labour costs in $2014)</t>
  </si>
  <si>
    <t>Contr</t>
  </si>
  <si>
    <t>Oth</t>
  </si>
  <si>
    <t>(source: AST Distribution Proposal Capex Model - Confidential)</t>
  </si>
  <si>
    <t>Direct P50, $2016, $k</t>
  </si>
  <si>
    <t>AST Table 1A - Contingent Project - Standard Control Capex, Incremental ($'000s real $2015)</t>
  </si>
  <si>
    <t>AST Table 1B - Contingent Project - Standard Control Capex, Incremental ($'000s real $2015)</t>
  </si>
  <si>
    <t>Incremental Direct costs only</t>
  </si>
  <si>
    <t>source: Network Balancing costs - AusNet Services</t>
  </si>
  <si>
    <t>source: Zone Substation works planning estimates - AusNet Services</t>
  </si>
  <si>
    <t>source: Surge Arrestor costs - AusNet Services</t>
  </si>
  <si>
    <t>Chk</t>
  </si>
  <si>
    <t>ACR replacement unit rate, $2016, $k</t>
  </si>
  <si>
    <t>ACR upgrade unit rate, $2016, $k</t>
  </si>
  <si>
    <t>EDPR Direct Inputs - ACR Upgrades, $2014, $k</t>
  </si>
  <si>
    <t>Direct Capex Inputs, before escalation adjustments - $000's, Real $2016</t>
  </si>
  <si>
    <t>Direct Capex Input Composition, before escalation adjustments - $000's, Real $2016</t>
  </si>
  <si>
    <t>(before labour escalation adjustments)</t>
  </si>
  <si>
    <t>source: Voltage Regulator costs - AusNet Services</t>
  </si>
  <si>
    <t>Surge Arrestor Replacements - $2016</t>
  </si>
  <si>
    <t>Voltage Regulators - $2016</t>
  </si>
  <si>
    <t>HV Customer Isolations</t>
  </si>
  <si>
    <t>Voltage Regulators</t>
  </si>
  <si>
    <t>ACR replacements</t>
  </si>
  <si>
    <t>Surge Arrestor Replacements</t>
  </si>
  <si>
    <t>Work at Zone Substations</t>
  </si>
  <si>
    <t>Works at Zone Substations - $2016</t>
  </si>
  <si>
    <t>DFA schemes (stage 2)</t>
  </si>
  <si>
    <t>Other Program costs</t>
  </si>
  <si>
    <t>Program management office</t>
  </si>
  <si>
    <t>Other program costs</t>
  </si>
  <si>
    <t>Conversion factor - real $2016 to End $2015</t>
  </si>
  <si>
    <t>(8 cities, 1 year lagged - Mar-15 CPI Index / Sep-15 CPI Index)</t>
  </si>
  <si>
    <t>Total exc Dist Code &amp; Other</t>
  </si>
  <si>
    <t>Program management office costs</t>
  </si>
  <si>
    <t>Amended Network Capex - Direct ($'000s real $2015)</t>
  </si>
  <si>
    <t>Total Forecast Direct - Incremental</t>
  </si>
  <si>
    <t>Total Forecast Overheads - Incremental</t>
  </si>
  <si>
    <t>Total Forecast Capex - Incremental</t>
  </si>
  <si>
    <t>Final Decision Capex - Total ($m, $2015)</t>
  </si>
  <si>
    <t>Amended EDPR Capex - Total ($m, $2015)</t>
  </si>
  <si>
    <t>Total Forecast Amended Capex</t>
  </si>
  <si>
    <t>Total Approved Capex</t>
  </si>
  <si>
    <t>Incremental Overheads ($m, Real 2015)</t>
  </si>
  <si>
    <t>Actual Inflation - 8 cities, 1 year lagged (Sep to Sep)</t>
  </si>
  <si>
    <t>Total Opex - $Nominal</t>
  </si>
  <si>
    <t>Direct Summary by Category - incl. Labour escalation</t>
  </si>
  <si>
    <t>Materials</t>
  </si>
  <si>
    <t>Contracts - Design</t>
  </si>
  <si>
    <t>Contracts - Construct</t>
  </si>
  <si>
    <t>Total Direct P50</t>
  </si>
  <si>
    <t>projects &lt; $4m</t>
  </si>
  <si>
    <t>projects &gt; $4m</t>
  </si>
  <si>
    <t>Sum</t>
  </si>
  <si>
    <t>Asset composition</t>
  </si>
  <si>
    <t>Short life</t>
  </si>
  <si>
    <t>Long life</t>
  </si>
  <si>
    <t>source: Cost Estimate for HV Customer Isolations, AusNet Services</t>
  </si>
  <si>
    <t>source: Distribution Feeder Automation Strategy planning estimate, AusNet Services</t>
  </si>
  <si>
    <t>source: ACR Upgrades control estimate for REFCL Deployment - Tranche 1,  AusNet Services</t>
  </si>
  <si>
    <t>source: ACR Replacement control estimate for REFCL Deployment - Tranche 1,  AusNet Services</t>
  </si>
  <si>
    <t>Sites</t>
  </si>
  <si>
    <t>Average units per site</t>
  </si>
  <si>
    <t xml:space="preserve">Reg upgrade </t>
  </si>
  <si>
    <t>Reg replacement</t>
  </si>
  <si>
    <t>Other Program costs*</t>
  </si>
  <si>
    <t>*Note, Other Program costs includes DFA schemes (stage 2), program management costs and live line equipment</t>
  </si>
  <si>
    <t>Unit rate, $k, $2016</t>
  </si>
  <si>
    <t>Non-Network Other</t>
  </si>
  <si>
    <t>Non-Network IT</t>
  </si>
  <si>
    <t>Other Program costs - $2016</t>
  </si>
  <si>
    <t>source: Program capex costs estimate - AusNet Services</t>
  </si>
  <si>
    <t>Total Variable Component</t>
  </si>
  <si>
    <t>Capitalised Overheads : $ End 2015</t>
  </si>
  <si>
    <t>Network OH's</t>
  </si>
  <si>
    <t>IT OH's</t>
  </si>
  <si>
    <t>Net Increase in Variable Network OH's ($'000s real $2015)</t>
  </si>
  <si>
    <t>Variable Network OH's</t>
  </si>
  <si>
    <t>Variable IT OH's</t>
  </si>
  <si>
    <t>Capex by Asset Class</t>
  </si>
  <si>
    <t xml:space="preserve">Total Overheads, incl. escalation adjustments </t>
  </si>
  <si>
    <t>Incremental Network Overheads by Asset Class  ($'000s real $2015)</t>
  </si>
  <si>
    <t>Total Incremental Network Capex</t>
  </si>
  <si>
    <t>Total Proposed Amended Overheads - EDPR Approved OH's &amp; Contingent Project OH's incl. escalation adj's ($'000s real $2015)</t>
  </si>
  <si>
    <t>DM16</t>
  </si>
  <si>
    <t>DM17</t>
  </si>
  <si>
    <t>DM18</t>
  </si>
  <si>
    <t>DM19</t>
  </si>
  <si>
    <t>DM20</t>
  </si>
  <si>
    <t>DL16</t>
  </si>
  <si>
    <t>DL17</t>
  </si>
  <si>
    <t>DL18</t>
  </si>
  <si>
    <t>DL19</t>
  </si>
  <si>
    <t>DL20</t>
  </si>
  <si>
    <t>DC16</t>
  </si>
  <si>
    <t>DC17</t>
  </si>
  <si>
    <t>DC18</t>
  </si>
  <si>
    <t>DC19</t>
  </si>
  <si>
    <t>DC20</t>
  </si>
  <si>
    <t>DO16</t>
  </si>
  <si>
    <t>DO17</t>
  </si>
  <si>
    <t>DO18</t>
  </si>
  <si>
    <t>DO19</t>
  </si>
  <si>
    <t>DO20</t>
  </si>
  <si>
    <t>Distribution system assetsAugmentation</t>
  </si>
  <si>
    <t>Distribution system assetsReplacement</t>
  </si>
  <si>
    <t>SubtransmissionAugmentation</t>
  </si>
  <si>
    <t>SCADA/Network controlReplacement</t>
  </si>
  <si>
    <t>SCADA/Network controlAugmentation</t>
  </si>
  <si>
    <t>SubtransmissionReplacement</t>
  </si>
  <si>
    <t>IT</t>
  </si>
  <si>
    <t>Total Approved Network Overheads</t>
  </si>
  <si>
    <t>Total Approved Network Direct Capex</t>
  </si>
  <si>
    <t>Network Overheads by Asset Class</t>
  </si>
  <si>
    <t>Network overheads by Asset Class ($2015)</t>
  </si>
  <si>
    <t>AER Final Determination variable component ($2015)</t>
  </si>
  <si>
    <t xml:space="preserve">Total Direct P50 </t>
  </si>
  <si>
    <t>Average</t>
  </si>
  <si>
    <t>source: AusNet Services</t>
  </si>
  <si>
    <t>Total Overheads (before escalation adj's)</t>
  </si>
  <si>
    <t>AER Final Decision Network Capex including escalation adj's ($'000s real $2015)</t>
  </si>
  <si>
    <t>Contingent Project - Incremental Network Capex by Asset Class, including escalation adj's ($'000s real $2015)</t>
  </si>
  <si>
    <t>Total Network Overheads, including escalation adj's</t>
  </si>
  <si>
    <t>RAB Class/Expenditure Type</t>
  </si>
  <si>
    <t>Network Reliability improvements</t>
  </si>
  <si>
    <t>Zone Substations</t>
  </si>
  <si>
    <t>Index - $2015 to nominal</t>
  </si>
  <si>
    <t>Total Incremental Opex, $Nominal</t>
  </si>
  <si>
    <t>Land</t>
  </si>
  <si>
    <t>OtherNon-Network</t>
  </si>
  <si>
    <t>ITNon-Network</t>
  </si>
  <si>
    <t>LandNon-Network</t>
  </si>
  <si>
    <t>Expenditure by Zone Substation, $000's, Real $2016</t>
  </si>
  <si>
    <t>(Excluding Other program costs and excludes labour escalation adjustments)</t>
  </si>
  <si>
    <t>Direct Summary by RAB Class and Expenditure Category</t>
  </si>
  <si>
    <t>Total Incremental Opex, $2016</t>
  </si>
  <si>
    <t>Incremental Capitalised Overheads</t>
  </si>
  <si>
    <t>Average Direct Cost per Zone Substation, excluding Other Program costs, $m</t>
  </si>
  <si>
    <t>Total Capital Expenditure Forecast, $m, $2016</t>
  </si>
  <si>
    <t>Other Summary Tables</t>
  </si>
  <si>
    <t>Incremental Capitalised Overhead</t>
  </si>
  <si>
    <t>Escalation adjustments</t>
  </si>
  <si>
    <t>Total Capital Expenditure</t>
  </si>
  <si>
    <t>Total Direct Cost (before escalation adjustments)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</si>
</sst>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0.0000"/>
    <numFmt numFmtId="167" formatCode="#,##0.00_ ;\-#,##0.00\ "/>
    <numFmt numFmtId="168" formatCode="#,##0_ ;\-#,##0\ "/>
    <numFmt numFmtId="169" formatCode="_-* #,##0_-;\-* #,##0_-;_-* &quot;-&quot;??_-;_-@_-"/>
    <numFmt numFmtId="170" formatCode="0.0%"/>
    <numFmt numFmtId="171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000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ck">
        <color auto="1"/>
      </top>
      <bottom style="thin">
        <color theme="1" tint="0.499984740745262"/>
      </bottom>
      <diagonal/>
    </border>
    <border>
      <left/>
      <right style="thick">
        <color auto="1"/>
      </right>
      <top style="thick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/>
      <diagonal/>
    </border>
    <border>
      <left/>
      <right style="thick">
        <color auto="1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auto="1"/>
      </right>
      <top/>
      <bottom style="thin">
        <color theme="1" tint="0.499984740745262"/>
      </bottom>
      <diagonal/>
    </border>
    <border>
      <left style="thick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Fill="0"/>
    <xf numFmtId="0" fontId="6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vertical="center"/>
    </xf>
    <xf numFmtId="14" fontId="0" fillId="0" borderId="0" xfId="1" applyNumberFormat="1" applyFont="1"/>
    <xf numFmtId="14" fontId="0" fillId="0" borderId="0" xfId="0" applyNumberFormat="1"/>
    <xf numFmtId="0" fontId="2" fillId="0" borderId="0" xfId="0" applyFont="1" applyAlignment="1">
      <alignment vertical="center" wrapText="1"/>
    </xf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 wrapText="1"/>
    </xf>
    <xf numFmtId="164" fontId="0" fillId="0" borderId="0" xfId="0" applyNumberFormat="1"/>
    <xf numFmtId="9" fontId="0" fillId="0" borderId="0" xfId="2" applyFont="1"/>
    <xf numFmtId="9" fontId="0" fillId="0" borderId="0" xfId="0" applyNumberFormat="1"/>
    <xf numFmtId="14" fontId="0" fillId="0" borderId="0" xfId="0" applyNumberFormat="1" applyFill="1"/>
    <xf numFmtId="0" fontId="0" fillId="0" borderId="2" xfId="0" applyBorder="1" applyAlignment="1">
      <alignment horizontal="center"/>
    </xf>
    <xf numFmtId="165" fontId="0" fillId="0" borderId="0" xfId="0" applyNumberFormat="1"/>
    <xf numFmtId="14" fontId="0" fillId="0" borderId="0" xfId="1" applyNumberFormat="1" applyFont="1" applyFill="1"/>
    <xf numFmtId="164" fontId="0" fillId="0" borderId="1" xfId="0" applyNumberFormat="1" applyBorder="1"/>
    <xf numFmtId="6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1" xfId="1" applyNumberFormat="1" applyFont="1" applyBorder="1"/>
    <xf numFmtId="0" fontId="2" fillId="0" borderId="0" xfId="0" applyFont="1"/>
    <xf numFmtId="164" fontId="2" fillId="0" borderId="1" xfId="1" applyNumberFormat="1" applyFont="1" applyBorder="1"/>
    <xf numFmtId="169" fontId="0" fillId="0" borderId="0" xfId="1" applyNumberFormat="1" applyFont="1"/>
    <xf numFmtId="169" fontId="0" fillId="0" borderId="0" xfId="0" applyNumberFormat="1"/>
    <xf numFmtId="169" fontId="0" fillId="0" borderId="26" xfId="1" applyNumberFormat="1" applyFont="1" applyBorder="1"/>
    <xf numFmtId="10" fontId="0" fillId="0" borderId="0" xfId="0" applyNumberFormat="1"/>
    <xf numFmtId="164" fontId="0" fillId="4" borderId="0" xfId="0" applyNumberFormat="1" applyFill="1"/>
    <xf numFmtId="169" fontId="0" fillId="4" borderId="3" xfId="1" applyNumberFormat="1" applyFont="1" applyFill="1" applyBorder="1"/>
    <xf numFmtId="169" fontId="0" fillId="4" borderId="1" xfId="1" applyNumberFormat="1" applyFont="1" applyFill="1" applyBorder="1"/>
    <xf numFmtId="169" fontId="0" fillId="4" borderId="4" xfId="1" applyNumberFormat="1" applyFont="1" applyFill="1" applyBorder="1"/>
    <xf numFmtId="170" fontId="0" fillId="0" borderId="0" xfId="2" applyNumberFormat="1" applyFont="1"/>
    <xf numFmtId="169" fontId="0" fillId="0" borderId="1" xfId="0" applyNumberFormat="1" applyBorder="1"/>
    <xf numFmtId="10" fontId="0" fillId="0" borderId="0" xfId="2" applyNumberFormat="1" applyFont="1"/>
    <xf numFmtId="164" fontId="0" fillId="0" borderId="0" xfId="1" applyNumberFormat="1" applyFont="1" applyFill="1"/>
    <xf numFmtId="164" fontId="0" fillId="0" borderId="26" xfId="1" applyNumberFormat="1" applyFont="1" applyBorder="1"/>
    <xf numFmtId="0" fontId="7" fillId="0" borderId="0" xfId="0" applyFont="1"/>
    <xf numFmtId="14" fontId="2" fillId="0" borderId="0" xfId="1" applyNumberFormat="1" applyFont="1"/>
    <xf numFmtId="0" fontId="0" fillId="0" borderId="26" xfId="0" applyBorder="1"/>
    <xf numFmtId="10" fontId="0" fillId="0" borderId="0" xfId="2" applyNumberFormat="1" applyFont="1" applyFill="1"/>
    <xf numFmtId="0" fontId="0" fillId="0" borderId="1" xfId="0" applyBorder="1"/>
    <xf numFmtId="0" fontId="0" fillId="0" borderId="0" xfId="0" applyFill="1"/>
    <xf numFmtId="43" fontId="0" fillId="0" borderId="0" xfId="1" applyNumberFormat="1" applyFont="1"/>
    <xf numFmtId="0" fontId="8" fillId="0" borderId="0" xfId="0" applyFont="1"/>
    <xf numFmtId="166" fontId="0" fillId="0" borderId="0" xfId="0" applyNumberFormat="1"/>
    <xf numFmtId="0" fontId="0" fillId="0" borderId="0" xfId="0" applyFill="1" applyAlignment="1">
      <alignment horizontal="center"/>
    </xf>
    <xf numFmtId="171" fontId="0" fillId="0" borderId="0" xfId="0" applyNumberFormat="1" applyFill="1"/>
    <xf numFmtId="169" fontId="0" fillId="0" borderId="26" xfId="0" applyNumberFormat="1" applyBorder="1"/>
    <xf numFmtId="0" fontId="11" fillId="0" borderId="0" xfId="0" applyFont="1"/>
    <xf numFmtId="0" fontId="12" fillId="0" borderId="0" xfId="0" applyFont="1"/>
    <xf numFmtId="43" fontId="0" fillId="0" borderId="27" xfId="0" applyNumberFormat="1" applyBorder="1"/>
    <xf numFmtId="43" fontId="1" fillId="0" borderId="0" xfId="1" applyFo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indent="1"/>
    </xf>
    <xf numFmtId="0" fontId="13" fillId="0" borderId="9" xfId="4" applyFont="1" applyFill="1" applyBorder="1" applyAlignment="1">
      <alignment horizontal="right" vertical="center" wrapText="1" indent="2"/>
    </xf>
    <xf numFmtId="0" fontId="13" fillId="0" borderId="10" xfId="4" applyFont="1" applyFill="1" applyBorder="1" applyAlignment="1">
      <alignment horizontal="right" vertical="center" wrapText="1" indent="2"/>
    </xf>
    <xf numFmtId="0" fontId="13" fillId="0" borderId="11" xfId="4" applyFont="1" applyFill="1" applyBorder="1" applyAlignment="1">
      <alignment horizontal="right" vertical="center" wrapText="1" indent="2"/>
    </xf>
    <xf numFmtId="0" fontId="1" fillId="0" borderId="12" xfId="0" applyFont="1" applyFill="1" applyBorder="1" applyAlignment="1">
      <alignment horizontal="left" vertical="center" indent="3"/>
    </xf>
    <xf numFmtId="0" fontId="13" fillId="0" borderId="13" xfId="4" applyFont="1" applyFill="1" applyBorder="1" applyAlignment="1">
      <alignment horizontal="right" vertical="center" wrapText="1" indent="2"/>
    </xf>
    <xf numFmtId="0" fontId="13" fillId="0" borderId="14" xfId="4" applyFont="1" applyFill="1" applyBorder="1" applyAlignment="1">
      <alignment horizontal="right" vertical="center" wrapText="1" indent="2"/>
    </xf>
    <xf numFmtId="0" fontId="13" fillId="0" borderId="15" xfId="4" applyFont="1" applyFill="1" applyBorder="1" applyAlignment="1">
      <alignment horizontal="right" vertical="center" wrapText="1" indent="2"/>
    </xf>
    <xf numFmtId="167" fontId="14" fillId="3" borderId="2" xfId="0" applyNumberFormat="1" applyFont="1" applyFill="1" applyBorder="1" applyAlignment="1">
      <alignment horizontal="right" vertical="center" indent="2"/>
    </xf>
    <xf numFmtId="167" fontId="14" fillId="3" borderId="16" xfId="0" applyNumberFormat="1" applyFont="1" applyFill="1" applyBorder="1" applyAlignment="1">
      <alignment horizontal="right" vertical="center" indent="2"/>
    </xf>
    <xf numFmtId="167" fontId="14" fillId="3" borderId="18" xfId="0" applyNumberFormat="1" applyFont="1" applyFill="1" applyBorder="1" applyAlignment="1">
      <alignment horizontal="right" vertical="center" indent="2"/>
    </xf>
    <xf numFmtId="167" fontId="14" fillId="3" borderId="19" xfId="0" applyNumberFormat="1" applyFont="1" applyFill="1" applyBorder="1" applyAlignment="1">
      <alignment horizontal="right" vertical="center" indent="2"/>
    </xf>
    <xf numFmtId="0" fontId="1" fillId="0" borderId="12" xfId="0" applyFont="1" applyFill="1" applyBorder="1" applyAlignment="1">
      <alignment horizontal="left" vertical="center" indent="5"/>
    </xf>
    <xf numFmtId="168" fontId="14" fillId="0" borderId="14" xfId="0" applyNumberFormat="1" applyFont="1" applyFill="1" applyBorder="1" applyAlignment="1">
      <alignment horizontal="right" vertical="center" indent="2"/>
    </xf>
    <xf numFmtId="168" fontId="14" fillId="0" borderId="20" xfId="0" applyNumberFormat="1" applyFont="1" applyFill="1" applyBorder="1" applyAlignment="1">
      <alignment horizontal="right" vertical="center" indent="2"/>
    </xf>
    <xf numFmtId="168" fontId="14" fillId="3" borderId="21" xfId="0" applyNumberFormat="1" applyFont="1" applyFill="1" applyBorder="1" applyAlignment="1">
      <alignment horizontal="right"/>
    </xf>
    <xf numFmtId="168" fontId="14" fillId="3" borderId="22" xfId="0" applyNumberFormat="1" applyFont="1" applyFill="1" applyBorder="1" applyAlignment="1">
      <alignment horizontal="right"/>
    </xf>
    <xf numFmtId="10" fontId="14" fillId="3" borderId="21" xfId="2" applyNumberFormat="1" applyFont="1" applyFill="1" applyBorder="1" applyAlignment="1">
      <alignment horizontal="right"/>
    </xf>
    <xf numFmtId="10" fontId="14" fillId="3" borderId="22" xfId="2" applyNumberFormat="1" applyFont="1" applyFill="1" applyBorder="1" applyAlignment="1">
      <alignment horizontal="right"/>
    </xf>
    <xf numFmtId="168" fontId="14" fillId="3" borderId="24" xfId="0" applyNumberFormat="1" applyFont="1" applyFill="1" applyBorder="1" applyAlignment="1">
      <alignment horizontal="right"/>
    </xf>
    <xf numFmtId="168" fontId="14" fillId="3" borderId="2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68" fontId="0" fillId="0" borderId="0" xfId="0" applyNumberFormat="1" applyFont="1"/>
    <xf numFmtId="0" fontId="0" fillId="5" borderId="0" xfId="0" applyFill="1"/>
    <xf numFmtId="1" fontId="0" fillId="0" borderId="0" xfId="2" applyNumberFormat="1" applyFont="1"/>
    <xf numFmtId="0" fontId="5" fillId="5" borderId="0" xfId="0" applyFont="1" applyFill="1"/>
    <xf numFmtId="0" fontId="0" fillId="5" borderId="0" xfId="0" applyFill="1" applyAlignment="1">
      <alignment horizontal="left" indent="1"/>
    </xf>
    <xf numFmtId="0" fontId="15" fillId="5" borderId="0" xfId="0" applyFont="1" applyFill="1"/>
    <xf numFmtId="0" fontId="5" fillId="5" borderId="0" xfId="0" applyFont="1" applyFill="1" applyAlignment="1">
      <alignment horizontal="left"/>
    </xf>
    <xf numFmtId="164" fontId="2" fillId="0" borderId="0" xfId="0" applyNumberFormat="1" applyFont="1"/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8" fillId="2" borderId="28" xfId="3" applyFont="1" applyFill="1" applyBorder="1" applyAlignment="1">
      <alignment horizontal="left" vertical="center" indent="1"/>
    </xf>
    <xf numFmtId="0" fontId="14" fillId="5" borderId="29" xfId="4" applyFont="1" applyFill="1" applyBorder="1" applyAlignment="1">
      <alignment vertical="center" wrapText="1"/>
    </xf>
    <xf numFmtId="0" fontId="13" fillId="0" borderId="30" xfId="4" applyFont="1" applyFill="1" applyBorder="1" applyAlignment="1">
      <alignment horizontal="right" vertical="center" wrapText="1" indent="2"/>
    </xf>
    <xf numFmtId="0" fontId="13" fillId="0" borderId="31" xfId="4" applyFont="1" applyFill="1" applyBorder="1" applyAlignment="1">
      <alignment horizontal="right" vertical="center" wrapText="1" indent="2"/>
    </xf>
    <xf numFmtId="0" fontId="13" fillId="0" borderId="32" xfId="4" applyFont="1" applyFill="1" applyBorder="1" applyAlignment="1">
      <alignment horizontal="right" vertical="center" wrapText="1" indent="2"/>
    </xf>
    <xf numFmtId="0" fontId="13" fillId="0" borderId="7" xfId="4" applyFont="1" applyFill="1" applyBorder="1" applyAlignment="1">
      <alignment horizontal="right" vertical="center" wrapText="1" indent="2"/>
    </xf>
    <xf numFmtId="0" fontId="1" fillId="0" borderId="33" xfId="0" applyFont="1" applyBorder="1" applyAlignment="1">
      <alignment horizontal="left" vertical="center" indent="4"/>
    </xf>
    <xf numFmtId="168" fontId="1" fillId="3" borderId="34" xfId="0" applyNumberFormat="1" applyFont="1" applyFill="1" applyBorder="1" applyAlignment="1">
      <alignment horizontal="right" vertical="center" indent="1"/>
    </xf>
    <xf numFmtId="168" fontId="1" fillId="3" borderId="35" xfId="0" applyNumberFormat="1" applyFont="1" applyFill="1" applyBorder="1" applyAlignment="1">
      <alignment horizontal="right" vertical="center" indent="1"/>
    </xf>
    <xf numFmtId="168" fontId="1" fillId="3" borderId="36" xfId="0" applyNumberFormat="1" applyFont="1" applyFill="1" applyBorder="1" applyAlignment="1">
      <alignment horizontal="right" vertical="center" indent="1"/>
    </xf>
    <xf numFmtId="168" fontId="1" fillId="5" borderId="37" xfId="0" applyNumberFormat="1" applyFont="1" applyFill="1" applyBorder="1" applyAlignment="1">
      <alignment horizontal="right" vertical="center" indent="1"/>
    </xf>
    <xf numFmtId="168" fontId="1" fillId="3" borderId="38" xfId="0" applyNumberFormat="1" applyFont="1" applyFill="1" applyBorder="1" applyAlignment="1">
      <alignment horizontal="right" vertical="center" indent="1"/>
    </xf>
    <xf numFmtId="168" fontId="1" fillId="3" borderId="39" xfId="0" applyNumberFormat="1" applyFont="1" applyFill="1" applyBorder="1" applyAlignment="1">
      <alignment horizontal="right" vertical="center" indent="1"/>
    </xf>
    <xf numFmtId="168" fontId="1" fillId="3" borderId="40" xfId="0" applyNumberFormat="1" applyFont="1" applyFill="1" applyBorder="1" applyAlignment="1">
      <alignment horizontal="right" vertical="center" indent="1"/>
    </xf>
    <xf numFmtId="168" fontId="1" fillId="5" borderId="41" xfId="0" applyNumberFormat="1" applyFont="1" applyFill="1" applyBorder="1" applyAlignment="1">
      <alignment horizontal="right" vertical="center" indent="1"/>
    </xf>
    <xf numFmtId="0" fontId="14" fillId="0" borderId="33" xfId="0" applyFont="1" applyBorder="1" applyAlignment="1">
      <alignment horizontal="left" vertical="center" indent="4"/>
    </xf>
    <xf numFmtId="168" fontId="1" fillId="3" borderId="42" xfId="0" applyNumberFormat="1" applyFont="1" applyFill="1" applyBorder="1" applyAlignment="1">
      <alignment horizontal="right" vertical="center" indent="1"/>
    </xf>
    <xf numFmtId="168" fontId="1" fillId="3" borderId="43" xfId="0" applyNumberFormat="1" applyFont="1" applyFill="1" applyBorder="1" applyAlignment="1">
      <alignment horizontal="right" vertical="center" indent="1"/>
    </xf>
    <xf numFmtId="168" fontId="1" fillId="3" borderId="44" xfId="0" applyNumberFormat="1" applyFont="1" applyFill="1" applyBorder="1" applyAlignment="1">
      <alignment horizontal="right" vertical="center" indent="1"/>
    </xf>
    <xf numFmtId="168" fontId="1" fillId="5" borderId="45" xfId="0" applyNumberFormat="1" applyFont="1" applyFill="1" applyBorder="1" applyAlignment="1">
      <alignment horizontal="right" vertical="center" indent="1"/>
    </xf>
    <xf numFmtId="0" fontId="2" fillId="0" borderId="46" xfId="0" applyFont="1" applyBorder="1" applyAlignment="1">
      <alignment horizontal="right" vertical="center" indent="2"/>
    </xf>
    <xf numFmtId="168" fontId="1" fillId="0" borderId="47" xfId="0" applyNumberFormat="1" applyFont="1" applyFill="1" applyBorder="1" applyAlignment="1">
      <alignment horizontal="right" vertical="center" indent="1"/>
    </xf>
    <xf numFmtId="168" fontId="1" fillId="0" borderId="48" xfId="0" applyNumberFormat="1" applyFont="1" applyFill="1" applyBorder="1" applyAlignment="1">
      <alignment horizontal="right" vertical="center" indent="1"/>
    </xf>
    <xf numFmtId="168" fontId="1" fillId="0" borderId="49" xfId="0" applyNumberFormat="1" applyFont="1" applyFill="1" applyBorder="1" applyAlignment="1">
      <alignment horizontal="right" vertical="center" indent="1"/>
    </xf>
    <xf numFmtId="168" fontId="1" fillId="5" borderId="50" xfId="0" applyNumberFormat="1" applyFont="1" applyFill="1" applyBorder="1" applyAlignment="1">
      <alignment horizontal="right" vertical="center" indent="1"/>
    </xf>
    <xf numFmtId="0" fontId="14" fillId="0" borderId="51" xfId="0" applyFont="1" applyBorder="1" applyAlignment="1">
      <alignment horizontal="right" vertical="center" indent="9"/>
    </xf>
    <xf numFmtId="168" fontId="1" fillId="3" borderId="52" xfId="0" applyNumberFormat="1" applyFont="1" applyFill="1" applyBorder="1" applyAlignment="1">
      <alignment horizontal="right" vertical="center" indent="1"/>
    </xf>
    <xf numFmtId="168" fontId="1" fillId="3" borderId="53" xfId="0" applyNumberFormat="1" applyFont="1" applyFill="1" applyBorder="1" applyAlignment="1">
      <alignment horizontal="right" vertical="center" indent="1"/>
    </xf>
    <xf numFmtId="168" fontId="1" fillId="3" borderId="54" xfId="0" applyNumberFormat="1" applyFont="1" applyFill="1" applyBorder="1" applyAlignment="1">
      <alignment horizontal="right" vertical="center" indent="1"/>
    </xf>
    <xf numFmtId="0" fontId="13" fillId="0" borderId="55" xfId="0" applyFont="1" applyBorder="1" applyAlignment="1">
      <alignment horizontal="right" vertical="center" indent="2"/>
    </xf>
    <xf numFmtId="168" fontId="1" fillId="5" borderId="56" xfId="5" applyNumberFormat="1" applyFont="1" applyFill="1" applyBorder="1" applyAlignment="1">
      <alignment horizontal="right" vertical="center" indent="1"/>
    </xf>
    <xf numFmtId="168" fontId="1" fillId="5" borderId="57" xfId="5" applyNumberFormat="1" applyFont="1" applyFill="1" applyBorder="1" applyAlignment="1">
      <alignment horizontal="right" vertical="center" indent="1"/>
    </xf>
    <xf numFmtId="168" fontId="1" fillId="5" borderId="58" xfId="5" applyNumberFormat="1" applyFont="1" applyFill="1" applyBorder="1" applyAlignment="1">
      <alignment horizontal="right" vertical="center" indent="1"/>
    </xf>
    <xf numFmtId="168" fontId="1" fillId="5" borderId="59" xfId="5" applyNumberFormat="1" applyFont="1" applyFill="1" applyBorder="1" applyAlignment="1">
      <alignment horizontal="right" vertical="center" indent="1"/>
    </xf>
    <xf numFmtId="0" fontId="19" fillId="2" borderId="5" xfId="3" applyFont="1" applyFill="1" applyBorder="1" applyAlignment="1">
      <alignment horizontal="left" vertical="center" indent="1"/>
    </xf>
    <xf numFmtId="168" fontId="0" fillId="0" borderId="0" xfId="0" applyNumberFormat="1"/>
    <xf numFmtId="169" fontId="0" fillId="0" borderId="1" xfId="1" applyNumberFormat="1" applyFont="1" applyBorder="1"/>
    <xf numFmtId="169" fontId="0" fillId="0" borderId="27" xfId="0" applyNumberFormat="1" applyBorder="1"/>
    <xf numFmtId="0" fontId="16" fillId="6" borderId="0" xfId="0" applyFont="1" applyFill="1"/>
    <xf numFmtId="0" fontId="19" fillId="6" borderId="0" xfId="0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right"/>
    </xf>
    <xf numFmtId="169" fontId="0" fillId="0" borderId="0" xfId="0" applyNumberFormat="1" applyFont="1"/>
    <xf numFmtId="164" fontId="1" fillId="0" borderId="1" xfId="1" applyNumberFormat="1" applyFont="1" applyBorder="1"/>
    <xf numFmtId="164" fontId="0" fillId="4" borderId="1" xfId="0" applyNumberFormat="1" applyFont="1" applyFill="1" applyBorder="1"/>
    <xf numFmtId="0" fontId="20" fillId="0" borderId="0" xfId="0" applyFont="1"/>
    <xf numFmtId="0" fontId="13" fillId="0" borderId="0" xfId="0" applyFont="1"/>
    <xf numFmtId="0" fontId="19" fillId="2" borderId="0" xfId="0" applyFont="1" applyFill="1" applyAlignment="1">
      <alignment vertical="center"/>
    </xf>
    <xf numFmtId="0" fontId="16" fillId="2" borderId="0" xfId="0" applyFont="1" applyFill="1"/>
    <xf numFmtId="0" fontId="21" fillId="5" borderId="0" xfId="6" applyFill="1"/>
    <xf numFmtId="0" fontId="21" fillId="5" borderId="0" xfId="6" applyFill="1" applyAlignment="1">
      <alignment horizontal="left" indent="1"/>
    </xf>
    <xf numFmtId="0" fontId="22" fillId="5" borderId="0" xfId="0" applyFont="1" applyFill="1"/>
    <xf numFmtId="164" fontId="1" fillId="0" borderId="0" xfId="1" applyNumberFormat="1" applyFont="1"/>
    <xf numFmtId="0" fontId="0" fillId="0" borderId="0" xfId="0" applyFont="1"/>
    <xf numFmtId="165" fontId="0" fillId="0" borderId="0" xfId="0" applyNumberFormat="1" applyFont="1"/>
    <xf numFmtId="43" fontId="0" fillId="0" borderId="1" xfId="0" applyNumberFormat="1" applyFont="1" applyBorder="1"/>
    <xf numFmtId="0" fontId="24" fillId="7" borderId="0" xfId="0" applyFont="1" applyFill="1" applyAlignment="1">
      <alignment vertical="center" wrapText="1"/>
    </xf>
    <xf numFmtId="0" fontId="25" fillId="0" borderId="61" xfId="0" applyFont="1" applyBorder="1" applyAlignment="1">
      <alignment vertical="center"/>
    </xf>
    <xf numFmtId="0" fontId="26" fillId="0" borderId="62" xfId="0" applyFont="1" applyBorder="1" applyAlignment="1">
      <alignment horizontal="right" vertical="center"/>
    </xf>
    <xf numFmtId="0" fontId="23" fillId="0" borderId="61" xfId="0" applyFont="1" applyBorder="1" applyAlignment="1">
      <alignment vertical="center"/>
    </xf>
    <xf numFmtId="0" fontId="26" fillId="0" borderId="62" xfId="0" applyFont="1" applyBorder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23" fillId="0" borderId="61" xfId="0" applyFont="1" applyBorder="1" applyAlignment="1">
      <alignment vertical="center" wrapText="1"/>
    </xf>
    <xf numFmtId="0" fontId="27" fillId="0" borderId="0" xfId="0" applyFont="1"/>
    <xf numFmtId="169" fontId="0" fillId="0" borderId="0" xfId="1" applyNumberFormat="1" applyFont="1" applyFill="1"/>
    <xf numFmtId="0" fontId="2" fillId="0" borderId="0" xfId="0" applyFont="1" applyFill="1"/>
    <xf numFmtId="0" fontId="25" fillId="0" borderId="62" xfId="0" applyFont="1" applyBorder="1" applyAlignment="1">
      <alignment vertical="center"/>
    </xf>
    <xf numFmtId="0" fontId="23" fillId="0" borderId="62" xfId="0" applyFont="1" applyBorder="1" applyAlignment="1">
      <alignment vertical="center" wrapText="1"/>
    </xf>
    <xf numFmtId="0" fontId="23" fillId="0" borderId="62" xfId="0" applyFont="1" applyBorder="1" applyAlignment="1">
      <alignment vertical="center"/>
    </xf>
    <xf numFmtId="166" fontId="0" fillId="0" borderId="0" xfId="1" applyNumberFormat="1" applyFont="1" applyFill="1"/>
    <xf numFmtId="14" fontId="0" fillId="0" borderId="0" xfId="1" applyNumberFormat="1" applyFont="1" applyAlignment="1">
      <alignment horizontal="left" indent="1"/>
    </xf>
    <xf numFmtId="164" fontId="0" fillId="0" borderId="0" xfId="1" applyNumberFormat="1" applyFont="1" applyBorder="1"/>
    <xf numFmtId="169" fontId="0" fillId="0" borderId="27" xfId="1" applyNumberFormat="1" applyFont="1" applyBorder="1"/>
    <xf numFmtId="170" fontId="0" fillId="0" borderId="0" xfId="2" applyNumberFormat="1" applyFont="1" applyFill="1" applyBorder="1"/>
    <xf numFmtId="169" fontId="0" fillId="0" borderId="0" xfId="1" applyNumberFormat="1" applyFont="1" applyBorder="1"/>
    <xf numFmtId="0" fontId="0" fillId="0" borderId="0" xfId="1" applyNumberFormat="1" applyFont="1" applyAlignment="1">
      <alignment horizontal="center"/>
    </xf>
    <xf numFmtId="166" fontId="0" fillId="0" borderId="0" xfId="0" applyNumberFormat="1" applyFill="1"/>
    <xf numFmtId="10" fontId="0" fillId="0" borderId="0" xfId="0" applyNumberFormat="1" applyFill="1"/>
    <xf numFmtId="10" fontId="1" fillId="0" borderId="0" xfId="2" applyNumberFormat="1" applyFont="1" applyFill="1" applyBorder="1"/>
    <xf numFmtId="0" fontId="1" fillId="0" borderId="12" xfId="0" applyFont="1" applyFill="1" applyBorder="1" applyAlignment="1">
      <alignment horizontal="right" vertical="center" indent="4"/>
    </xf>
    <xf numFmtId="0" fontId="1" fillId="0" borderId="17" xfId="0" applyFont="1" applyFill="1" applyBorder="1" applyAlignment="1">
      <alignment horizontal="right" vertical="center" indent="4"/>
    </xf>
    <xf numFmtId="0" fontId="1" fillId="0" borderId="23" xfId="0" applyFont="1" applyFill="1" applyBorder="1" applyAlignment="1">
      <alignment horizontal="right" vertical="center" indent="4"/>
    </xf>
    <xf numFmtId="164" fontId="2" fillId="0" borderId="1" xfId="1" applyNumberFormat="1" applyFont="1" applyFill="1" applyBorder="1"/>
    <xf numFmtId="43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9" fontId="0" fillId="0" borderId="26" xfId="0" applyNumberFormat="1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14" fontId="12" fillId="0" borderId="0" xfId="1" applyNumberFormat="1" applyFont="1"/>
    <xf numFmtId="6" fontId="1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Alignment="1"/>
    <xf numFmtId="0" fontId="27" fillId="0" borderId="0" xfId="0" applyFont="1" applyAlignment="1"/>
    <xf numFmtId="0" fontId="1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8" fontId="0" fillId="0" borderId="1" xfId="0" applyNumberFormat="1" applyBorder="1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left"/>
    </xf>
    <xf numFmtId="164" fontId="0" fillId="0" borderId="63" xfId="1" applyNumberFormat="1" applyFont="1" applyBorder="1"/>
    <xf numFmtId="164" fontId="0" fillId="0" borderId="63" xfId="0" applyNumberFormat="1" applyBorder="1"/>
    <xf numFmtId="169" fontId="0" fillId="0" borderId="63" xfId="1" applyNumberFormat="1" applyFont="1" applyBorder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6" fillId="6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164" fontId="0" fillId="0" borderId="27" xfId="0" applyNumberFormat="1" applyBorder="1"/>
    <xf numFmtId="0" fontId="0" fillId="0" borderId="0" xfId="0" applyBorder="1" applyAlignment="1">
      <alignment horizontal="center"/>
    </xf>
    <xf numFmtId="169" fontId="11" fillId="0" borderId="0" xfId="1" applyNumberFormat="1" applyFont="1"/>
    <xf numFmtId="169" fontId="11" fillId="0" borderId="0" xfId="0" applyNumberFormat="1" applyFont="1"/>
    <xf numFmtId="9" fontId="0" fillId="0" borderId="26" xfId="2" applyFont="1" applyBorder="1"/>
    <xf numFmtId="9" fontId="0" fillId="0" borderId="26" xfId="0" applyNumberFormat="1" applyBorder="1"/>
    <xf numFmtId="0" fontId="11" fillId="0" borderId="0" xfId="0" quotePrefix="1" applyFont="1"/>
    <xf numFmtId="9" fontId="0" fillId="0" borderId="0" xfId="2" applyFont="1" applyBorder="1"/>
    <xf numFmtId="9" fontId="0" fillId="0" borderId="0" xfId="0" applyNumberFormat="1" applyBorder="1"/>
    <xf numFmtId="170" fontId="0" fillId="0" borderId="26" xfId="2" applyNumberFormat="1" applyFont="1" applyBorder="1"/>
    <xf numFmtId="0" fontId="0" fillId="0" borderId="0" xfId="0" quotePrefix="1" applyFill="1"/>
    <xf numFmtId="164" fontId="0" fillId="0" borderId="1" xfId="1" applyNumberFormat="1" applyFont="1" applyFill="1" applyBorder="1"/>
    <xf numFmtId="164" fontId="0" fillId="0" borderId="0" xfId="0" applyNumberFormat="1" applyFill="1"/>
    <xf numFmtId="164" fontId="11" fillId="0" borderId="0" xfId="0" applyNumberFormat="1" applyFont="1"/>
    <xf numFmtId="43" fontId="11" fillId="0" borderId="0" xfId="1" applyFont="1"/>
    <xf numFmtId="165" fontId="11" fillId="0" borderId="0" xfId="0" applyNumberFormat="1" applyFont="1"/>
    <xf numFmtId="43" fontId="11" fillId="0" borderId="0" xfId="1" applyFont="1" applyBorder="1"/>
    <xf numFmtId="43" fontId="11" fillId="0" borderId="0" xfId="0" applyNumberFormat="1" applyFont="1"/>
    <xf numFmtId="164" fontId="11" fillId="0" borderId="0" xfId="1" applyNumberFormat="1" applyFont="1" applyBorder="1"/>
    <xf numFmtId="0" fontId="22" fillId="0" borderId="0" xfId="0" applyFont="1" applyFill="1" applyAlignment="1">
      <alignment horizontal="left"/>
    </xf>
    <xf numFmtId="0" fontId="29" fillId="0" borderId="0" xfId="0" applyFont="1"/>
    <xf numFmtId="14" fontId="29" fillId="0" borderId="0" xfId="1" applyNumberFormat="1" applyFont="1"/>
    <xf numFmtId="164" fontId="11" fillId="0" borderId="0" xfId="1" applyNumberFormat="1" applyFont="1"/>
    <xf numFmtId="43" fontId="11" fillId="0" borderId="0" xfId="0" applyNumberFormat="1" applyFont="1" applyFill="1"/>
    <xf numFmtId="0" fontId="24" fillId="7" borderId="0" xfId="0" applyFont="1" applyFill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14" xfId="3"/>
    <cellStyle name="Normal_20090617 - RIN - justifications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1268356</xdr:colOff>
      <xdr:row>4</xdr:row>
      <xdr:rowOff>65537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1268356" cy="79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32"/>
  <sheetViews>
    <sheetView tabSelected="1" zoomScale="85" zoomScaleNormal="85" workbookViewId="0">
      <selection activeCell="F15" sqref="F15"/>
    </sheetView>
  </sheetViews>
  <sheetFormatPr defaultRowHeight="14.4" x14ac:dyDescent="0.3"/>
  <cols>
    <col min="1" max="1" width="4" style="82" customWidth="1"/>
    <col min="2" max="2" width="32" style="82" customWidth="1"/>
    <col min="3" max="16384" width="8.88671875" style="82"/>
  </cols>
  <sheetData>
    <row r="6" spans="2:2" ht="18" x14ac:dyDescent="0.35">
      <c r="B6" s="86" t="s">
        <v>94</v>
      </c>
    </row>
    <row r="8" spans="2:2" x14ac:dyDescent="0.3">
      <c r="B8" s="139" t="s">
        <v>95</v>
      </c>
    </row>
    <row r="10" spans="2:2" x14ac:dyDescent="0.3">
      <c r="B10" s="141" t="s">
        <v>96</v>
      </c>
    </row>
    <row r="11" spans="2:2" ht="7.8" customHeight="1" x14ac:dyDescent="0.3">
      <c r="B11" s="84"/>
    </row>
    <row r="12" spans="2:2" x14ac:dyDescent="0.3">
      <c r="B12" s="140" t="s">
        <v>119</v>
      </c>
    </row>
    <row r="13" spans="2:2" ht="7.8" customHeight="1" x14ac:dyDescent="0.3">
      <c r="B13" s="85"/>
    </row>
    <row r="14" spans="2:2" x14ac:dyDescent="0.3">
      <c r="B14" s="140" t="s">
        <v>99</v>
      </c>
    </row>
    <row r="15" spans="2:2" x14ac:dyDescent="0.3">
      <c r="B15" s="85"/>
    </row>
    <row r="16" spans="2:2" x14ac:dyDescent="0.3">
      <c r="B16" s="219" t="s">
        <v>159</v>
      </c>
    </row>
    <row r="17" spans="2:2" ht="10.199999999999999" customHeight="1" x14ac:dyDescent="0.3">
      <c r="B17" s="87"/>
    </row>
    <row r="18" spans="2:2" x14ac:dyDescent="0.3">
      <c r="B18" s="140" t="s">
        <v>98</v>
      </c>
    </row>
    <row r="19" spans="2:2" ht="9" customHeight="1" x14ac:dyDescent="0.3">
      <c r="B19" s="85"/>
    </row>
    <row r="20" spans="2:2" x14ac:dyDescent="0.3">
      <c r="B20" s="140" t="s">
        <v>209</v>
      </c>
    </row>
    <row r="21" spans="2:2" ht="9" customHeight="1" x14ac:dyDescent="0.3">
      <c r="B21" s="85"/>
    </row>
    <row r="22" spans="2:2" x14ac:dyDescent="0.3">
      <c r="B22" s="140" t="s">
        <v>299</v>
      </c>
    </row>
    <row r="24" spans="2:2" x14ac:dyDescent="0.3">
      <c r="B24" s="141" t="s">
        <v>97</v>
      </c>
    </row>
    <row r="25" spans="2:2" ht="9" customHeight="1" x14ac:dyDescent="0.3"/>
    <row r="26" spans="2:2" x14ac:dyDescent="0.3">
      <c r="B26" s="140" t="s">
        <v>109</v>
      </c>
    </row>
    <row r="27" spans="2:2" ht="9" customHeight="1" x14ac:dyDescent="0.3">
      <c r="B27" s="85"/>
    </row>
    <row r="28" spans="2:2" x14ac:dyDescent="0.3">
      <c r="B28" s="140" t="s">
        <v>100</v>
      </c>
    </row>
    <row r="29" spans="2:2" ht="9" customHeight="1" x14ac:dyDescent="0.3">
      <c r="B29" s="85"/>
    </row>
    <row r="30" spans="2:2" x14ac:dyDescent="0.3">
      <c r="B30" s="140" t="s">
        <v>302</v>
      </c>
    </row>
    <row r="31" spans="2:2" ht="7.2" customHeight="1" x14ac:dyDescent="0.3">
      <c r="B31" s="85"/>
    </row>
    <row r="32" spans="2:2" x14ac:dyDescent="0.3">
      <c r="B32" s="140" t="s">
        <v>81</v>
      </c>
    </row>
  </sheetData>
  <hyperlinks>
    <hyperlink ref="B8" location="Escalators!A1" display="1. Escalators"/>
    <hyperlink ref="B12" location="'Opex Inputs'!A1" display="Operating &amp; Maintenance Costs"/>
    <hyperlink ref="B14" location="'Direct $ Inputs'!A1" display="Direct Capital Costs"/>
    <hyperlink ref="B18" location="'Direct $ Composition'!A1" display="Direct Capital Cost Composition"/>
    <hyperlink ref="B22" location="Overheads!A1" display="Capitalised Overheads"/>
    <hyperlink ref="B26" location="'Capex by Purpose'!A1" display="Capex by Purpose - EDPR Final decision &amp; Contingent Project"/>
    <hyperlink ref="B28" location="'Station Summary'!A1" display="Capex Summary by Zone Substation"/>
    <hyperlink ref="B32" location="'PTRM Inputs'!A1" display="PTRM Inputs"/>
    <hyperlink ref="B20" location="'Direct Summary'!A1" display="Direct Summary"/>
    <hyperlink ref="B30" location="'Other Tables'!A1" display="Other Summary Tab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zoomScale="85" zoomScaleNormal="85" workbookViewId="0">
      <selection activeCell="E14" sqref="E14"/>
    </sheetView>
  </sheetViews>
  <sheetFormatPr defaultRowHeight="14.4" x14ac:dyDescent="0.3"/>
  <cols>
    <col min="1" max="1" width="3.33203125" customWidth="1"/>
    <col min="2" max="2" width="46.5546875" customWidth="1"/>
    <col min="3" max="3" width="9.6640625" customWidth="1"/>
    <col min="4" max="5" width="9.5546875" bestFit="1" customWidth="1"/>
    <col min="6" max="6" width="9.21875" customWidth="1"/>
    <col min="7" max="10" width="9.5546875" bestFit="1" customWidth="1"/>
  </cols>
  <sheetData>
    <row r="1" spans="2:8" x14ac:dyDescent="0.3">
      <c r="B1" s="23" t="s">
        <v>122</v>
      </c>
    </row>
    <row r="2" spans="2:8" x14ac:dyDescent="0.3">
      <c r="B2" s="23"/>
    </row>
    <row r="3" spans="2:8" x14ac:dyDescent="0.3">
      <c r="B3" s="136" t="s">
        <v>140</v>
      </c>
    </row>
    <row r="4" spans="2:8" x14ac:dyDescent="0.3"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</row>
    <row r="5" spans="2:8" x14ac:dyDescent="0.3">
      <c r="B5" t="s">
        <v>207</v>
      </c>
      <c r="C5" s="38">
        <f>(108/106.4)-1</f>
        <v>1.5037593984962294E-2</v>
      </c>
    </row>
    <row r="6" spans="2:8" x14ac:dyDescent="0.3">
      <c r="B6" t="s">
        <v>139</v>
      </c>
      <c r="D6" s="38">
        <v>2.3230798209937155E-2</v>
      </c>
      <c r="E6" s="38">
        <v>2.3230798209937155E-2</v>
      </c>
      <c r="F6" s="38">
        <v>2.3230798209937155E-2</v>
      </c>
      <c r="G6" s="38">
        <v>2.3230798209937155E-2</v>
      </c>
      <c r="H6" s="38">
        <v>2.3230798209937155E-2</v>
      </c>
    </row>
    <row r="7" spans="2:8" x14ac:dyDescent="0.3">
      <c r="B7" t="s">
        <v>289</v>
      </c>
      <c r="C7" s="49">
        <v>1</v>
      </c>
      <c r="D7" s="49">
        <f>C7*(1+D6)</f>
        <v>1.0232307982099371</v>
      </c>
      <c r="E7" s="49">
        <f t="shared" ref="E7:H7" si="0">D7*(1+E6)</f>
        <v>1.047001266405345</v>
      </c>
      <c r="F7" s="49">
        <f t="shared" si="0"/>
        <v>1.0713239415507561</v>
      </c>
      <c r="G7" s="49">
        <f t="shared" si="0"/>
        <v>1.0962116518543961</v>
      </c>
      <c r="H7" s="49">
        <f t="shared" si="0"/>
        <v>1.1216775235340073</v>
      </c>
    </row>
    <row r="8" spans="2:8" x14ac:dyDescent="0.3">
      <c r="B8" t="s">
        <v>124</v>
      </c>
      <c r="D8" s="49">
        <v>1</v>
      </c>
      <c r="E8" s="49">
        <f>D8*(1+E6)</f>
        <v>1.0232307982099371</v>
      </c>
      <c r="F8" s="49">
        <f t="shared" ref="F8:H8" si="1">E8*(1+F6)</f>
        <v>1.047001266405345</v>
      </c>
      <c r="G8" s="49">
        <f t="shared" si="1"/>
        <v>1.0713239415507561</v>
      </c>
      <c r="H8" s="49">
        <f t="shared" si="1"/>
        <v>1.0962116518543961</v>
      </c>
    </row>
    <row r="10" spans="2:8" x14ac:dyDescent="0.3">
      <c r="B10" s="184" t="s">
        <v>194</v>
      </c>
      <c r="C10" s="166">
        <f>106.8/108</f>
        <v>0.98888888888888882</v>
      </c>
    </row>
    <row r="11" spans="2:8" x14ac:dyDescent="0.3">
      <c r="B11" s="185" t="s">
        <v>195</v>
      </c>
      <c r="C11" s="166"/>
    </row>
    <row r="13" spans="2:8" x14ac:dyDescent="0.3">
      <c r="B13" s="155" t="s">
        <v>135</v>
      </c>
      <c r="C13" s="155"/>
    </row>
    <row r="14" spans="2:8" x14ac:dyDescent="0.3">
      <c r="C14" s="4">
        <v>2015</v>
      </c>
    </row>
    <row r="15" spans="2:8" x14ac:dyDescent="0.3">
      <c r="B15" t="s">
        <v>136</v>
      </c>
      <c r="C15" s="38">
        <v>1.8974612720283446E-2</v>
      </c>
    </row>
    <row r="16" spans="2:8" x14ac:dyDescent="0.3">
      <c r="B16" t="s">
        <v>138</v>
      </c>
      <c r="C16" s="38">
        <v>2.3414596363495743E-3</v>
      </c>
    </row>
    <row r="17" spans="2:10" x14ac:dyDescent="0.3">
      <c r="B17" s="41" t="s">
        <v>143</v>
      </c>
    </row>
    <row r="18" spans="2:10" x14ac:dyDescent="0.3">
      <c r="B18" s="41"/>
    </row>
    <row r="19" spans="2:10" x14ac:dyDescent="0.3">
      <c r="B19" s="155" t="s">
        <v>134</v>
      </c>
      <c r="C19" s="155"/>
      <c r="D19" s="46"/>
      <c r="E19" s="46"/>
      <c r="F19" s="46"/>
      <c r="G19" s="46"/>
      <c r="H19" s="46"/>
      <c r="I19" s="46"/>
      <c r="J19" s="46"/>
    </row>
    <row r="20" spans="2:10" x14ac:dyDescent="0.3">
      <c r="B20" s="46"/>
      <c r="C20" s="46"/>
      <c r="D20" s="46"/>
      <c r="E20" s="46"/>
      <c r="F20" s="46"/>
      <c r="G20" s="46"/>
      <c r="H20" s="46"/>
      <c r="I20" s="46"/>
      <c r="J20" s="46"/>
    </row>
    <row r="21" spans="2:10" x14ac:dyDescent="0.3">
      <c r="B21" s="146"/>
      <c r="C21" s="146"/>
      <c r="D21" s="224" t="s">
        <v>128</v>
      </c>
      <c r="E21" s="224"/>
      <c r="F21" s="224"/>
      <c r="G21" s="224"/>
      <c r="H21" s="225"/>
      <c r="I21" s="50"/>
      <c r="J21" s="50"/>
    </row>
    <row r="22" spans="2:10" x14ac:dyDescent="0.3">
      <c r="B22" s="146" t="s">
        <v>129</v>
      </c>
      <c r="C22" s="146"/>
      <c r="D22" s="151">
        <v>2016</v>
      </c>
      <c r="E22" s="151">
        <v>2017</v>
      </c>
      <c r="F22" s="151">
        <v>2018</v>
      </c>
      <c r="G22" s="151">
        <v>2019</v>
      </c>
      <c r="H22" s="151">
        <v>2020</v>
      </c>
      <c r="I22" s="44"/>
      <c r="J22" s="44"/>
    </row>
    <row r="23" spans="2:10" ht="15" thickBot="1" x14ac:dyDescent="0.35">
      <c r="B23" s="147" t="s">
        <v>130</v>
      </c>
      <c r="C23" s="156"/>
      <c r="D23" s="148"/>
      <c r="E23" s="148"/>
      <c r="F23" s="148"/>
      <c r="G23" s="148"/>
      <c r="H23" s="148"/>
      <c r="I23" s="46"/>
      <c r="J23" s="46"/>
    </row>
    <row r="24" spans="2:10" ht="29.4" thickBot="1" x14ac:dyDescent="0.35">
      <c r="B24" s="152" t="s">
        <v>131</v>
      </c>
      <c r="C24" s="157"/>
      <c r="D24" s="150">
        <v>0.4</v>
      </c>
      <c r="E24" s="150">
        <v>0.37</v>
      </c>
      <c r="F24" s="150">
        <v>0.79</v>
      </c>
      <c r="G24" s="150">
        <v>0.96</v>
      </c>
      <c r="H24" s="150">
        <v>1.02</v>
      </c>
      <c r="I24" s="44"/>
      <c r="J24" s="44"/>
    </row>
    <row r="25" spans="2:10" ht="15" thickBot="1" x14ac:dyDescent="0.35">
      <c r="B25" s="149" t="s">
        <v>132</v>
      </c>
      <c r="C25" s="158"/>
      <c r="D25" s="150">
        <v>0.36</v>
      </c>
      <c r="E25" s="150">
        <v>0.39</v>
      </c>
      <c r="F25" s="150">
        <v>0.97</v>
      </c>
      <c r="G25" s="150">
        <v>1.0900000000000001</v>
      </c>
      <c r="H25" s="150">
        <v>1.1599999999999999</v>
      </c>
      <c r="I25" s="46"/>
      <c r="J25" s="46"/>
    </row>
    <row r="26" spans="2:10" x14ac:dyDescent="0.3">
      <c r="B26" s="41" t="s">
        <v>137</v>
      </c>
      <c r="C26" s="41"/>
      <c r="D26" s="46"/>
      <c r="E26" s="46"/>
      <c r="F26" s="46"/>
      <c r="G26" s="46"/>
      <c r="H26" s="46"/>
      <c r="I26" s="46"/>
      <c r="J26" s="46"/>
    </row>
    <row r="27" spans="2:10" x14ac:dyDescent="0.3">
      <c r="B27" s="46"/>
      <c r="C27" s="46"/>
      <c r="D27" s="46"/>
      <c r="E27" s="46"/>
      <c r="F27" s="46"/>
      <c r="G27" s="46"/>
      <c r="H27" s="46"/>
      <c r="I27" s="46"/>
      <c r="J27" s="46"/>
    </row>
    <row r="28" spans="2:10" x14ac:dyDescent="0.3">
      <c r="B28" s="24" t="s">
        <v>141</v>
      </c>
      <c r="I28" s="46"/>
      <c r="J28" s="46"/>
    </row>
    <row r="29" spans="2:10" x14ac:dyDescent="0.3">
      <c r="C29" s="4">
        <v>2015</v>
      </c>
      <c r="D29" s="4">
        <v>2016</v>
      </c>
      <c r="E29" s="4">
        <v>2017</v>
      </c>
      <c r="F29" s="4">
        <v>2018</v>
      </c>
      <c r="G29" s="4">
        <v>2019</v>
      </c>
      <c r="H29" s="4">
        <v>2020</v>
      </c>
      <c r="I29" s="46"/>
      <c r="J29" s="46"/>
    </row>
    <row r="30" spans="2:10" x14ac:dyDescent="0.3">
      <c r="B30" s="46" t="s">
        <v>161</v>
      </c>
      <c r="C30" s="159">
        <f>1+C15</f>
        <v>1.0189746127202834</v>
      </c>
      <c r="D30" s="159">
        <f>C30*1+(D24/100)</f>
        <v>1.0229746127202834</v>
      </c>
      <c r="E30" s="159">
        <f t="shared" ref="E30:H31" si="2">D30*(1+E24/100)</f>
        <v>1.0267596187873484</v>
      </c>
      <c r="F30" s="159">
        <f t="shared" si="2"/>
        <v>1.0348710197757685</v>
      </c>
      <c r="G30" s="159">
        <f t="shared" si="2"/>
        <v>1.044805781565616</v>
      </c>
      <c r="H30" s="159">
        <f t="shared" si="2"/>
        <v>1.0554628005375852</v>
      </c>
      <c r="I30" s="51"/>
      <c r="J30" s="51"/>
    </row>
    <row r="31" spans="2:10" x14ac:dyDescent="0.3">
      <c r="B31" s="46" t="s">
        <v>162</v>
      </c>
      <c r="C31" s="159">
        <f>1+C16</f>
        <v>1.0023414596363496</v>
      </c>
      <c r="D31" s="159">
        <f>C31*1+(D25/100)</f>
        <v>1.0059414596363496</v>
      </c>
      <c r="E31" s="159">
        <f t="shared" si="2"/>
        <v>1.0098646313289315</v>
      </c>
      <c r="F31" s="159">
        <f t="shared" si="2"/>
        <v>1.0196603182528221</v>
      </c>
      <c r="G31" s="159">
        <f t="shared" si="2"/>
        <v>1.0307746157217779</v>
      </c>
      <c r="H31" s="159">
        <f t="shared" si="2"/>
        <v>1.0427316012641505</v>
      </c>
      <c r="I31" s="46"/>
      <c r="J31" s="46"/>
    </row>
    <row r="32" spans="2:10" x14ac:dyDescent="0.3">
      <c r="B32" s="46"/>
      <c r="C32" s="46"/>
      <c r="D32" s="46"/>
      <c r="E32" s="46"/>
      <c r="F32" s="51"/>
      <c r="G32" s="51"/>
      <c r="H32" s="51"/>
      <c r="I32" s="51"/>
      <c r="J32" s="51"/>
    </row>
    <row r="33" spans="2:10" x14ac:dyDescent="0.3">
      <c r="B33" s="24" t="s">
        <v>142</v>
      </c>
      <c r="H33" s="46"/>
      <c r="I33" s="46"/>
      <c r="J33" s="46"/>
    </row>
    <row r="34" spans="2:10" x14ac:dyDescent="0.3">
      <c r="C34" s="4">
        <v>2015</v>
      </c>
      <c r="D34" s="4">
        <v>2016</v>
      </c>
      <c r="E34" s="4">
        <v>2017</v>
      </c>
      <c r="F34" s="4">
        <v>2018</v>
      </c>
      <c r="G34" s="4">
        <v>2019</v>
      </c>
      <c r="H34" s="4">
        <v>2020</v>
      </c>
      <c r="I34" s="46"/>
      <c r="J34" s="46"/>
    </row>
    <row r="35" spans="2:10" x14ac:dyDescent="0.3">
      <c r="B35" t="s">
        <v>151</v>
      </c>
      <c r="C35" s="31">
        <f>C15</f>
        <v>1.8974612720283446E-2</v>
      </c>
      <c r="D35" s="38">
        <v>4.0141199352505454E-3</v>
      </c>
      <c r="E35" s="38">
        <v>3.7161988694249539E-3</v>
      </c>
      <c r="F35" s="38">
        <v>7.8500228561824374E-3</v>
      </c>
      <c r="G35" s="38">
        <v>9.5736854428500953E-3</v>
      </c>
      <c r="H35" s="38">
        <v>1.0192912905840656E-2</v>
      </c>
      <c r="I35" s="46"/>
      <c r="J35" s="46"/>
    </row>
    <row r="36" spans="2:10" x14ac:dyDescent="0.3">
      <c r="B36" t="s">
        <v>163</v>
      </c>
      <c r="C36" s="49">
        <f>1+C35</f>
        <v>1.0189746127202834</v>
      </c>
      <c r="D36" s="49">
        <f>C36*(1+D35)</f>
        <v>1.0230648990267182</v>
      </c>
      <c r="E36" s="49">
        <f>D36*(1+E35)</f>
        <v>1.0268668116478297</v>
      </c>
      <c r="F36" s="49">
        <f>E36*(1+F35)</f>
        <v>1.0349277395895202</v>
      </c>
      <c r="G36" s="49">
        <f>F36*(1+G35)</f>
        <v>1.0448358122244301</v>
      </c>
      <c r="H36" s="49">
        <f>G36*(1+H35)</f>
        <v>1.055485732659337</v>
      </c>
      <c r="I36" s="44"/>
      <c r="J36" s="44"/>
    </row>
    <row r="37" spans="2:10" x14ac:dyDescent="0.3">
      <c r="I37" s="46"/>
      <c r="J37" s="46"/>
    </row>
    <row r="38" spans="2:10" x14ac:dyDescent="0.3">
      <c r="B38" t="s">
        <v>69</v>
      </c>
      <c r="D38" s="4">
        <v>2016</v>
      </c>
      <c r="E38" s="4">
        <v>2017</v>
      </c>
      <c r="F38" s="4">
        <v>2018</v>
      </c>
      <c r="G38" s="4">
        <v>2019</v>
      </c>
      <c r="H38" s="4">
        <v>2020</v>
      </c>
    </row>
    <row r="39" spans="2:10" x14ac:dyDescent="0.3">
      <c r="B39" t="s">
        <v>70</v>
      </c>
      <c r="D39" s="46">
        <v>0.62</v>
      </c>
      <c r="E39" s="46">
        <v>0.62</v>
      </c>
      <c r="F39" s="46">
        <v>0.62</v>
      </c>
      <c r="G39" s="46">
        <v>0.62</v>
      </c>
      <c r="H39" s="46">
        <v>0.62</v>
      </c>
    </row>
    <row r="40" spans="2:10" x14ac:dyDescent="0.3">
      <c r="B40" t="s">
        <v>71</v>
      </c>
      <c r="D40">
        <v>0.38</v>
      </c>
      <c r="E40">
        <v>0.38</v>
      </c>
      <c r="F40">
        <v>0.38</v>
      </c>
      <c r="G40">
        <v>0.38</v>
      </c>
      <c r="H40">
        <v>0.38</v>
      </c>
    </row>
    <row r="41" spans="2:10" x14ac:dyDescent="0.3">
      <c r="B41" s="41" t="s">
        <v>152</v>
      </c>
    </row>
    <row r="42" spans="2:10" x14ac:dyDescent="0.3">
      <c r="B42" s="43"/>
      <c r="C42" s="43"/>
      <c r="D42" s="43"/>
      <c r="E42" s="43"/>
      <c r="F42" s="43"/>
      <c r="G42" s="43"/>
      <c r="H42" s="43"/>
    </row>
    <row r="43" spans="2:10" x14ac:dyDescent="0.3">
      <c r="D43" s="38"/>
      <c r="E43" s="38"/>
      <c r="F43" s="38"/>
      <c r="G43" s="38"/>
    </row>
    <row r="44" spans="2:10" x14ac:dyDescent="0.3">
      <c r="B44" t="s">
        <v>92</v>
      </c>
      <c r="C44" s="83">
        <v>1000</v>
      </c>
    </row>
  </sheetData>
  <mergeCells count="1">
    <mergeCell ref="D21:H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85" zoomScaleNormal="85" workbookViewId="0">
      <selection activeCell="D15" sqref="D15"/>
    </sheetView>
  </sheetViews>
  <sheetFormatPr defaultRowHeight="14.4" x14ac:dyDescent="0.3"/>
  <cols>
    <col min="1" max="1" width="3.44140625" customWidth="1"/>
    <col min="2" max="2" width="42.33203125" customWidth="1"/>
  </cols>
  <sheetData>
    <row r="1" spans="2:15" x14ac:dyDescent="0.3">
      <c r="B1" s="23" t="s">
        <v>121</v>
      </c>
    </row>
    <row r="3" spans="2:15" x14ac:dyDescent="0.3">
      <c r="B3" s="26" t="s">
        <v>77</v>
      </c>
    </row>
    <row r="4" spans="2:15" x14ac:dyDescent="0.3">
      <c r="B4" t="s">
        <v>180</v>
      </c>
    </row>
    <row r="5" spans="2:15" x14ac:dyDescent="0.3"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 t="s">
        <v>6</v>
      </c>
      <c r="J5" s="46"/>
    </row>
    <row r="6" spans="2:15" x14ac:dyDescent="0.3">
      <c r="B6" s="46" t="s">
        <v>156</v>
      </c>
      <c r="C6" s="6">
        <v>0</v>
      </c>
      <c r="D6" s="39">
        <v>27</v>
      </c>
      <c r="E6" s="6">
        <v>72</v>
      </c>
      <c r="F6" s="6">
        <v>81</v>
      </c>
      <c r="G6" s="6">
        <v>81</v>
      </c>
      <c r="H6" s="14">
        <f t="shared" ref="H6:H14" si="0">SUM(C6:G6)</f>
        <v>261</v>
      </c>
      <c r="I6" s="48"/>
      <c r="J6" s="6"/>
      <c r="K6" s="6"/>
      <c r="L6" s="6"/>
      <c r="M6" s="6"/>
      <c r="N6" s="14"/>
      <c r="O6" s="19"/>
    </row>
    <row r="7" spans="2:15" x14ac:dyDescent="0.3">
      <c r="B7" s="46" t="s">
        <v>157</v>
      </c>
      <c r="C7" s="6">
        <v>0</v>
      </c>
      <c r="D7" s="39">
        <v>30</v>
      </c>
      <c r="E7" s="6">
        <v>0</v>
      </c>
      <c r="F7" s="6">
        <v>0</v>
      </c>
      <c r="G7" s="6">
        <v>4.5</v>
      </c>
      <c r="H7" s="14">
        <f t="shared" si="0"/>
        <v>34.5</v>
      </c>
      <c r="I7" s="48"/>
      <c r="J7" s="6"/>
      <c r="K7" s="6"/>
      <c r="L7" s="6"/>
      <c r="M7" s="6"/>
      <c r="N7" s="14"/>
      <c r="O7" s="19"/>
    </row>
    <row r="8" spans="2:15" x14ac:dyDescent="0.3">
      <c r="B8" s="46" t="s">
        <v>158</v>
      </c>
      <c r="C8" s="6">
        <v>0</v>
      </c>
      <c r="D8" s="39">
        <v>0</v>
      </c>
      <c r="E8" s="6">
        <v>9.4619999999999997</v>
      </c>
      <c r="F8" s="6">
        <v>37.847999999999999</v>
      </c>
      <c r="G8" s="6">
        <v>37.847999999999999</v>
      </c>
      <c r="H8" s="14">
        <f t="shared" si="0"/>
        <v>85.158000000000001</v>
      </c>
      <c r="I8" s="48"/>
      <c r="J8" s="6"/>
      <c r="K8" s="6"/>
      <c r="L8" s="6"/>
      <c r="M8" s="6"/>
      <c r="N8" s="14"/>
      <c r="O8" s="19"/>
    </row>
    <row r="9" spans="2:15" x14ac:dyDescent="0.3">
      <c r="B9" t="s">
        <v>37</v>
      </c>
      <c r="C9" s="6">
        <v>0</v>
      </c>
      <c r="D9" s="39">
        <v>36.405000000000001</v>
      </c>
      <c r="E9" s="6">
        <v>89.265000000000001</v>
      </c>
      <c r="F9" s="6">
        <v>217.14</v>
      </c>
      <c r="G9" s="6">
        <v>247.845</v>
      </c>
      <c r="H9" s="14">
        <f t="shared" si="0"/>
        <v>590.65499999999997</v>
      </c>
      <c r="J9" s="6"/>
      <c r="K9" s="6"/>
      <c r="L9" s="6"/>
      <c r="M9" s="6"/>
      <c r="N9" s="14"/>
      <c r="O9" s="19"/>
    </row>
    <row r="10" spans="2:15" x14ac:dyDescent="0.3">
      <c r="B10" t="s">
        <v>50</v>
      </c>
      <c r="C10" s="6">
        <v>0</v>
      </c>
      <c r="D10" s="39">
        <v>27.742000000000001</v>
      </c>
      <c r="E10" s="6">
        <v>110.968</v>
      </c>
      <c r="F10" s="6">
        <v>305.16199999999998</v>
      </c>
      <c r="G10" s="6">
        <v>332.904</v>
      </c>
      <c r="H10" s="14">
        <f t="shared" si="0"/>
        <v>776.77599999999995</v>
      </c>
      <c r="J10" s="6"/>
      <c r="K10" s="6"/>
      <c r="L10" s="6"/>
      <c r="M10" s="6"/>
      <c r="N10" s="14"/>
      <c r="O10" s="19"/>
    </row>
    <row r="11" spans="2:15" x14ac:dyDescent="0.3">
      <c r="B11" t="s">
        <v>153</v>
      </c>
      <c r="C11" s="6">
        <v>0</v>
      </c>
      <c r="D11" s="6">
        <v>71.98</v>
      </c>
      <c r="E11" s="6">
        <v>62.776000000000003</v>
      </c>
      <c r="F11" s="6">
        <v>0</v>
      </c>
      <c r="G11" s="6">
        <v>0</v>
      </c>
      <c r="H11" s="14">
        <f t="shared" si="0"/>
        <v>134.756</v>
      </c>
      <c r="I11" s="48"/>
      <c r="J11" s="6"/>
      <c r="K11" s="6"/>
      <c r="L11" s="6"/>
      <c r="M11" s="6"/>
      <c r="N11" s="14"/>
      <c r="O11" s="19"/>
    </row>
    <row r="12" spans="2:15" x14ac:dyDescent="0.3">
      <c r="B12" t="s">
        <v>52</v>
      </c>
      <c r="C12" s="6">
        <v>0</v>
      </c>
      <c r="D12" s="6">
        <v>256.01249999999999</v>
      </c>
      <c r="E12" s="6">
        <v>107.8125</v>
      </c>
      <c r="F12" s="6">
        <v>0</v>
      </c>
      <c r="G12" s="6">
        <v>0</v>
      </c>
      <c r="H12" s="14">
        <f t="shared" si="0"/>
        <v>363.82499999999999</v>
      </c>
      <c r="J12" s="6"/>
      <c r="K12" s="6"/>
      <c r="L12" s="6"/>
      <c r="M12" s="6"/>
      <c r="N12" s="14"/>
      <c r="O12" s="19"/>
    </row>
    <row r="13" spans="2:15" x14ac:dyDescent="0.3">
      <c r="B13" t="s">
        <v>53</v>
      </c>
      <c r="C13" s="6">
        <v>0</v>
      </c>
      <c r="D13" s="6">
        <v>33.972000000000001</v>
      </c>
      <c r="E13" s="6">
        <v>5.4720000000000004</v>
      </c>
      <c r="F13" s="6">
        <v>5.4720000000000004</v>
      </c>
      <c r="G13" s="6">
        <v>5.4720000000000004</v>
      </c>
      <c r="H13" s="14">
        <f t="shared" si="0"/>
        <v>50.388000000000005</v>
      </c>
      <c r="J13" s="6"/>
      <c r="K13" s="6"/>
      <c r="L13" s="6"/>
      <c r="M13" s="6"/>
      <c r="N13" s="14"/>
      <c r="O13" s="19"/>
    </row>
    <row r="14" spans="2:15" x14ac:dyDescent="0.3">
      <c r="B14" s="46" t="s">
        <v>155</v>
      </c>
      <c r="C14" s="6">
        <v>0</v>
      </c>
      <c r="D14" s="6">
        <v>123.75</v>
      </c>
      <c r="E14" s="6">
        <v>247.5</v>
      </c>
      <c r="F14" s="6">
        <v>123.75</v>
      </c>
      <c r="G14" s="6">
        <v>0</v>
      </c>
      <c r="H14" s="14">
        <f t="shared" si="0"/>
        <v>495</v>
      </c>
      <c r="I14" s="48"/>
      <c r="J14" s="6"/>
      <c r="K14" s="6"/>
      <c r="L14" s="6"/>
      <c r="M14" s="6"/>
      <c r="N14" s="14"/>
      <c r="O14" s="19"/>
    </row>
    <row r="15" spans="2:15" x14ac:dyDescent="0.3">
      <c r="B15" s="26" t="s">
        <v>78</v>
      </c>
      <c r="C15" s="172">
        <f t="shared" ref="C15:H15" si="1">SUM(C6:C14)</f>
        <v>0</v>
      </c>
      <c r="D15" s="172">
        <f t="shared" si="1"/>
        <v>606.86149999999998</v>
      </c>
      <c r="E15" s="172">
        <f t="shared" si="1"/>
        <v>705.25549999999998</v>
      </c>
      <c r="F15" s="172">
        <f t="shared" si="1"/>
        <v>770.37199999999996</v>
      </c>
      <c r="G15" s="172">
        <f t="shared" si="1"/>
        <v>709.56899999999996</v>
      </c>
      <c r="H15" s="27">
        <f t="shared" si="1"/>
        <v>2792.058</v>
      </c>
    </row>
    <row r="16" spans="2:15" x14ac:dyDescent="0.3">
      <c r="B16" s="220" t="s">
        <v>83</v>
      </c>
      <c r="D16" s="223">
        <v>0</v>
      </c>
      <c r="E16" s="223">
        <v>0</v>
      </c>
      <c r="F16" s="223">
        <v>0</v>
      </c>
      <c r="G16" s="223">
        <v>0</v>
      </c>
    </row>
    <row r="18" spans="2:8" x14ac:dyDescent="0.3">
      <c r="B18" s="26" t="s">
        <v>125</v>
      </c>
    </row>
    <row r="19" spans="2:8" x14ac:dyDescent="0.3">
      <c r="B19" t="s">
        <v>180</v>
      </c>
    </row>
    <row r="20" spans="2:8" x14ac:dyDescent="0.3">
      <c r="C20" s="4">
        <v>2016</v>
      </c>
      <c r="D20" s="4">
        <v>2017</v>
      </c>
      <c r="E20" s="4">
        <v>2018</v>
      </c>
      <c r="F20" s="4">
        <v>2019</v>
      </c>
      <c r="G20" s="4">
        <v>2020</v>
      </c>
      <c r="H20" s="4" t="s">
        <v>6</v>
      </c>
    </row>
    <row r="21" spans="2:8" x14ac:dyDescent="0.3">
      <c r="B21" s="46" t="s">
        <v>156</v>
      </c>
      <c r="C21" s="19">
        <f>C6*Escalators!D$8</f>
        <v>0</v>
      </c>
      <c r="D21" s="19">
        <f>D6*Escalators!E$8</f>
        <v>27.627231551668302</v>
      </c>
      <c r="E21" s="19">
        <f>E6*Escalators!F$8</f>
        <v>75.384091181184843</v>
      </c>
      <c r="F21" s="19">
        <f>F6*Escalators!G$8</f>
        <v>86.777239265611243</v>
      </c>
      <c r="G21" s="19">
        <f>G6*Escalators!H$8</f>
        <v>88.793143800206082</v>
      </c>
      <c r="H21" s="14">
        <f t="shared" ref="H21:H28" si="2">SUM(C21:G21)</f>
        <v>278.58170579867044</v>
      </c>
    </row>
    <row r="22" spans="2:8" x14ac:dyDescent="0.3">
      <c r="B22" s="46" t="s">
        <v>157</v>
      </c>
      <c r="C22" s="19">
        <f>C7*Escalators!D$8</f>
        <v>0</v>
      </c>
      <c r="D22" s="19">
        <f>D7*Escalators!E$8</f>
        <v>30.696923946298114</v>
      </c>
      <c r="E22" s="19">
        <f>E7*Escalators!F$8</f>
        <v>0</v>
      </c>
      <c r="F22" s="19">
        <f>F7*Escalators!G$8</f>
        <v>0</v>
      </c>
      <c r="G22" s="19">
        <f>G7*Escalators!H$8</f>
        <v>4.9329524333447825</v>
      </c>
      <c r="H22" s="14">
        <f t="shared" si="2"/>
        <v>35.629876379642894</v>
      </c>
    </row>
    <row r="23" spans="2:8" x14ac:dyDescent="0.3">
      <c r="B23" s="46" t="s">
        <v>158</v>
      </c>
      <c r="C23" s="19">
        <f>C8*Escalators!D$8</f>
        <v>0</v>
      </c>
      <c r="D23" s="19">
        <f>D8*Escalators!E$8</f>
        <v>0</v>
      </c>
      <c r="E23" s="19">
        <f>E8*Escalators!F$8</f>
        <v>9.906725982727373</v>
      </c>
      <c r="F23" s="19">
        <f>F8*Escalators!G$8</f>
        <v>40.547468539813011</v>
      </c>
      <c r="G23" s="19">
        <f>G8*Escalators!H$8</f>
        <v>41.489418599385182</v>
      </c>
      <c r="H23" s="14">
        <f t="shared" si="2"/>
        <v>91.943613121925566</v>
      </c>
    </row>
    <row r="24" spans="2:8" x14ac:dyDescent="0.3">
      <c r="B24" t="s">
        <v>37</v>
      </c>
      <c r="C24" s="19">
        <f>C9*Escalators!D$8</f>
        <v>0</v>
      </c>
      <c r="D24" s="19">
        <f>D9*Escalators!E$8</f>
        <v>37.250717208832761</v>
      </c>
      <c r="E24" s="19">
        <f>E9*Escalators!F$8</f>
        <v>93.460568045673114</v>
      </c>
      <c r="F24" s="19">
        <f>F9*Escalators!G$8</f>
        <v>232.62728066833117</v>
      </c>
      <c r="G24" s="19">
        <f>G9*Escalators!H$8</f>
        <v>271.6905768538528</v>
      </c>
      <c r="H24" s="14">
        <f t="shared" si="2"/>
        <v>635.02914277668981</v>
      </c>
    </row>
    <row r="25" spans="2:8" x14ac:dyDescent="0.3">
      <c r="B25" t="s">
        <v>50</v>
      </c>
      <c r="C25" s="19">
        <f>C10*Escalators!D$8</f>
        <v>0</v>
      </c>
      <c r="D25" s="19">
        <f>D10*Escalators!E$8</f>
        <v>28.386468803940076</v>
      </c>
      <c r="E25" s="19">
        <f>E10*Escalators!F$8</f>
        <v>116.18363653046832</v>
      </c>
      <c r="F25" s="19">
        <f>F10*Escalators!G$8</f>
        <v>326.92735665151179</v>
      </c>
      <c r="G25" s="19">
        <f>G10*Escalators!H$8</f>
        <v>364.93324374893587</v>
      </c>
      <c r="H25" s="14">
        <f t="shared" si="2"/>
        <v>836.43070573485602</v>
      </c>
    </row>
    <row r="26" spans="2:8" x14ac:dyDescent="0.3">
      <c r="B26" t="s">
        <v>51</v>
      </c>
      <c r="C26" s="19">
        <f>C11*Escalators!D$8</f>
        <v>0</v>
      </c>
      <c r="D26" s="19">
        <f>D11*Escalators!E$8</f>
        <v>73.652152855151272</v>
      </c>
      <c r="E26" s="19">
        <f>E11*Escalators!F$8</f>
        <v>65.726551499861941</v>
      </c>
      <c r="F26" s="19">
        <f>F11*Escalators!G$8</f>
        <v>0</v>
      </c>
      <c r="G26" s="19">
        <f>G11*Escalators!H$8</f>
        <v>0</v>
      </c>
      <c r="H26" s="14">
        <f t="shared" si="2"/>
        <v>139.37870435501321</v>
      </c>
    </row>
    <row r="27" spans="2:8" x14ac:dyDescent="0.3">
      <c r="B27" t="s">
        <v>52</v>
      </c>
      <c r="C27" s="19">
        <f>C12*Escalators!D$8</f>
        <v>0</v>
      </c>
      <c r="D27" s="19">
        <f>D12*Escalators!E$8</f>
        <v>261.95987472672152</v>
      </c>
      <c r="E27" s="19">
        <f>E12*Escalators!F$8</f>
        <v>112.87982403432625</v>
      </c>
      <c r="F27" s="19">
        <f>F12*Escalators!G$8</f>
        <v>0</v>
      </c>
      <c r="G27" s="19">
        <f>G12*Escalators!H$8</f>
        <v>0</v>
      </c>
      <c r="H27" s="14">
        <f t="shared" si="2"/>
        <v>374.83969876104777</v>
      </c>
    </row>
    <row r="28" spans="2:8" x14ac:dyDescent="0.3">
      <c r="B28" t="s">
        <v>53</v>
      </c>
      <c r="C28" s="19">
        <f>C13*Escalators!D$8</f>
        <v>0</v>
      </c>
      <c r="D28" s="19">
        <f>D13*Escalators!E$8</f>
        <v>34.761196676787982</v>
      </c>
      <c r="E28" s="19">
        <f>E13*Escalators!F$8</f>
        <v>5.7291909297700485</v>
      </c>
      <c r="F28" s="19">
        <f>F13*Escalators!G$8</f>
        <v>5.8622846081657372</v>
      </c>
      <c r="G28" s="19">
        <f>G13*Escalators!H$8</f>
        <v>5.9984701589472555</v>
      </c>
      <c r="H28" s="14">
        <f t="shared" si="2"/>
        <v>52.351142373671024</v>
      </c>
    </row>
    <row r="29" spans="2:8" x14ac:dyDescent="0.3">
      <c r="B29" t="s">
        <v>75</v>
      </c>
      <c r="C29" s="19">
        <f>C14*Escalators!D$8</f>
        <v>0</v>
      </c>
      <c r="D29" s="19">
        <f>D14*Escalators!E$8</f>
        <v>126.62481127847971</v>
      </c>
      <c r="E29" s="19">
        <f>E14*Escalators!F$8</f>
        <v>259.13281343532287</v>
      </c>
      <c r="F29" s="19">
        <f>F14*Escalators!G$8</f>
        <v>132.57633776690605</v>
      </c>
      <c r="G29" s="19">
        <f>G14*Escalators!H$8</f>
        <v>0</v>
      </c>
      <c r="H29" s="14">
        <f t="shared" ref="H29" si="3">SUM(C29:G29)</f>
        <v>518.33396248070858</v>
      </c>
    </row>
    <row r="30" spans="2:8" x14ac:dyDescent="0.3">
      <c r="B30" s="26" t="s">
        <v>208</v>
      </c>
      <c r="C30" s="27">
        <f t="shared" ref="C30:G30" si="4">SUM(C21:C29)</f>
        <v>0</v>
      </c>
      <c r="D30" s="27">
        <f t="shared" si="4"/>
        <v>620.95937704787968</v>
      </c>
      <c r="E30" s="27">
        <f t="shared" si="4"/>
        <v>738.40340163933479</v>
      </c>
      <c r="F30" s="27">
        <f t="shared" si="4"/>
        <v>825.31796750033902</v>
      </c>
      <c r="G30" s="27">
        <f t="shared" si="4"/>
        <v>777.83780559467198</v>
      </c>
      <c r="H30" s="27">
        <f>SUM(H21:H29)</f>
        <v>2962.5185517822251</v>
      </c>
    </row>
    <row r="31" spans="2:8" x14ac:dyDescent="0.3">
      <c r="B31" s="220" t="s">
        <v>83</v>
      </c>
      <c r="C31" s="214">
        <f>C15*Escalators!D8-C30</f>
        <v>0</v>
      </c>
      <c r="D31" s="214">
        <f>D15*Escalators!E8-D30</f>
        <v>0</v>
      </c>
      <c r="E31" s="214">
        <f>E15*Escalators!F8-E30</f>
        <v>0</v>
      </c>
      <c r="F31" s="214">
        <f>F15*Escalators!G8-F30</f>
        <v>0</v>
      </c>
      <c r="G31" s="214">
        <f>G15*Escalators!H8-G30</f>
        <v>0</v>
      </c>
      <c r="H31" s="217">
        <f>SUM(C31:G31)</f>
        <v>0</v>
      </c>
    </row>
  </sheetData>
  <pageMargins left="0.7" right="0.7" top="0.75" bottom="0.75" header="0.3" footer="0.3"/>
  <pageSetup paperSize="9" orientation="landscape" r:id="rId1"/>
  <ignoredErrors>
    <ignoredError sqref="C15 D15:G15" formulaRange="1"/>
    <ignoredError sqref="H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103" zoomScale="85" zoomScaleNormal="85" workbookViewId="0">
      <selection activeCell="H122" sqref="H122"/>
    </sheetView>
  </sheetViews>
  <sheetFormatPr defaultRowHeight="14.4" x14ac:dyDescent="0.3"/>
  <cols>
    <col min="1" max="1" width="4.109375" customWidth="1"/>
    <col min="2" max="2" width="27.5546875" customWidth="1"/>
    <col min="3" max="3" width="11" customWidth="1"/>
    <col min="4" max="4" width="11.33203125" bestFit="1" customWidth="1"/>
    <col min="5" max="5" width="12.6640625" bestFit="1" customWidth="1"/>
    <col min="6" max="6" width="12.6640625" customWidth="1"/>
    <col min="7" max="7" width="11.33203125" bestFit="1" customWidth="1"/>
    <col min="8" max="8" width="13.109375" customWidth="1"/>
    <col min="10" max="10" width="9.5546875" bestFit="1" customWidth="1"/>
    <col min="11" max="11" width="10" customWidth="1"/>
    <col min="14" max="14" width="9.5546875" bestFit="1" customWidth="1"/>
    <col min="15" max="15" width="9.33203125" bestFit="1" customWidth="1"/>
  </cols>
  <sheetData>
    <row r="1" spans="2:13" ht="15.6" x14ac:dyDescent="0.3">
      <c r="B1" s="135" t="s">
        <v>178</v>
      </c>
      <c r="L1" s="46"/>
    </row>
    <row r="3" spans="2:13" x14ac:dyDescent="0.3">
      <c r="B3" s="26" t="s">
        <v>189</v>
      </c>
      <c r="J3" t="s">
        <v>217</v>
      </c>
    </row>
    <row r="4" spans="2:13" ht="28.8" x14ac:dyDescent="0.3">
      <c r="C4" s="4" t="s">
        <v>210</v>
      </c>
      <c r="D4" s="4" t="s">
        <v>70</v>
      </c>
      <c r="E4" s="13" t="s">
        <v>211</v>
      </c>
      <c r="F4" s="13" t="s">
        <v>212</v>
      </c>
      <c r="G4" s="4" t="s">
        <v>93</v>
      </c>
      <c r="H4" s="13" t="s">
        <v>213</v>
      </c>
      <c r="K4" s="13" t="s">
        <v>218</v>
      </c>
      <c r="L4" s="13" t="s">
        <v>219</v>
      </c>
      <c r="M4" s="13" t="s">
        <v>216</v>
      </c>
    </row>
    <row r="5" spans="2:13" x14ac:dyDescent="0.3">
      <c r="B5" t="s">
        <v>9</v>
      </c>
      <c r="C5" s="5">
        <v>1775.3594490680002</v>
      </c>
      <c r="D5" s="5">
        <v>539.50300000000004</v>
      </c>
      <c r="E5" s="5">
        <v>280</v>
      </c>
      <c r="F5" s="5">
        <v>1019.7440759260001</v>
      </c>
      <c r="G5" s="5">
        <v>236.28788811960629</v>
      </c>
      <c r="H5" s="56">
        <f>SUM(C5:G5)</f>
        <v>3850.8944131136063</v>
      </c>
      <c r="J5" s="188" t="s">
        <v>214</v>
      </c>
      <c r="K5" s="15">
        <v>0.47396019984273413</v>
      </c>
      <c r="L5" s="15">
        <v>0.52603980015726592</v>
      </c>
      <c r="M5" s="16">
        <f>SUM(K5:L5)</f>
        <v>1</v>
      </c>
    </row>
    <row r="6" spans="2:13" x14ac:dyDescent="0.3">
      <c r="B6" t="s">
        <v>10</v>
      </c>
      <c r="C6" s="5">
        <v>1952.6692524680002</v>
      </c>
      <c r="D6" s="5">
        <v>506.64300000000009</v>
      </c>
      <c r="E6" s="5">
        <v>300</v>
      </c>
      <c r="F6" s="5">
        <v>1144.4640024620001</v>
      </c>
      <c r="G6" s="5">
        <v>283.29750774653553</v>
      </c>
      <c r="H6" s="56">
        <f t="shared" ref="H6:H13" si="0">SUM(C6:G6)</f>
        <v>4187.0737626765358</v>
      </c>
      <c r="J6" s="188" t="s">
        <v>215</v>
      </c>
      <c r="K6" s="15">
        <v>0.34354329713659509</v>
      </c>
      <c r="L6" s="15">
        <v>0.65645670286340485</v>
      </c>
      <c r="M6" s="16">
        <f>SUM(K6:L6)</f>
        <v>1</v>
      </c>
    </row>
    <row r="7" spans="2:13" x14ac:dyDescent="0.3">
      <c r="B7" t="s">
        <v>11</v>
      </c>
      <c r="C7" s="5">
        <v>1761.4311073237252</v>
      </c>
      <c r="D7" s="5">
        <v>448.52300000000002</v>
      </c>
      <c r="E7" s="5">
        <v>240</v>
      </c>
      <c r="F7" s="5">
        <v>1049.04199804</v>
      </c>
      <c r="G7" s="5">
        <v>252.97553908155729</v>
      </c>
      <c r="H7" s="56">
        <f t="shared" si="0"/>
        <v>3751.9716444452824</v>
      </c>
      <c r="J7" s="53" t="s">
        <v>281</v>
      </c>
    </row>
    <row r="8" spans="2:13" x14ac:dyDescent="0.3">
      <c r="B8" t="s">
        <v>12</v>
      </c>
      <c r="C8" s="5">
        <v>4084.698394814</v>
      </c>
      <c r="D8" s="5">
        <v>608.51900000000012</v>
      </c>
      <c r="E8" s="5">
        <v>420</v>
      </c>
      <c r="F8" s="5">
        <v>1520.4371979469997</v>
      </c>
      <c r="G8" s="5">
        <v>446.93245692445038</v>
      </c>
      <c r="H8" s="56">
        <f t="shared" si="0"/>
        <v>7080.5870496854495</v>
      </c>
      <c r="K8" s="9"/>
    </row>
    <row r="9" spans="2:13" x14ac:dyDescent="0.3">
      <c r="B9" t="s">
        <v>13</v>
      </c>
      <c r="C9" s="5">
        <v>6181.9032023360005</v>
      </c>
      <c r="D9" s="5">
        <v>668.87080624999999</v>
      </c>
      <c r="E9" s="5">
        <v>450</v>
      </c>
      <c r="F9" s="5">
        <v>1855.1504833290001</v>
      </c>
      <c r="G9" s="5">
        <v>535.42859237196683</v>
      </c>
      <c r="H9" s="56">
        <f t="shared" si="0"/>
        <v>9691.3530842869677</v>
      </c>
      <c r="J9" s="9"/>
      <c r="K9" s="9"/>
    </row>
    <row r="10" spans="2:13" x14ac:dyDescent="0.3">
      <c r="B10" t="s">
        <v>14</v>
      </c>
      <c r="C10" s="5">
        <v>4266.7085968070005</v>
      </c>
      <c r="D10" s="5">
        <v>693.56299999999999</v>
      </c>
      <c r="E10" s="5">
        <v>470</v>
      </c>
      <c r="F10" s="5">
        <v>2185.0499258650002</v>
      </c>
      <c r="G10" s="5">
        <v>426.27657128491961</v>
      </c>
      <c r="H10" s="56">
        <f t="shared" si="0"/>
        <v>8041.5980939569199</v>
      </c>
      <c r="J10" s="9"/>
      <c r="K10" s="9"/>
    </row>
    <row r="11" spans="2:13" x14ac:dyDescent="0.3">
      <c r="B11" t="s">
        <v>15</v>
      </c>
      <c r="C11" s="5">
        <v>1763.6592774760002</v>
      </c>
      <c r="D11" s="5">
        <v>533.90700000000004</v>
      </c>
      <c r="E11" s="5">
        <v>250</v>
      </c>
      <c r="F11" s="5">
        <v>856.95056251900019</v>
      </c>
      <c r="G11" s="5">
        <v>225.33029651326578</v>
      </c>
      <c r="H11" s="56">
        <f t="shared" si="0"/>
        <v>3629.8471365082664</v>
      </c>
    </row>
    <row r="12" spans="2:13" x14ac:dyDescent="0.3">
      <c r="B12" t="s">
        <v>16</v>
      </c>
      <c r="C12" s="5">
        <v>1794.1091398812</v>
      </c>
      <c r="D12" s="5">
        <v>447.21600000000001</v>
      </c>
      <c r="E12" s="5">
        <v>220</v>
      </c>
      <c r="F12" s="5">
        <v>772.43726734600011</v>
      </c>
      <c r="G12" s="5">
        <v>201.17204699354926</v>
      </c>
      <c r="H12" s="56">
        <f t="shared" si="0"/>
        <v>3434.9344542207496</v>
      </c>
    </row>
    <row r="13" spans="2:13" x14ac:dyDescent="0.3">
      <c r="B13" t="s">
        <v>17</v>
      </c>
      <c r="C13" s="5">
        <v>703.99577966599998</v>
      </c>
      <c r="D13" s="5">
        <v>482.85900000000004</v>
      </c>
      <c r="E13" s="5">
        <v>280</v>
      </c>
      <c r="F13" s="5">
        <v>1251.468216453</v>
      </c>
      <c r="G13" s="5">
        <v>239.41057013914508</v>
      </c>
      <c r="H13" s="56">
        <f t="shared" si="0"/>
        <v>2957.7335662581449</v>
      </c>
      <c r="J13" s="9"/>
      <c r="K13" s="9"/>
    </row>
    <row r="14" spans="2:13" x14ac:dyDescent="0.3">
      <c r="B14" t="s">
        <v>6</v>
      </c>
      <c r="C14" s="12">
        <f>SUM(C5:C13)</f>
        <v>24284.53419983992</v>
      </c>
      <c r="D14" s="12">
        <f t="shared" ref="D14:H14" si="1">SUM(D5:D13)</f>
        <v>4929.6038062500011</v>
      </c>
      <c r="E14" s="12">
        <f t="shared" si="1"/>
        <v>2910</v>
      </c>
      <c r="F14" s="12">
        <f t="shared" si="1"/>
        <v>11654.743729887001</v>
      </c>
      <c r="G14" s="12">
        <f t="shared" si="1"/>
        <v>2847.1114691749958</v>
      </c>
      <c r="H14" s="12">
        <f t="shared" si="1"/>
        <v>46625.993205151921</v>
      </c>
      <c r="J14" s="9"/>
      <c r="K14" s="9"/>
    </row>
    <row r="15" spans="2:13" x14ac:dyDescent="0.3">
      <c r="B15" s="53" t="s">
        <v>172</v>
      </c>
      <c r="D15" s="9"/>
      <c r="E15" s="9"/>
      <c r="F15" s="9"/>
    </row>
    <row r="16" spans="2:13" x14ac:dyDescent="0.3">
      <c r="D16" s="9"/>
      <c r="E16" s="9"/>
      <c r="F16" s="9"/>
      <c r="J16" s="9"/>
      <c r="K16" s="9"/>
    </row>
    <row r="17" spans="2:14" x14ac:dyDescent="0.3">
      <c r="B17" s="26" t="s">
        <v>29</v>
      </c>
    </row>
    <row r="18" spans="2:14" ht="28.8" x14ac:dyDescent="0.3">
      <c r="C18" s="181" t="s">
        <v>210</v>
      </c>
      <c r="D18" s="181" t="s">
        <v>70</v>
      </c>
      <c r="E18" s="13" t="s">
        <v>211</v>
      </c>
      <c r="F18" s="13" t="s">
        <v>212</v>
      </c>
      <c r="G18" s="181" t="s">
        <v>93</v>
      </c>
      <c r="H18" s="13" t="s">
        <v>213</v>
      </c>
    </row>
    <row r="19" spans="2:14" x14ac:dyDescent="0.3">
      <c r="B19" t="s">
        <v>9</v>
      </c>
      <c r="C19" s="5">
        <v>551.96178244199996</v>
      </c>
      <c r="D19" s="5">
        <v>199.2711936</v>
      </c>
      <c r="E19" s="5">
        <v>28.574999999999999</v>
      </c>
      <c r="F19" s="5">
        <v>51.389423400000005</v>
      </c>
      <c r="G19" s="5">
        <v>163.11172426207114</v>
      </c>
      <c r="H19" s="5">
        <f t="shared" ref="H19:H27" si="2">SUM(C19:G19)</f>
        <v>994.30912370407123</v>
      </c>
    </row>
    <row r="20" spans="2:14" x14ac:dyDescent="0.3">
      <c r="B20" t="s">
        <v>10</v>
      </c>
      <c r="C20" s="5">
        <v>790.451355036</v>
      </c>
      <c r="D20" s="5">
        <v>286.5573488</v>
      </c>
      <c r="E20" s="5">
        <v>78.48</v>
      </c>
      <c r="F20" s="5">
        <v>75.955737200000002</v>
      </c>
      <c r="G20" s="5">
        <v>238.18641875739314</v>
      </c>
      <c r="H20" s="5">
        <f t="shared" si="2"/>
        <v>1469.630859793393</v>
      </c>
    </row>
    <row r="21" spans="2:14" x14ac:dyDescent="0.3">
      <c r="B21" t="s">
        <v>11</v>
      </c>
      <c r="C21" s="5">
        <v>416.27775590099992</v>
      </c>
      <c r="D21" s="5">
        <v>152.90939079999998</v>
      </c>
      <c r="E21" s="5">
        <v>104.64</v>
      </c>
      <c r="F21" s="5">
        <v>43.982547700000005</v>
      </c>
      <c r="G21" s="5">
        <v>133.18737014009599</v>
      </c>
      <c r="H21" s="5">
        <f t="shared" si="2"/>
        <v>850.99706454109582</v>
      </c>
    </row>
    <row r="22" spans="2:14" x14ac:dyDescent="0.3">
      <c r="B22" t="s">
        <v>12</v>
      </c>
      <c r="C22" s="5">
        <v>416.24318187900002</v>
      </c>
      <c r="D22" s="5">
        <v>152.07103320000002</v>
      </c>
      <c r="E22" s="5">
        <v>78.48</v>
      </c>
      <c r="F22" s="5">
        <v>42.334158300000013</v>
      </c>
      <c r="G22" s="5">
        <v>129.97480110850418</v>
      </c>
      <c r="H22" s="5">
        <f t="shared" si="2"/>
        <v>819.10317448750425</v>
      </c>
    </row>
    <row r="23" spans="2:14" x14ac:dyDescent="0.3">
      <c r="B23" t="s">
        <v>13</v>
      </c>
      <c r="C23" s="5">
        <v>1852.7074283549998</v>
      </c>
      <c r="D23" s="5">
        <v>670.79833399999995</v>
      </c>
      <c r="E23" s="5">
        <v>156.96</v>
      </c>
      <c r="F23" s="5">
        <v>176.33238349999999</v>
      </c>
      <c r="G23" s="5">
        <v>554.97194453552993</v>
      </c>
      <c r="H23" s="5">
        <f t="shared" si="2"/>
        <v>3411.7700903905297</v>
      </c>
    </row>
    <row r="24" spans="2:14" x14ac:dyDescent="0.3">
      <c r="B24" t="s">
        <v>14</v>
      </c>
      <c r="C24" s="5">
        <v>2029.1806891019996</v>
      </c>
      <c r="D24" s="5">
        <v>735.04682159999993</v>
      </c>
      <c r="E24" s="5">
        <v>183.12</v>
      </c>
      <c r="F24" s="5">
        <v>193.8333054</v>
      </c>
      <c r="G24" s="5">
        <v>609.20615626744666</v>
      </c>
      <c r="H24" s="5">
        <f t="shared" si="2"/>
        <v>3750.3869723694461</v>
      </c>
    </row>
    <row r="25" spans="2:14" x14ac:dyDescent="0.3">
      <c r="B25" t="s">
        <v>15</v>
      </c>
      <c r="C25" s="5">
        <v>1560.1953831869996</v>
      </c>
      <c r="D25" s="5">
        <v>568.97643959999994</v>
      </c>
      <c r="E25" s="5">
        <v>261.60000000000002</v>
      </c>
      <c r="F25" s="5">
        <v>156.63210990000002</v>
      </c>
      <c r="G25" s="5">
        <v>483.19508233500483</v>
      </c>
      <c r="H25" s="5">
        <f t="shared" si="2"/>
        <v>3030.5990150220046</v>
      </c>
    </row>
    <row r="26" spans="2:14" x14ac:dyDescent="0.3">
      <c r="B26" t="s">
        <v>16</v>
      </c>
      <c r="C26" s="5">
        <v>599.88862443300002</v>
      </c>
      <c r="D26" s="5">
        <v>219.72305639999999</v>
      </c>
      <c r="E26" s="5">
        <v>130.80000000000001</v>
      </c>
      <c r="F26" s="5">
        <v>62.124764100000007</v>
      </c>
      <c r="G26" s="5">
        <v>189.48559901531053</v>
      </c>
      <c r="H26" s="5">
        <f t="shared" si="2"/>
        <v>1202.0220439483105</v>
      </c>
    </row>
    <row r="27" spans="2:14" x14ac:dyDescent="0.3">
      <c r="B27" t="s">
        <v>17</v>
      </c>
      <c r="C27" s="5">
        <v>850.31826383700002</v>
      </c>
      <c r="D27" s="5">
        <v>308.07285960000002</v>
      </c>
      <c r="E27" s="5">
        <v>78.48</v>
      </c>
      <c r="F27" s="5">
        <v>81.33461490000002</v>
      </c>
      <c r="G27" s="5">
        <v>255.4984271786436</v>
      </c>
      <c r="H27" s="5">
        <f t="shared" si="2"/>
        <v>1573.7041655156438</v>
      </c>
    </row>
    <row r="28" spans="2:14" x14ac:dyDescent="0.3">
      <c r="B28" t="s">
        <v>6</v>
      </c>
      <c r="C28" s="12">
        <f>SUM(C19:C27)</f>
        <v>9067.224464171999</v>
      </c>
      <c r="D28" s="12">
        <f t="shared" ref="D28:H28" si="3">SUM(D19:D27)</f>
        <v>3293.4264776</v>
      </c>
      <c r="E28" s="12">
        <f t="shared" si="3"/>
        <v>1101.135</v>
      </c>
      <c r="F28" s="12">
        <f t="shared" si="3"/>
        <v>883.91904440000008</v>
      </c>
      <c r="G28" s="12">
        <f t="shared" si="3"/>
        <v>2756.8175235999997</v>
      </c>
      <c r="H28" s="12">
        <f t="shared" si="3"/>
        <v>17102.522509771999</v>
      </c>
    </row>
    <row r="29" spans="2:14" x14ac:dyDescent="0.3">
      <c r="B29" s="53" t="s">
        <v>171</v>
      </c>
      <c r="C29" s="173"/>
      <c r="D29" s="173"/>
      <c r="E29" s="173"/>
      <c r="F29" s="173"/>
      <c r="G29" s="173"/>
      <c r="H29" s="173"/>
    </row>
    <row r="31" spans="2:14" x14ac:dyDescent="0.3">
      <c r="B31" s="26" t="s">
        <v>182</v>
      </c>
    </row>
    <row r="32" spans="2:14" ht="28.8" x14ac:dyDescent="0.3">
      <c r="C32" s="181" t="s">
        <v>210</v>
      </c>
      <c r="D32" s="181" t="s">
        <v>70</v>
      </c>
      <c r="E32" s="13" t="s">
        <v>211</v>
      </c>
      <c r="F32" s="13" t="s">
        <v>212</v>
      </c>
      <c r="G32" s="181" t="s">
        <v>93</v>
      </c>
      <c r="H32" s="13" t="s">
        <v>213</v>
      </c>
      <c r="J32" s="4" t="s">
        <v>224</v>
      </c>
      <c r="K32" s="4" t="s">
        <v>31</v>
      </c>
      <c r="L32" s="4" t="s">
        <v>174</v>
      </c>
      <c r="N32" s="187" t="s">
        <v>30</v>
      </c>
    </row>
    <row r="33" spans="2:15" x14ac:dyDescent="0.3">
      <c r="B33" t="s">
        <v>9</v>
      </c>
      <c r="C33" s="6">
        <v>1305.7033846936699</v>
      </c>
      <c r="D33" s="6">
        <v>227.15337034398533</v>
      </c>
      <c r="E33" s="14">
        <v>0</v>
      </c>
      <c r="F33" s="14">
        <v>0</v>
      </c>
      <c r="G33" s="14">
        <v>0</v>
      </c>
      <c r="H33" s="6">
        <f t="shared" ref="H33:H41" si="4">SUM(C33:G33)</f>
        <v>1532.8567550376551</v>
      </c>
      <c r="J33">
        <v>623</v>
      </c>
      <c r="K33" s="6">
        <v>1532.8567550376551</v>
      </c>
      <c r="L33" s="11">
        <f t="shared" ref="L33:L42" si="5">K33-H33</f>
        <v>0</v>
      </c>
      <c r="N33" s="126">
        <f>J33*$N$43</f>
        <v>1631.4915530225931</v>
      </c>
    </row>
    <row r="34" spans="2:15" x14ac:dyDescent="0.3">
      <c r="B34" t="s">
        <v>10</v>
      </c>
      <c r="C34" s="6">
        <v>1364.3866828821494</v>
      </c>
      <c r="D34" s="6">
        <v>237.36251058416445</v>
      </c>
      <c r="E34" s="14">
        <v>0</v>
      </c>
      <c r="F34" s="14">
        <v>0</v>
      </c>
      <c r="G34" s="14">
        <v>0</v>
      </c>
      <c r="H34" s="6">
        <f t="shared" si="4"/>
        <v>1601.749193466314</v>
      </c>
      <c r="J34">
        <v>651</v>
      </c>
      <c r="K34" s="6">
        <v>1601.749193466314</v>
      </c>
      <c r="L34" s="11">
        <f t="shared" si="5"/>
        <v>0</v>
      </c>
      <c r="N34" s="126">
        <f t="shared" ref="N34:N41" si="6">J34*$N$43</f>
        <v>1704.8170160797883</v>
      </c>
    </row>
    <row r="35" spans="2:15" x14ac:dyDescent="0.3">
      <c r="B35" t="s">
        <v>11</v>
      </c>
      <c r="C35" s="6">
        <v>377.24977406879714</v>
      </c>
      <c r="D35" s="6">
        <v>65.630187258294313</v>
      </c>
      <c r="E35" s="14">
        <v>0</v>
      </c>
      <c r="F35" s="14">
        <v>0</v>
      </c>
      <c r="G35" s="14">
        <v>0</v>
      </c>
      <c r="H35" s="6">
        <f t="shared" si="4"/>
        <v>442.87996132709145</v>
      </c>
      <c r="J35">
        <v>180</v>
      </c>
      <c r="K35" s="6">
        <v>442.87996132709139</v>
      </c>
      <c r="L35" s="11">
        <f t="shared" si="5"/>
        <v>0</v>
      </c>
      <c r="N35" s="126">
        <f t="shared" si="6"/>
        <v>471.37797679625481</v>
      </c>
    </row>
    <row r="36" spans="2:15" x14ac:dyDescent="0.3">
      <c r="B36" t="s">
        <v>12</v>
      </c>
      <c r="C36" s="6">
        <v>333.23730042743745</v>
      </c>
      <c r="D36" s="6">
        <v>57.973332078159984</v>
      </c>
      <c r="E36" s="14">
        <v>0</v>
      </c>
      <c r="F36" s="14">
        <v>0</v>
      </c>
      <c r="G36" s="14">
        <v>0</v>
      </c>
      <c r="H36" s="6">
        <f t="shared" si="4"/>
        <v>391.21063250559746</v>
      </c>
      <c r="J36">
        <v>159</v>
      </c>
      <c r="K36" s="6">
        <v>391.21063250559735</v>
      </c>
      <c r="L36" s="11">
        <f t="shared" si="5"/>
        <v>0</v>
      </c>
      <c r="N36" s="126">
        <f t="shared" si="6"/>
        <v>416.38387950335846</v>
      </c>
    </row>
    <row r="37" spans="2:15" x14ac:dyDescent="0.3">
      <c r="B37" t="s">
        <v>13</v>
      </c>
      <c r="C37" s="6">
        <v>1750.0197852635865</v>
      </c>
      <c r="D37" s="6">
        <v>304.45114644819864</v>
      </c>
      <c r="E37" s="14">
        <v>0</v>
      </c>
      <c r="F37" s="14">
        <v>0</v>
      </c>
      <c r="G37" s="14">
        <v>0</v>
      </c>
      <c r="H37" s="6">
        <f t="shared" si="4"/>
        <v>2054.4709317117849</v>
      </c>
      <c r="J37">
        <v>835</v>
      </c>
      <c r="K37" s="6">
        <v>2054.4709317117849</v>
      </c>
      <c r="L37" s="11">
        <f t="shared" si="5"/>
        <v>0</v>
      </c>
      <c r="N37" s="126">
        <f t="shared" si="6"/>
        <v>2186.6700590270711</v>
      </c>
    </row>
    <row r="38" spans="2:15" x14ac:dyDescent="0.3">
      <c r="B38" t="s">
        <v>14</v>
      </c>
      <c r="C38" s="6">
        <v>2162.8987046611032</v>
      </c>
      <c r="D38" s="6">
        <v>376.27974028088744</v>
      </c>
      <c r="E38" s="14">
        <v>0</v>
      </c>
      <c r="F38" s="14">
        <v>0</v>
      </c>
      <c r="G38" s="14">
        <v>0</v>
      </c>
      <c r="H38" s="6">
        <f t="shared" si="4"/>
        <v>2539.1784449419906</v>
      </c>
      <c r="J38">
        <v>1032</v>
      </c>
      <c r="K38" s="6">
        <v>2539.1784449419906</v>
      </c>
      <c r="L38" s="11">
        <f t="shared" si="5"/>
        <v>0</v>
      </c>
      <c r="N38" s="126">
        <f t="shared" si="6"/>
        <v>2702.5670669651945</v>
      </c>
    </row>
    <row r="39" spans="2:15" x14ac:dyDescent="0.3">
      <c r="B39" t="s">
        <v>15</v>
      </c>
      <c r="C39" s="6">
        <v>1529.9574170567882</v>
      </c>
      <c r="D39" s="6">
        <v>266.16687054752697</v>
      </c>
      <c r="E39" s="14">
        <v>0</v>
      </c>
      <c r="F39" s="14">
        <v>0</v>
      </c>
      <c r="G39" s="14">
        <v>0</v>
      </c>
      <c r="H39" s="6">
        <f t="shared" si="4"/>
        <v>1796.1242876043152</v>
      </c>
      <c r="J39">
        <v>730</v>
      </c>
      <c r="K39" s="6">
        <v>1796.124287604315</v>
      </c>
      <c r="L39" s="11">
        <f t="shared" si="5"/>
        <v>0</v>
      </c>
      <c r="N39" s="126">
        <f t="shared" si="6"/>
        <v>1911.6995725625891</v>
      </c>
    </row>
    <row r="40" spans="2:15" x14ac:dyDescent="0.3">
      <c r="B40" t="s">
        <v>16</v>
      </c>
      <c r="C40" s="6">
        <v>819.47034256055372</v>
      </c>
      <c r="D40" s="6">
        <v>142.56335121107267</v>
      </c>
      <c r="E40" s="14">
        <v>0</v>
      </c>
      <c r="F40" s="14">
        <v>0</v>
      </c>
      <c r="G40" s="14">
        <v>0</v>
      </c>
      <c r="H40" s="6">
        <f t="shared" si="4"/>
        <v>962.03369377162642</v>
      </c>
      <c r="J40">
        <v>391</v>
      </c>
      <c r="K40" s="6">
        <v>962.03369377162619</v>
      </c>
      <c r="L40" s="11">
        <f t="shared" si="5"/>
        <v>0</v>
      </c>
      <c r="N40" s="126">
        <f t="shared" si="6"/>
        <v>1023.9377162629758</v>
      </c>
    </row>
    <row r="41" spans="2:15" x14ac:dyDescent="0.3">
      <c r="B41" t="s">
        <v>17</v>
      </c>
      <c r="C41" s="6">
        <v>653.89960838591503</v>
      </c>
      <c r="D41" s="6">
        <v>113.75899124771016</v>
      </c>
      <c r="E41" s="14">
        <v>0</v>
      </c>
      <c r="F41" s="14">
        <v>0</v>
      </c>
      <c r="G41" s="14">
        <v>0</v>
      </c>
      <c r="H41" s="6">
        <f t="shared" si="4"/>
        <v>767.65859963362516</v>
      </c>
      <c r="J41">
        <v>312</v>
      </c>
      <c r="K41" s="6">
        <v>767.65859963362504</v>
      </c>
      <c r="L41" s="11">
        <f t="shared" si="5"/>
        <v>0</v>
      </c>
      <c r="N41" s="126">
        <f t="shared" si="6"/>
        <v>817.05515978017502</v>
      </c>
    </row>
    <row r="42" spans="2:15" x14ac:dyDescent="0.3">
      <c r="B42" t="s">
        <v>6</v>
      </c>
      <c r="C42" s="21">
        <f>SUM(C33:C41)</f>
        <v>10296.823</v>
      </c>
      <c r="D42" s="21">
        <f t="shared" ref="D42" si="7">SUM(D33:D41)</f>
        <v>1791.3394999999998</v>
      </c>
      <c r="E42" s="21">
        <f t="shared" ref="E42" si="8">SUM(E33:E41)</f>
        <v>0</v>
      </c>
      <c r="F42" s="21">
        <f t="shared" ref="F42" si="9">SUM(F33:F41)</f>
        <v>0</v>
      </c>
      <c r="G42" s="21">
        <f t="shared" ref="G42" si="10">SUM(G33:G41)</f>
        <v>0</v>
      </c>
      <c r="H42" s="21">
        <f t="shared" ref="H42" si="11">SUM(H33:H41)</f>
        <v>12088.1625</v>
      </c>
      <c r="J42" s="45">
        <v>4913</v>
      </c>
      <c r="K42" s="25">
        <f>SUM(K33:K41)</f>
        <v>12088.162499999999</v>
      </c>
      <c r="L42" s="11">
        <f t="shared" si="5"/>
        <v>0</v>
      </c>
      <c r="N42" s="190">
        <v>12866</v>
      </c>
    </row>
    <row r="43" spans="2:15" x14ac:dyDescent="0.3">
      <c r="B43" s="53" t="s">
        <v>173</v>
      </c>
      <c r="C43" s="174"/>
      <c r="D43" s="174"/>
      <c r="E43" s="174"/>
      <c r="F43" s="174"/>
      <c r="G43" s="174"/>
      <c r="H43" s="174"/>
      <c r="J43" s="175"/>
      <c r="K43" s="161"/>
      <c r="L43" s="11"/>
      <c r="N43" s="11">
        <f>N42/J42</f>
        <v>2.6187665377569713</v>
      </c>
      <c r="O43" t="s">
        <v>225</v>
      </c>
    </row>
    <row r="45" spans="2:15" x14ac:dyDescent="0.3">
      <c r="B45" s="26" t="s">
        <v>84</v>
      </c>
    </row>
    <row r="46" spans="2:15" ht="28.8" x14ac:dyDescent="0.3">
      <c r="C46" s="181" t="s">
        <v>210</v>
      </c>
      <c r="D46" s="181" t="s">
        <v>70</v>
      </c>
      <c r="E46" s="13" t="s">
        <v>211</v>
      </c>
      <c r="F46" s="13" t="s">
        <v>212</v>
      </c>
      <c r="G46" s="181" t="s">
        <v>93</v>
      </c>
      <c r="H46" s="13" t="s">
        <v>213</v>
      </c>
      <c r="J46" s="4" t="s">
        <v>30</v>
      </c>
      <c r="K46" s="4" t="s">
        <v>31</v>
      </c>
      <c r="L46" s="4" t="s">
        <v>174</v>
      </c>
    </row>
    <row r="47" spans="2:15" x14ac:dyDescent="0.3">
      <c r="C47" s="176">
        <v>0.34</v>
      </c>
      <c r="D47" s="176">
        <v>0.11</v>
      </c>
      <c r="E47" s="176">
        <v>7.0000000000000007E-2</v>
      </c>
      <c r="F47" s="176">
        <v>0.38</v>
      </c>
      <c r="G47" s="176">
        <v>0.1</v>
      </c>
      <c r="H47" s="176">
        <f>SUM(C47:G47)</f>
        <v>1</v>
      </c>
      <c r="N47" t="s">
        <v>175</v>
      </c>
    </row>
    <row r="48" spans="2:15" x14ac:dyDescent="0.3">
      <c r="B48" t="s">
        <v>9</v>
      </c>
      <c r="C48" s="6">
        <f t="shared" ref="C48:G56" si="12">$J48*$O$48*C$47</f>
        <v>86.014925373134318</v>
      </c>
      <c r="D48" s="6">
        <f t="shared" si="12"/>
        <v>27.828358208955219</v>
      </c>
      <c r="E48" s="6">
        <f t="shared" si="12"/>
        <v>17.708955223880594</v>
      </c>
      <c r="F48" s="6">
        <f t="shared" si="12"/>
        <v>96.134328358208933</v>
      </c>
      <c r="G48" s="6">
        <f t="shared" si="12"/>
        <v>25.298507462686562</v>
      </c>
      <c r="H48" s="14">
        <f>SUM(C48:G48)</f>
        <v>252.98507462686564</v>
      </c>
      <c r="J48">
        <v>4</v>
      </c>
      <c r="K48" s="6">
        <f t="shared" ref="K48:K56" si="13">J48*$O$48</f>
        <v>252.98507462686561</v>
      </c>
      <c r="L48" s="19">
        <f t="shared" ref="L48:L56" si="14">K48-H48</f>
        <v>0</v>
      </c>
      <c r="N48" t="s">
        <v>32</v>
      </c>
      <c r="O48" s="39">
        <v>63.246268656716403</v>
      </c>
    </row>
    <row r="49" spans="2:17" x14ac:dyDescent="0.3">
      <c r="B49" t="s">
        <v>10</v>
      </c>
      <c r="C49" s="6">
        <f t="shared" si="12"/>
        <v>129.02238805970146</v>
      </c>
      <c r="D49" s="6">
        <f t="shared" si="12"/>
        <v>41.742537313432827</v>
      </c>
      <c r="E49" s="6">
        <f t="shared" si="12"/>
        <v>26.56343283582089</v>
      </c>
      <c r="F49" s="6">
        <f t="shared" si="12"/>
        <v>144.20149253731338</v>
      </c>
      <c r="G49" s="6">
        <f t="shared" si="12"/>
        <v>37.947761194029844</v>
      </c>
      <c r="H49" s="14">
        <f t="shared" ref="H49:H56" si="15">SUM(C49:G49)</f>
        <v>379.4776119402984</v>
      </c>
      <c r="J49">
        <v>6</v>
      </c>
      <c r="K49" s="6">
        <f t="shared" si="13"/>
        <v>379.4776119402984</v>
      </c>
      <c r="L49" s="19">
        <f t="shared" si="14"/>
        <v>0</v>
      </c>
    </row>
    <row r="50" spans="2:17" x14ac:dyDescent="0.3">
      <c r="B50" t="s">
        <v>11</v>
      </c>
      <c r="C50" s="6">
        <f t="shared" si="12"/>
        <v>21.503731343283579</v>
      </c>
      <c r="D50" s="6">
        <f t="shared" si="12"/>
        <v>6.9570895522388048</v>
      </c>
      <c r="E50" s="6">
        <f t="shared" si="12"/>
        <v>4.4272388059701484</v>
      </c>
      <c r="F50" s="6">
        <f t="shared" si="12"/>
        <v>24.033582089552233</v>
      </c>
      <c r="G50" s="6">
        <f t="shared" si="12"/>
        <v>6.3246268656716405</v>
      </c>
      <c r="H50" s="14">
        <f t="shared" si="15"/>
        <v>63.24626865671641</v>
      </c>
      <c r="J50">
        <v>1</v>
      </c>
      <c r="K50" s="6">
        <f t="shared" si="13"/>
        <v>63.246268656716403</v>
      </c>
      <c r="L50" s="19">
        <f t="shared" si="14"/>
        <v>0</v>
      </c>
    </row>
    <row r="51" spans="2:17" x14ac:dyDescent="0.3">
      <c r="B51" t="s">
        <v>12</v>
      </c>
      <c r="C51" s="6">
        <f t="shared" si="12"/>
        <v>129.02238805970146</v>
      </c>
      <c r="D51" s="6">
        <f t="shared" si="12"/>
        <v>41.742537313432827</v>
      </c>
      <c r="E51" s="6">
        <f t="shared" si="12"/>
        <v>26.56343283582089</v>
      </c>
      <c r="F51" s="6">
        <f t="shared" si="12"/>
        <v>144.20149253731338</v>
      </c>
      <c r="G51" s="6">
        <f t="shared" si="12"/>
        <v>37.947761194029844</v>
      </c>
      <c r="H51" s="14">
        <f t="shared" si="15"/>
        <v>379.4776119402984</v>
      </c>
      <c r="J51">
        <v>6</v>
      </c>
      <c r="K51" s="6">
        <f t="shared" si="13"/>
        <v>379.4776119402984</v>
      </c>
      <c r="L51" s="19">
        <f t="shared" si="14"/>
        <v>0</v>
      </c>
    </row>
    <row r="52" spans="2:17" x14ac:dyDescent="0.3">
      <c r="B52" t="s">
        <v>13</v>
      </c>
      <c r="C52" s="6">
        <f t="shared" si="12"/>
        <v>172.02985074626864</v>
      </c>
      <c r="D52" s="6">
        <f t="shared" si="12"/>
        <v>55.656716417910438</v>
      </c>
      <c r="E52" s="6">
        <f t="shared" si="12"/>
        <v>35.417910447761187</v>
      </c>
      <c r="F52" s="6">
        <f t="shared" si="12"/>
        <v>192.26865671641787</v>
      </c>
      <c r="G52" s="6">
        <f t="shared" si="12"/>
        <v>50.597014925373124</v>
      </c>
      <c r="H52" s="14">
        <f t="shared" si="15"/>
        <v>505.97014925373128</v>
      </c>
      <c r="J52">
        <v>8</v>
      </c>
      <c r="K52" s="6">
        <f t="shared" si="13"/>
        <v>505.97014925373122</v>
      </c>
      <c r="L52" s="19">
        <f t="shared" si="14"/>
        <v>0</v>
      </c>
    </row>
    <row r="53" spans="2:17" x14ac:dyDescent="0.3">
      <c r="B53" t="s">
        <v>14</v>
      </c>
      <c r="C53" s="6">
        <f t="shared" si="12"/>
        <v>408.57089552238801</v>
      </c>
      <c r="D53" s="6">
        <f t="shared" si="12"/>
        <v>132.18470149253727</v>
      </c>
      <c r="E53" s="6">
        <f t="shared" si="12"/>
        <v>84.11753731343282</v>
      </c>
      <c r="F53" s="6">
        <f t="shared" si="12"/>
        <v>456.63805970149241</v>
      </c>
      <c r="G53" s="6">
        <f t="shared" si="12"/>
        <v>120.16791044776117</v>
      </c>
      <c r="H53" s="14">
        <f t="shared" si="15"/>
        <v>1201.6791044776119</v>
      </c>
      <c r="J53">
        <v>19</v>
      </c>
      <c r="K53" s="6">
        <f t="shared" si="13"/>
        <v>1201.6791044776116</v>
      </c>
      <c r="L53" s="19">
        <f t="shared" si="14"/>
        <v>0</v>
      </c>
    </row>
    <row r="54" spans="2:17" x14ac:dyDescent="0.3">
      <c r="B54" t="s">
        <v>15</v>
      </c>
      <c r="C54" s="6">
        <f t="shared" si="12"/>
        <v>279.54850746268653</v>
      </c>
      <c r="D54" s="6">
        <f t="shared" si="12"/>
        <v>90.442164179104452</v>
      </c>
      <c r="E54" s="6">
        <f t="shared" si="12"/>
        <v>57.554104477611929</v>
      </c>
      <c r="F54" s="6">
        <f t="shared" si="12"/>
        <v>312.43656716417905</v>
      </c>
      <c r="G54" s="6">
        <f t="shared" si="12"/>
        <v>82.220149253731336</v>
      </c>
      <c r="H54" s="14">
        <f t="shared" si="15"/>
        <v>822.20149253731324</v>
      </c>
      <c r="J54">
        <v>13</v>
      </c>
      <c r="K54" s="6">
        <f t="shared" si="13"/>
        <v>822.20149253731324</v>
      </c>
      <c r="L54" s="19">
        <f t="shared" si="14"/>
        <v>0</v>
      </c>
    </row>
    <row r="55" spans="2:17" x14ac:dyDescent="0.3">
      <c r="B55" t="s">
        <v>16</v>
      </c>
      <c r="C55" s="6">
        <f t="shared" si="12"/>
        <v>129.02238805970146</v>
      </c>
      <c r="D55" s="6">
        <f t="shared" si="12"/>
        <v>41.742537313432827</v>
      </c>
      <c r="E55" s="6">
        <f t="shared" si="12"/>
        <v>26.56343283582089</v>
      </c>
      <c r="F55" s="6">
        <f t="shared" si="12"/>
        <v>144.20149253731338</v>
      </c>
      <c r="G55" s="6">
        <f t="shared" si="12"/>
        <v>37.947761194029844</v>
      </c>
      <c r="H55" s="14">
        <f t="shared" si="15"/>
        <v>379.4776119402984</v>
      </c>
      <c r="J55">
        <v>6</v>
      </c>
      <c r="K55" s="6">
        <f t="shared" si="13"/>
        <v>379.4776119402984</v>
      </c>
      <c r="L55" s="19">
        <f t="shared" si="14"/>
        <v>0</v>
      </c>
    </row>
    <row r="56" spans="2:17" x14ac:dyDescent="0.3">
      <c r="B56" t="s">
        <v>17</v>
      </c>
      <c r="C56" s="6">
        <f t="shared" si="12"/>
        <v>0</v>
      </c>
      <c r="D56" s="6">
        <f t="shared" si="12"/>
        <v>0</v>
      </c>
      <c r="E56" s="6">
        <f t="shared" si="12"/>
        <v>0</v>
      </c>
      <c r="F56" s="6">
        <f t="shared" si="12"/>
        <v>0</v>
      </c>
      <c r="G56" s="6">
        <f t="shared" si="12"/>
        <v>0</v>
      </c>
      <c r="H56" s="14">
        <f t="shared" si="15"/>
        <v>0</v>
      </c>
      <c r="J56">
        <v>0</v>
      </c>
      <c r="K56" s="14">
        <f t="shared" si="13"/>
        <v>0</v>
      </c>
      <c r="L56" s="19">
        <f t="shared" si="14"/>
        <v>0</v>
      </c>
    </row>
    <row r="57" spans="2:17" x14ac:dyDescent="0.3">
      <c r="B57" t="s">
        <v>6</v>
      </c>
      <c r="C57" s="12">
        <f>SUM(C48:C56)</f>
        <v>1354.7350746268653</v>
      </c>
      <c r="D57" s="12">
        <f t="shared" ref="D57" si="16">SUM(D48:D56)</f>
        <v>438.29664179104469</v>
      </c>
      <c r="E57" s="12">
        <f t="shared" ref="E57" si="17">SUM(E48:E56)</f>
        <v>278.91604477611935</v>
      </c>
      <c r="F57" s="12">
        <f t="shared" ref="F57" si="18">SUM(F48:F56)</f>
        <v>1514.1156716417906</v>
      </c>
      <c r="G57" s="12">
        <f t="shared" ref="G57" si="19">SUM(G48:G56)</f>
        <v>398.45149253731336</v>
      </c>
      <c r="H57" s="12">
        <f t="shared" ref="H57" si="20">SUM(H48:H56)</f>
        <v>3984.5149253731342</v>
      </c>
      <c r="J57" s="45">
        <f>SUM(J48:J56)</f>
        <v>63</v>
      </c>
      <c r="K57" s="12">
        <f t="shared" ref="K57" si="21">SUM(K48:K56)</f>
        <v>3984.5149253731333</v>
      </c>
      <c r="L57" s="19"/>
    </row>
    <row r="58" spans="2:17" x14ac:dyDescent="0.3">
      <c r="B58" s="53" t="s">
        <v>223</v>
      </c>
      <c r="C58" s="173"/>
      <c r="D58" s="173"/>
      <c r="E58" s="173"/>
      <c r="F58" s="173"/>
      <c r="G58" s="173"/>
      <c r="H58" s="173"/>
      <c r="J58" s="175"/>
      <c r="L58" s="19"/>
    </row>
    <row r="59" spans="2:17" x14ac:dyDescent="0.3">
      <c r="J59" s="46"/>
    </row>
    <row r="60" spans="2:17" x14ac:dyDescent="0.3">
      <c r="B60" s="26" t="s">
        <v>85</v>
      </c>
      <c r="L60" t="s">
        <v>177</v>
      </c>
    </row>
    <row r="61" spans="2:17" ht="28.8" x14ac:dyDescent="0.3">
      <c r="C61" s="181" t="s">
        <v>210</v>
      </c>
      <c r="D61" s="181" t="s">
        <v>70</v>
      </c>
      <c r="E61" s="13" t="s">
        <v>211</v>
      </c>
      <c r="F61" s="13" t="s">
        <v>212</v>
      </c>
      <c r="G61" s="181" t="s">
        <v>93</v>
      </c>
      <c r="H61" s="13" t="s">
        <v>213</v>
      </c>
      <c r="J61" s="13" t="s">
        <v>127</v>
      </c>
      <c r="L61" s="4" t="s">
        <v>27</v>
      </c>
      <c r="M61" s="4" t="s">
        <v>28</v>
      </c>
      <c r="N61" s="4" t="s">
        <v>164</v>
      </c>
      <c r="O61" s="4" t="s">
        <v>165</v>
      </c>
      <c r="P61" s="4" t="s">
        <v>33</v>
      </c>
    </row>
    <row r="62" spans="2:17" x14ac:dyDescent="0.3">
      <c r="C62" s="177">
        <f>L62/$P$62</f>
        <v>0.16263431361700548</v>
      </c>
      <c r="D62" s="177">
        <f>M62/$P$62</f>
        <v>0.56873202221374564</v>
      </c>
      <c r="E62" s="178"/>
      <c r="F62" s="177">
        <f>N62/$P$62</f>
        <v>0.26804399225182846</v>
      </c>
      <c r="G62" s="177">
        <f>O62/$P$62</f>
        <v>5.8967191742055646E-4</v>
      </c>
      <c r="H62" s="176">
        <f>SUM(C62:G62)</f>
        <v>1.0000000000000002</v>
      </c>
      <c r="J62" s="13"/>
      <c r="L62" s="6">
        <v>157.37666855161288</v>
      </c>
      <c r="M62" s="6">
        <v>550.34604299680996</v>
      </c>
      <c r="N62" s="6">
        <v>259.37866116745636</v>
      </c>
      <c r="O62" s="6">
        <v>0.57060899288835853</v>
      </c>
      <c r="P62" s="6">
        <f>SUM(L62:O62)</f>
        <v>967.67198170876748</v>
      </c>
      <c r="Q62" s="53" t="s">
        <v>166</v>
      </c>
    </row>
    <row r="63" spans="2:17" x14ac:dyDescent="0.3">
      <c r="B63" t="s">
        <v>9</v>
      </c>
      <c r="C63" s="6">
        <f t="shared" ref="C63:C71" si="22">$J63*$M$66*$D$62</f>
        <v>226.3724459020637</v>
      </c>
      <c r="D63" s="6">
        <f t="shared" ref="D63:D71" si="23">$J63*$M$66*$C$62</f>
        <v>64.733347030085753</v>
      </c>
      <c r="E63" s="6"/>
      <c r="F63" s="6">
        <f t="shared" ref="F63:F71" si="24">$J63*$M$66*$F$62</f>
        <v>106.68956866401975</v>
      </c>
      <c r="G63" s="6">
        <f t="shared" ref="G63:G71" si="25">$J63*$M$66*$G$62</f>
        <v>0.23470715383084842</v>
      </c>
      <c r="H63" s="14">
        <f t="shared" ref="H63:H71" si="26">SUM(C63:G63)</f>
        <v>398.03006875000011</v>
      </c>
      <c r="J63">
        <v>10</v>
      </c>
    </row>
    <row r="64" spans="2:17" x14ac:dyDescent="0.3">
      <c r="B64" t="s">
        <v>10</v>
      </c>
      <c r="C64" s="6">
        <f t="shared" si="22"/>
        <v>0</v>
      </c>
      <c r="D64" s="6">
        <f t="shared" si="23"/>
        <v>0</v>
      </c>
      <c r="E64" s="6"/>
      <c r="F64" s="6">
        <f t="shared" si="24"/>
        <v>0</v>
      </c>
      <c r="G64" s="6">
        <f t="shared" si="25"/>
        <v>0</v>
      </c>
      <c r="H64" s="14">
        <f t="shared" si="26"/>
        <v>0</v>
      </c>
      <c r="P64" s="16"/>
    </row>
    <row r="65" spans="2:15" x14ac:dyDescent="0.3">
      <c r="B65" t="s">
        <v>11</v>
      </c>
      <c r="C65" s="6">
        <f t="shared" si="22"/>
        <v>0</v>
      </c>
      <c r="D65" s="6">
        <f t="shared" si="23"/>
        <v>0</v>
      </c>
      <c r="E65" s="6"/>
      <c r="F65" s="6">
        <f t="shared" si="24"/>
        <v>0</v>
      </c>
      <c r="G65" s="6">
        <f t="shared" si="25"/>
        <v>0</v>
      </c>
      <c r="H65" s="14">
        <f t="shared" si="26"/>
        <v>0</v>
      </c>
      <c r="L65" t="s">
        <v>176</v>
      </c>
    </row>
    <row r="66" spans="2:15" x14ac:dyDescent="0.3">
      <c r="B66" t="s">
        <v>12</v>
      </c>
      <c r="C66" s="6">
        <f t="shared" si="22"/>
        <v>0</v>
      </c>
      <c r="D66" s="6">
        <f t="shared" si="23"/>
        <v>0</v>
      </c>
      <c r="E66" s="6"/>
      <c r="F66" s="6">
        <f t="shared" si="24"/>
        <v>0</v>
      </c>
      <c r="G66" s="6">
        <f t="shared" si="25"/>
        <v>0</v>
      </c>
      <c r="H66" s="14">
        <f t="shared" si="26"/>
        <v>0</v>
      </c>
      <c r="L66" t="s">
        <v>32</v>
      </c>
      <c r="M66" s="39">
        <v>39.803006875000001</v>
      </c>
    </row>
    <row r="67" spans="2:15" x14ac:dyDescent="0.3">
      <c r="B67" t="s">
        <v>13</v>
      </c>
      <c r="C67" s="6">
        <f t="shared" si="22"/>
        <v>0</v>
      </c>
      <c r="D67" s="6">
        <f t="shared" si="23"/>
        <v>0</v>
      </c>
      <c r="E67" s="6"/>
      <c r="F67" s="6">
        <f t="shared" si="24"/>
        <v>0</v>
      </c>
      <c r="G67" s="6">
        <f t="shared" si="25"/>
        <v>0</v>
      </c>
      <c r="H67" s="14">
        <f t="shared" si="26"/>
        <v>0</v>
      </c>
    </row>
    <row r="68" spans="2:15" x14ac:dyDescent="0.3">
      <c r="B68" t="s">
        <v>14</v>
      </c>
      <c r="C68" s="6">
        <f t="shared" si="22"/>
        <v>22.637244590206372</v>
      </c>
      <c r="D68" s="6">
        <f t="shared" si="23"/>
        <v>6.4733347030085753</v>
      </c>
      <c r="E68" s="6"/>
      <c r="F68" s="6">
        <f t="shared" si="24"/>
        <v>10.668956866401976</v>
      </c>
      <c r="G68" s="6">
        <f t="shared" si="25"/>
        <v>2.3470715383084841E-2</v>
      </c>
      <c r="H68" s="14">
        <f t="shared" si="26"/>
        <v>39.803006875000008</v>
      </c>
      <c r="J68">
        <v>1</v>
      </c>
    </row>
    <row r="69" spans="2:15" x14ac:dyDescent="0.3">
      <c r="B69" t="s">
        <v>15</v>
      </c>
      <c r="C69" s="6">
        <f t="shared" si="22"/>
        <v>22.637244590206372</v>
      </c>
      <c r="D69" s="6">
        <f t="shared" si="23"/>
        <v>6.4733347030085753</v>
      </c>
      <c r="E69" s="6"/>
      <c r="F69" s="6">
        <f t="shared" si="24"/>
        <v>10.668956866401976</v>
      </c>
      <c r="G69" s="6">
        <f t="shared" si="25"/>
        <v>2.3470715383084841E-2</v>
      </c>
      <c r="H69" s="14">
        <f t="shared" si="26"/>
        <v>39.803006875000008</v>
      </c>
      <c r="J69">
        <v>1</v>
      </c>
    </row>
    <row r="70" spans="2:15" x14ac:dyDescent="0.3">
      <c r="B70" t="s">
        <v>16</v>
      </c>
      <c r="C70" s="6">
        <f t="shared" si="22"/>
        <v>0</v>
      </c>
      <c r="D70" s="6">
        <f t="shared" si="23"/>
        <v>0</v>
      </c>
      <c r="E70" s="6"/>
      <c r="F70" s="6">
        <f t="shared" si="24"/>
        <v>0</v>
      </c>
      <c r="G70" s="6">
        <f t="shared" si="25"/>
        <v>0</v>
      </c>
      <c r="H70" s="14">
        <f t="shared" si="26"/>
        <v>0</v>
      </c>
    </row>
    <row r="71" spans="2:15" x14ac:dyDescent="0.3">
      <c r="B71" t="s">
        <v>17</v>
      </c>
      <c r="C71" s="6">
        <f t="shared" si="22"/>
        <v>90.548978360825487</v>
      </c>
      <c r="D71" s="6">
        <f t="shared" si="23"/>
        <v>25.893338812034301</v>
      </c>
      <c r="E71" s="6"/>
      <c r="F71" s="6">
        <f t="shared" si="24"/>
        <v>42.675827465607902</v>
      </c>
      <c r="G71" s="6">
        <f t="shared" si="25"/>
        <v>9.3882861532339365E-2</v>
      </c>
      <c r="H71" s="14">
        <f t="shared" si="26"/>
        <v>159.21202750000003</v>
      </c>
      <c r="J71">
        <v>4</v>
      </c>
    </row>
    <row r="72" spans="2:15" x14ac:dyDescent="0.3">
      <c r="B72" t="s">
        <v>6</v>
      </c>
      <c r="C72" s="21">
        <f>SUM(C63:C71)</f>
        <v>362.19591344330195</v>
      </c>
      <c r="D72" s="21">
        <f t="shared" ref="D72" si="27">SUM(D63:D71)</f>
        <v>103.5733552481372</v>
      </c>
      <c r="E72" s="21">
        <f t="shared" ref="E72" si="28">SUM(E63:E71)</f>
        <v>0</v>
      </c>
      <c r="F72" s="21">
        <f t="shared" ref="F72" si="29">SUM(F63:F71)</f>
        <v>170.70330986243161</v>
      </c>
      <c r="G72" s="21">
        <f t="shared" ref="G72" si="30">SUM(G63:G71)</f>
        <v>0.37553144612935746</v>
      </c>
      <c r="H72" s="21">
        <f t="shared" ref="H72" si="31">SUM(H63:H71)</f>
        <v>636.84811000000013</v>
      </c>
      <c r="J72" s="45">
        <f>SUM(J63:J71)</f>
        <v>16</v>
      </c>
    </row>
    <row r="73" spans="2:15" x14ac:dyDescent="0.3">
      <c r="B73" s="186" t="s">
        <v>222</v>
      </c>
      <c r="C73" s="46"/>
      <c r="D73" s="46"/>
    </row>
    <row r="75" spans="2:15" x14ac:dyDescent="0.3">
      <c r="B75" s="26" t="s">
        <v>183</v>
      </c>
      <c r="J75" s="226" t="s">
        <v>127</v>
      </c>
      <c r="K75" s="226"/>
    </row>
    <row r="76" spans="2:15" ht="28.8" x14ac:dyDescent="0.3">
      <c r="C76" s="181" t="s">
        <v>210</v>
      </c>
      <c r="D76" s="181" t="s">
        <v>70</v>
      </c>
      <c r="E76" s="13" t="s">
        <v>211</v>
      </c>
      <c r="F76" s="13" t="s">
        <v>212</v>
      </c>
      <c r="G76" s="181" t="s">
        <v>93</v>
      </c>
      <c r="H76" s="13" t="s">
        <v>213</v>
      </c>
      <c r="J76" s="4" t="s">
        <v>34</v>
      </c>
      <c r="K76" s="4" t="s">
        <v>35</v>
      </c>
      <c r="M76" t="s">
        <v>230</v>
      </c>
    </row>
    <row r="77" spans="2:15" x14ac:dyDescent="0.3">
      <c r="B77" t="s">
        <v>9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f t="shared" ref="H77:H85" si="32">SUM(C77:G77)</f>
        <v>0</v>
      </c>
      <c r="M77" t="s">
        <v>226</v>
      </c>
      <c r="O77" s="39">
        <v>46.975999999999999</v>
      </c>
    </row>
    <row r="78" spans="2:15" x14ac:dyDescent="0.3">
      <c r="B78" t="s">
        <v>10</v>
      </c>
      <c r="C78" s="6">
        <v>14.418333333333335</v>
      </c>
      <c r="D78" s="6">
        <v>15.927</v>
      </c>
      <c r="E78" s="6">
        <v>0</v>
      </c>
      <c r="F78" s="6">
        <v>16.630416666666669</v>
      </c>
      <c r="G78" s="6">
        <v>0</v>
      </c>
      <c r="H78" s="6">
        <f t="shared" si="32"/>
        <v>46.975750000000005</v>
      </c>
      <c r="J78">
        <v>1</v>
      </c>
      <c r="M78" t="s">
        <v>227</v>
      </c>
      <c r="O78" s="39">
        <v>339.94</v>
      </c>
    </row>
    <row r="79" spans="2:15" x14ac:dyDescent="0.3">
      <c r="B79" t="s">
        <v>11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f t="shared" si="32"/>
        <v>0</v>
      </c>
    </row>
    <row r="80" spans="2:15" x14ac:dyDescent="0.3">
      <c r="B80" t="s">
        <v>12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2"/>
        <v>0</v>
      </c>
    </row>
    <row r="81" spans="2:13" x14ac:dyDescent="0.3">
      <c r="B81" t="s">
        <v>13</v>
      </c>
      <c r="C81" s="6">
        <v>43.255000000000003</v>
      </c>
      <c r="D81" s="6">
        <v>47.780999999999999</v>
      </c>
      <c r="E81" s="6">
        <v>0</v>
      </c>
      <c r="F81" s="6">
        <v>49.891249999999999</v>
      </c>
      <c r="G81" s="6">
        <v>0</v>
      </c>
      <c r="H81" s="6">
        <f t="shared" si="32"/>
        <v>140.92725000000002</v>
      </c>
      <c r="J81">
        <v>3</v>
      </c>
      <c r="M81" s="11"/>
    </row>
    <row r="82" spans="2:13" x14ac:dyDescent="0.3">
      <c r="B82" t="s">
        <v>14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f t="shared" si="32"/>
        <v>0</v>
      </c>
    </row>
    <row r="83" spans="2:13" x14ac:dyDescent="0.3">
      <c r="B83" t="s">
        <v>15</v>
      </c>
      <c r="C83" s="6">
        <v>198.24377333333334</v>
      </c>
      <c r="D83" s="6">
        <v>155.75800000000001</v>
      </c>
      <c r="E83" s="6">
        <v>0</v>
      </c>
      <c r="F83" s="6">
        <v>32.914166666666674</v>
      </c>
      <c r="G83" s="6">
        <v>0</v>
      </c>
      <c r="H83" s="6">
        <f t="shared" si="32"/>
        <v>386.91594000000003</v>
      </c>
      <c r="J83">
        <v>1</v>
      </c>
      <c r="K83">
        <v>1</v>
      </c>
      <c r="M83" s="11"/>
    </row>
    <row r="84" spans="2:13" x14ac:dyDescent="0.3">
      <c r="B84" t="s">
        <v>16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f t="shared" si="32"/>
        <v>0</v>
      </c>
    </row>
    <row r="85" spans="2:13" x14ac:dyDescent="0.3">
      <c r="B85" t="s">
        <v>17</v>
      </c>
      <c r="C85" s="6">
        <v>198.24377333333334</v>
      </c>
      <c r="D85" s="6">
        <v>155.75800000000001</v>
      </c>
      <c r="E85" s="6">
        <v>0</v>
      </c>
      <c r="F85" s="6">
        <v>32.914166666666674</v>
      </c>
      <c r="G85" s="6">
        <v>0</v>
      </c>
      <c r="H85" s="6">
        <f t="shared" si="32"/>
        <v>386.91594000000003</v>
      </c>
      <c r="J85">
        <v>1</v>
      </c>
      <c r="K85">
        <v>1</v>
      </c>
    </row>
    <row r="86" spans="2:13" x14ac:dyDescent="0.3">
      <c r="B86" t="s">
        <v>6</v>
      </c>
      <c r="C86" s="21">
        <f>SUM(C77:C85)</f>
        <v>454.16088000000002</v>
      </c>
      <c r="D86" s="21">
        <f t="shared" ref="D86" si="33">SUM(D77:D85)</f>
        <v>375.22400000000005</v>
      </c>
      <c r="E86" s="21">
        <f t="shared" ref="E86" si="34">SUM(E77:E85)</f>
        <v>0</v>
      </c>
      <c r="F86" s="21">
        <f t="shared" ref="F86" si="35">SUM(F77:F85)</f>
        <v>132.35000000000002</v>
      </c>
      <c r="G86" s="21">
        <f t="shared" ref="G86" si="36">SUM(G77:G85)</f>
        <v>0</v>
      </c>
      <c r="H86" s="21">
        <f t="shared" ref="H86" si="37">SUM(H77:H85)</f>
        <v>961.7348800000002</v>
      </c>
      <c r="J86" s="45">
        <f>SUM(J77:J85)</f>
        <v>6</v>
      </c>
      <c r="K86" s="45">
        <f>SUM(K77:K85)</f>
        <v>2</v>
      </c>
    </row>
    <row r="87" spans="2:13" x14ac:dyDescent="0.3">
      <c r="B87" s="53" t="s">
        <v>181</v>
      </c>
    </row>
    <row r="89" spans="2:13" x14ac:dyDescent="0.3">
      <c r="B89" s="26" t="s">
        <v>86</v>
      </c>
    </row>
    <row r="90" spans="2:13" ht="28.8" x14ac:dyDescent="0.3">
      <c r="C90" s="181" t="s">
        <v>210</v>
      </c>
      <c r="D90" s="181" t="s">
        <v>70</v>
      </c>
      <c r="E90" s="13" t="s">
        <v>211</v>
      </c>
      <c r="F90" s="13" t="s">
        <v>212</v>
      </c>
      <c r="G90" s="181" t="s">
        <v>93</v>
      </c>
      <c r="H90" s="13" t="s">
        <v>213</v>
      </c>
      <c r="J90" t="s">
        <v>36</v>
      </c>
      <c r="K90" s="4"/>
      <c r="L90" t="s">
        <v>167</v>
      </c>
    </row>
    <row r="91" spans="2:13" x14ac:dyDescent="0.3">
      <c r="B91" t="s">
        <v>9</v>
      </c>
      <c r="C91" s="6">
        <f>$M$91*$J91</f>
        <v>384.14478564677762</v>
      </c>
      <c r="D91" s="6">
        <f>M$92*$J91</f>
        <v>125.22568644095672</v>
      </c>
      <c r="E91" s="6">
        <f>$J91*M$93</f>
        <v>90.270823729148063</v>
      </c>
      <c r="F91" s="6">
        <f>$J91*M$94</f>
        <v>494.05665730840087</v>
      </c>
      <c r="G91" s="6">
        <f>$J91*M$95</f>
        <v>86.683318255625636</v>
      </c>
      <c r="H91" s="6">
        <f t="shared" ref="H91:H99" si="38">SUM(C91:G91)</f>
        <v>1180.3812713809089</v>
      </c>
      <c r="J91">
        <v>1</v>
      </c>
      <c r="K91" s="39"/>
      <c r="L91" t="s">
        <v>22</v>
      </c>
      <c r="M91" s="6">
        <v>384.14478564677762</v>
      </c>
    </row>
    <row r="92" spans="2:13" x14ac:dyDescent="0.3">
      <c r="B92" t="s">
        <v>10</v>
      </c>
      <c r="C92" s="6">
        <f>$M$91*$J92</f>
        <v>1152.4343569403329</v>
      </c>
      <c r="D92" s="6">
        <f>M$92*$J92</f>
        <v>375.67705932287015</v>
      </c>
      <c r="E92" s="6">
        <f>$J92*M$93</f>
        <v>270.8124711874442</v>
      </c>
      <c r="F92" s="6">
        <f>$J92*M$94</f>
        <v>1482.1699719252026</v>
      </c>
      <c r="G92" s="6">
        <f>$J92*M$95</f>
        <v>260.04995476687691</v>
      </c>
      <c r="H92" s="6">
        <f t="shared" si="38"/>
        <v>3541.143814142727</v>
      </c>
      <c r="J92">
        <v>3</v>
      </c>
      <c r="K92" s="39"/>
      <c r="L92" t="s">
        <v>23</v>
      </c>
      <c r="M92" s="6">
        <v>125.22568644095672</v>
      </c>
    </row>
    <row r="93" spans="2:13" x14ac:dyDescent="0.3">
      <c r="B93" t="s">
        <v>11</v>
      </c>
      <c r="C93" s="6">
        <f>$M$91*$J93</f>
        <v>768.28957129355524</v>
      </c>
      <c r="D93" s="6">
        <f>M$92*$J93</f>
        <v>250.45137288191344</v>
      </c>
      <c r="E93" s="6">
        <f>$J93*M$93</f>
        <v>180.54164745829613</v>
      </c>
      <c r="F93" s="6">
        <f>$J93*M$94</f>
        <v>988.11331461680174</v>
      </c>
      <c r="G93" s="6">
        <f>$J93*M$95</f>
        <v>173.36663651125127</v>
      </c>
      <c r="H93" s="6">
        <f t="shared" si="38"/>
        <v>2360.7625427618177</v>
      </c>
      <c r="J93">
        <v>2</v>
      </c>
      <c r="K93" s="39"/>
      <c r="L93" t="s">
        <v>72</v>
      </c>
      <c r="M93" s="6">
        <v>90.270823729148063</v>
      </c>
    </row>
    <row r="94" spans="2:13" x14ac:dyDescent="0.3">
      <c r="B94" t="s">
        <v>12</v>
      </c>
      <c r="C94" s="6"/>
      <c r="D94" s="6"/>
      <c r="E94" s="6"/>
      <c r="F94" s="6"/>
      <c r="G94" s="6"/>
      <c r="H94" s="6">
        <f t="shared" si="38"/>
        <v>0</v>
      </c>
      <c r="K94" s="39"/>
      <c r="L94" t="s">
        <v>73</v>
      </c>
      <c r="M94" s="6">
        <v>494.05665730840087</v>
      </c>
    </row>
    <row r="95" spans="2:13" x14ac:dyDescent="0.3">
      <c r="B95" t="s">
        <v>13</v>
      </c>
      <c r="C95" s="6">
        <f>$M$91*$J95</f>
        <v>768.28957129355524</v>
      </c>
      <c r="D95" s="6">
        <f>M$92*$J95</f>
        <v>250.45137288191344</v>
      </c>
      <c r="E95" s="6">
        <f>$J95*M$93</f>
        <v>180.54164745829613</v>
      </c>
      <c r="F95" s="6">
        <f>$J95*M$94</f>
        <v>988.11331461680174</v>
      </c>
      <c r="G95" s="6">
        <f>$J95*M$95</f>
        <v>173.36663651125127</v>
      </c>
      <c r="H95" s="6">
        <f t="shared" si="38"/>
        <v>2360.7625427618177</v>
      </c>
      <c r="J95">
        <v>2</v>
      </c>
      <c r="K95" s="39"/>
      <c r="L95" t="s">
        <v>24</v>
      </c>
      <c r="M95" s="40">
        <v>86.683318255625636</v>
      </c>
    </row>
    <row r="96" spans="2:13" x14ac:dyDescent="0.3">
      <c r="B96" t="s">
        <v>14</v>
      </c>
      <c r="C96" s="6">
        <f>$M$91*$J96</f>
        <v>768.28957129355524</v>
      </c>
      <c r="D96" s="6">
        <f>M$92*$J96</f>
        <v>250.45137288191344</v>
      </c>
      <c r="E96" s="6">
        <f>$J96*M$93</f>
        <v>180.54164745829613</v>
      </c>
      <c r="F96" s="6">
        <f>$J96*M$94</f>
        <v>988.11331461680174</v>
      </c>
      <c r="G96" s="6">
        <f>$J96*M$95</f>
        <v>173.36663651125127</v>
      </c>
      <c r="H96" s="6">
        <f t="shared" si="38"/>
        <v>2360.7625427618177</v>
      </c>
      <c r="J96">
        <v>2</v>
      </c>
      <c r="K96" s="39"/>
      <c r="L96" t="s">
        <v>6</v>
      </c>
      <c r="M96" s="39">
        <f>SUM(M91:M95)</f>
        <v>1180.3812713809089</v>
      </c>
    </row>
    <row r="97" spans="2:12" x14ac:dyDescent="0.3">
      <c r="B97" t="s">
        <v>15</v>
      </c>
      <c r="C97" s="6">
        <f>$M$91*$J97</f>
        <v>384.14478564677762</v>
      </c>
      <c r="D97" s="6">
        <f>M$92*$J97</f>
        <v>125.22568644095672</v>
      </c>
      <c r="E97" s="6">
        <f>$J97*M$93</f>
        <v>90.270823729148063</v>
      </c>
      <c r="F97" s="6">
        <f>$J97*M$94</f>
        <v>494.05665730840087</v>
      </c>
      <c r="G97" s="6">
        <f>$J97*M$95</f>
        <v>86.683318255625636</v>
      </c>
      <c r="H97" s="6">
        <f t="shared" si="38"/>
        <v>1180.3812713809089</v>
      </c>
      <c r="J97">
        <v>1</v>
      </c>
      <c r="K97" s="39"/>
      <c r="L97" s="180" t="s">
        <v>220</v>
      </c>
    </row>
    <row r="98" spans="2:12" x14ac:dyDescent="0.3">
      <c r="B98" t="s">
        <v>16</v>
      </c>
      <c r="C98" s="6"/>
      <c r="D98" s="6"/>
      <c r="E98" s="6"/>
      <c r="F98" s="6"/>
      <c r="G98" s="6"/>
      <c r="H98" s="6">
        <f t="shared" si="38"/>
        <v>0</v>
      </c>
      <c r="K98" s="39"/>
      <c r="L98" s="22"/>
    </row>
    <row r="99" spans="2:12" x14ac:dyDescent="0.3">
      <c r="B99" t="s">
        <v>17</v>
      </c>
      <c r="C99" s="6">
        <f>$M$91*$J99</f>
        <v>384.14478564677762</v>
      </c>
      <c r="D99" s="6">
        <f>M$92*$J99</f>
        <v>125.22568644095672</v>
      </c>
      <c r="E99" s="6">
        <f>$J99*M$93</f>
        <v>90.270823729148063</v>
      </c>
      <c r="F99" s="6">
        <f>$J99*M$94</f>
        <v>494.05665730840087</v>
      </c>
      <c r="G99" s="6">
        <f>$J99*M$95</f>
        <v>86.683318255625636</v>
      </c>
      <c r="H99" s="6">
        <f t="shared" si="38"/>
        <v>1180.3812713809089</v>
      </c>
      <c r="J99" s="43">
        <v>1</v>
      </c>
      <c r="K99" s="39"/>
      <c r="L99" s="22"/>
    </row>
    <row r="100" spans="2:12" x14ac:dyDescent="0.3">
      <c r="B100" t="s">
        <v>6</v>
      </c>
      <c r="C100" s="21">
        <f>SUM(C91:C99)</f>
        <v>4609.7374277613317</v>
      </c>
      <c r="D100" s="21">
        <f t="shared" ref="D100" si="39">SUM(D91:D99)</f>
        <v>1502.7082372914806</v>
      </c>
      <c r="E100" s="21">
        <f t="shared" ref="E100" si="40">SUM(E91:E99)</f>
        <v>1083.2498847497768</v>
      </c>
      <c r="F100" s="21">
        <f t="shared" ref="F100" si="41">SUM(F91:F99)</f>
        <v>5928.6798877008096</v>
      </c>
      <c r="G100" s="21">
        <f t="shared" ref="G100" si="42">SUM(G91:G99)</f>
        <v>1040.1998190675076</v>
      </c>
      <c r="H100" s="21">
        <f t="shared" ref="H100" si="43">SUM(H91:H99)</f>
        <v>14164.575256570908</v>
      </c>
      <c r="J100" s="45">
        <f>SUM(J91:J99)</f>
        <v>12</v>
      </c>
    </row>
    <row r="101" spans="2:12" x14ac:dyDescent="0.3">
      <c r="C101" s="174"/>
      <c r="D101" s="174"/>
      <c r="E101" s="174"/>
      <c r="F101" s="174"/>
      <c r="G101" s="174"/>
      <c r="H101" s="174"/>
      <c r="J101" s="175"/>
    </row>
    <row r="103" spans="2:12" x14ac:dyDescent="0.3">
      <c r="B103" s="26" t="s">
        <v>233</v>
      </c>
    </row>
    <row r="104" spans="2:12" ht="28.8" x14ac:dyDescent="0.3">
      <c r="C104" s="181" t="s">
        <v>210</v>
      </c>
      <c r="D104" s="181" t="s">
        <v>70</v>
      </c>
      <c r="E104" s="13" t="s">
        <v>211</v>
      </c>
      <c r="F104" s="13" t="s">
        <v>212</v>
      </c>
      <c r="G104" s="181" t="s">
        <v>93</v>
      </c>
      <c r="H104" s="13" t="s">
        <v>213</v>
      </c>
    </row>
    <row r="105" spans="2:12" x14ac:dyDescent="0.3">
      <c r="B105" t="s">
        <v>190</v>
      </c>
      <c r="C105" s="6">
        <v>4797.5069999999996</v>
      </c>
      <c r="D105" s="6">
        <v>853.69</v>
      </c>
      <c r="E105" s="6">
        <v>300</v>
      </c>
      <c r="F105" s="6">
        <v>1355.9359999999999</v>
      </c>
      <c r="G105" s="6">
        <v>609.63677500000006</v>
      </c>
      <c r="H105" s="6">
        <f>SUM(C105:G105)</f>
        <v>7916.7697749999998</v>
      </c>
      <c r="I105" s="196" t="s">
        <v>221</v>
      </c>
    </row>
    <row r="106" spans="2:12" x14ac:dyDescent="0.3">
      <c r="B106" t="s">
        <v>153</v>
      </c>
      <c r="C106" s="39">
        <v>595.03</v>
      </c>
      <c r="D106" s="39">
        <v>0</v>
      </c>
      <c r="E106" s="39">
        <v>0</v>
      </c>
      <c r="F106" s="39">
        <v>0</v>
      </c>
      <c r="G106" s="39">
        <v>0</v>
      </c>
      <c r="H106" s="6">
        <f>SUM(C106:G106)</f>
        <v>595.03</v>
      </c>
      <c r="I106" s="197" t="s">
        <v>234</v>
      </c>
    </row>
    <row r="107" spans="2:12" x14ac:dyDescent="0.3">
      <c r="B107" t="s">
        <v>192</v>
      </c>
      <c r="C107" s="39">
        <v>0</v>
      </c>
      <c r="D107" s="39">
        <v>316.60000000000002</v>
      </c>
      <c r="E107" s="39">
        <v>0</v>
      </c>
      <c r="F107" s="39">
        <v>160</v>
      </c>
      <c r="G107" s="39">
        <v>0</v>
      </c>
      <c r="H107" s="6">
        <f>SUM(C107:G107)</f>
        <v>476.6</v>
      </c>
      <c r="I107" s="197" t="s">
        <v>234</v>
      </c>
    </row>
    <row r="108" spans="2:12" x14ac:dyDescent="0.3">
      <c r="B108" t="s">
        <v>6</v>
      </c>
      <c r="C108" s="21">
        <f>SUM(C105:C107)</f>
        <v>5392.5369999999994</v>
      </c>
      <c r="D108" s="21">
        <f t="shared" ref="D108:H108" si="44">SUM(D105:D107)</f>
        <v>1170.29</v>
      </c>
      <c r="E108" s="21">
        <f t="shared" si="44"/>
        <v>300</v>
      </c>
      <c r="F108" s="21">
        <f t="shared" si="44"/>
        <v>1515.9359999999999</v>
      </c>
      <c r="G108" s="21">
        <f t="shared" si="44"/>
        <v>609.63677500000006</v>
      </c>
      <c r="H108" s="21">
        <f t="shared" si="44"/>
        <v>8988.3997749999999</v>
      </c>
    </row>
    <row r="110" spans="2:12" x14ac:dyDescent="0.3">
      <c r="B110" s="26" t="s">
        <v>87</v>
      </c>
    </row>
    <row r="111" spans="2:12" ht="28.8" x14ac:dyDescent="0.3">
      <c r="C111" s="181" t="s">
        <v>210</v>
      </c>
      <c r="D111" s="181" t="s">
        <v>70</v>
      </c>
      <c r="E111" s="13" t="s">
        <v>211</v>
      </c>
      <c r="F111" s="13" t="s">
        <v>212</v>
      </c>
      <c r="G111" s="181" t="s">
        <v>93</v>
      </c>
      <c r="H111" s="13" t="s">
        <v>213</v>
      </c>
      <c r="J111" s="13"/>
    </row>
    <row r="112" spans="2:12" x14ac:dyDescent="0.3">
      <c r="B112" t="s">
        <v>9</v>
      </c>
      <c r="C112" s="6">
        <f t="shared" ref="C112:H120" si="45">C91+C77+C63+C48+C33+C19+C5</f>
        <v>4329.5567731256451</v>
      </c>
      <c r="D112" s="6">
        <f t="shared" si="45"/>
        <v>1183.7149556239829</v>
      </c>
      <c r="E112" s="6">
        <f t="shared" si="45"/>
        <v>416.55477895302863</v>
      </c>
      <c r="F112" s="6">
        <f t="shared" si="45"/>
        <v>1768.0140536566296</v>
      </c>
      <c r="G112" s="6">
        <f t="shared" si="45"/>
        <v>511.61614525382049</v>
      </c>
      <c r="H112" s="6">
        <f t="shared" si="45"/>
        <v>8209.4567066131076</v>
      </c>
      <c r="J112" s="6"/>
    </row>
    <row r="113" spans="2:10" x14ac:dyDescent="0.3">
      <c r="B113" t="s">
        <v>10</v>
      </c>
      <c r="C113" s="6">
        <f t="shared" si="45"/>
        <v>5403.3823687195172</v>
      </c>
      <c r="D113" s="6">
        <f t="shared" si="45"/>
        <v>1463.9094560204676</v>
      </c>
      <c r="E113" s="6">
        <f t="shared" si="45"/>
        <v>675.85590402326511</v>
      </c>
      <c r="F113" s="6">
        <f t="shared" si="45"/>
        <v>2863.4216207911827</v>
      </c>
      <c r="G113" s="6">
        <f t="shared" si="45"/>
        <v>819.48164246483543</v>
      </c>
      <c r="H113" s="6">
        <f t="shared" si="45"/>
        <v>11226.050992019267</v>
      </c>
      <c r="J113" s="6"/>
    </row>
    <row r="114" spans="2:10" x14ac:dyDescent="0.3">
      <c r="B114" t="s">
        <v>11</v>
      </c>
      <c r="C114" s="6">
        <f t="shared" si="45"/>
        <v>3344.751939930361</v>
      </c>
      <c r="D114" s="6">
        <f t="shared" si="45"/>
        <v>924.47104049244649</v>
      </c>
      <c r="E114" s="6">
        <f t="shared" si="45"/>
        <v>529.60888626426629</v>
      </c>
      <c r="F114" s="6">
        <f t="shared" si="45"/>
        <v>2105.1714424463539</v>
      </c>
      <c r="G114" s="6">
        <f t="shared" si="45"/>
        <v>565.85417259857616</v>
      </c>
      <c r="H114" s="6">
        <f t="shared" si="45"/>
        <v>7469.8574817320041</v>
      </c>
      <c r="J114" s="6"/>
    </row>
    <row r="115" spans="2:10" x14ac:dyDescent="0.3">
      <c r="B115" t="s">
        <v>12</v>
      </c>
      <c r="C115" s="6">
        <f t="shared" si="45"/>
        <v>4963.2012651801388</v>
      </c>
      <c r="D115" s="6">
        <f t="shared" si="45"/>
        <v>860.30590259159294</v>
      </c>
      <c r="E115" s="6">
        <f t="shared" si="45"/>
        <v>525.04343283582091</v>
      </c>
      <c r="F115" s="6">
        <f t="shared" si="45"/>
        <v>1706.9728487843131</v>
      </c>
      <c r="G115" s="6">
        <f t="shared" si="45"/>
        <v>614.85501922698438</v>
      </c>
      <c r="H115" s="6">
        <f t="shared" si="45"/>
        <v>8670.3784686188501</v>
      </c>
      <c r="J115" s="6"/>
    </row>
    <row r="116" spans="2:10" x14ac:dyDescent="0.3">
      <c r="B116" t="s">
        <v>13</v>
      </c>
      <c r="C116" s="6">
        <f t="shared" si="45"/>
        <v>10768.20483799441</v>
      </c>
      <c r="D116" s="6">
        <f t="shared" si="45"/>
        <v>1998.0093759980223</v>
      </c>
      <c r="E116" s="6">
        <f t="shared" si="45"/>
        <v>822.91955790605732</v>
      </c>
      <c r="F116" s="6">
        <f t="shared" si="45"/>
        <v>3261.7560881622194</v>
      </c>
      <c r="G116" s="6">
        <f t="shared" si="45"/>
        <v>1314.364188344121</v>
      </c>
      <c r="H116" s="6">
        <f t="shared" si="45"/>
        <v>18165.25404840483</v>
      </c>
      <c r="J116" s="6"/>
    </row>
    <row r="117" spans="2:10" x14ac:dyDescent="0.3">
      <c r="B117" t="s">
        <v>14</v>
      </c>
      <c r="C117" s="6">
        <f t="shared" si="45"/>
        <v>9658.2857019762523</v>
      </c>
      <c r="D117" s="6">
        <f t="shared" si="45"/>
        <v>2193.9989709583465</v>
      </c>
      <c r="E117" s="6">
        <f t="shared" si="45"/>
        <v>917.77918477172898</v>
      </c>
      <c r="F117" s="6">
        <f t="shared" si="45"/>
        <v>3834.3035624496961</v>
      </c>
      <c r="G117" s="6">
        <f t="shared" si="45"/>
        <v>1329.0407452267618</v>
      </c>
      <c r="H117" s="6">
        <f t="shared" si="45"/>
        <v>17933.408165382785</v>
      </c>
      <c r="J117" s="6"/>
    </row>
    <row r="118" spans="2:10" x14ac:dyDescent="0.3">
      <c r="B118" t="s">
        <v>15</v>
      </c>
      <c r="C118" s="6">
        <f t="shared" si="45"/>
        <v>5738.3863887527914</v>
      </c>
      <c r="D118" s="6">
        <f t="shared" si="45"/>
        <v>1746.949495470597</v>
      </c>
      <c r="E118" s="6">
        <f t="shared" si="45"/>
        <v>659.42492820676</v>
      </c>
      <c r="F118" s="6">
        <f t="shared" si="45"/>
        <v>1863.659020424649</v>
      </c>
      <c r="G118" s="6">
        <f t="shared" si="45"/>
        <v>877.4523170730107</v>
      </c>
      <c r="H118" s="6">
        <f t="shared" si="45"/>
        <v>10885.872149927807</v>
      </c>
      <c r="J118" s="6"/>
    </row>
    <row r="119" spans="2:10" x14ac:dyDescent="0.3">
      <c r="B119" t="s">
        <v>16</v>
      </c>
      <c r="C119" s="6">
        <f t="shared" si="45"/>
        <v>3342.4904949344555</v>
      </c>
      <c r="D119" s="6">
        <f t="shared" si="45"/>
        <v>851.24494492450549</v>
      </c>
      <c r="E119" s="6">
        <f t="shared" si="45"/>
        <v>377.3634328358209</v>
      </c>
      <c r="F119" s="6">
        <f t="shared" si="45"/>
        <v>978.76352398331346</v>
      </c>
      <c r="G119" s="6">
        <f t="shared" si="45"/>
        <v>428.60540720288964</v>
      </c>
      <c r="H119" s="6">
        <f t="shared" si="45"/>
        <v>5978.4678038809852</v>
      </c>
      <c r="J119" s="6"/>
    </row>
    <row r="120" spans="2:10" x14ac:dyDescent="0.3">
      <c r="B120" t="s">
        <v>17</v>
      </c>
      <c r="C120" s="6">
        <f t="shared" si="45"/>
        <v>2881.1511892298513</v>
      </c>
      <c r="D120" s="6">
        <f t="shared" si="45"/>
        <v>1211.5678761007011</v>
      </c>
      <c r="E120" s="6">
        <f t="shared" si="45"/>
        <v>448.75082372914807</v>
      </c>
      <c r="F120" s="6">
        <f t="shared" si="45"/>
        <v>1902.4494827936755</v>
      </c>
      <c r="G120" s="6">
        <f t="shared" si="45"/>
        <v>581.68619843494662</v>
      </c>
      <c r="H120" s="6">
        <f t="shared" si="45"/>
        <v>7025.6055702883223</v>
      </c>
      <c r="J120" s="6"/>
    </row>
    <row r="121" spans="2:10" x14ac:dyDescent="0.3">
      <c r="B121" t="s">
        <v>193</v>
      </c>
      <c r="C121" s="6">
        <f>C108</f>
        <v>5392.5369999999994</v>
      </c>
      <c r="D121" s="6">
        <f t="shared" ref="D121:H121" si="46">D108</f>
        <v>1170.29</v>
      </c>
      <c r="E121" s="6">
        <f t="shared" si="46"/>
        <v>300</v>
      </c>
      <c r="F121" s="6">
        <f t="shared" si="46"/>
        <v>1515.9359999999999</v>
      </c>
      <c r="G121" s="6">
        <f t="shared" si="46"/>
        <v>609.63677500000006</v>
      </c>
      <c r="H121" s="6">
        <f t="shared" si="46"/>
        <v>8988.3997749999999</v>
      </c>
      <c r="I121" s="6"/>
    </row>
    <row r="122" spans="2:10" ht="15" thickBot="1" x14ac:dyDescent="0.35">
      <c r="B122" t="s">
        <v>6</v>
      </c>
      <c r="C122" s="55">
        <f>SUM(C112:C121)</f>
        <v>55821.947959843419</v>
      </c>
      <c r="D122" s="55">
        <f t="shared" ref="D122:H122" si="47">SUM(D112:D121)</f>
        <v>13604.46201818066</v>
      </c>
      <c r="E122" s="55">
        <f t="shared" si="47"/>
        <v>5673.3009295258962</v>
      </c>
      <c r="F122" s="55">
        <f t="shared" si="47"/>
        <v>21800.447643492036</v>
      </c>
      <c r="G122" s="55">
        <f t="shared" si="47"/>
        <v>7652.5926108259473</v>
      </c>
      <c r="H122" s="55">
        <f t="shared" si="47"/>
        <v>104552.75116186794</v>
      </c>
    </row>
    <row r="123" spans="2:10" x14ac:dyDescent="0.3">
      <c r="B123" s="220" t="s">
        <v>83</v>
      </c>
      <c r="C123" s="217">
        <f>C122-C108-C100-C86-C72-C57-C42-C28-C14</f>
        <v>0</v>
      </c>
      <c r="D123" s="217">
        <f t="shared" ref="D123:H123" si="48">D122-D108-D100-D86-D72-D57-D42-D28-D14</f>
        <v>0</v>
      </c>
      <c r="E123" s="217">
        <f t="shared" si="48"/>
        <v>0</v>
      </c>
      <c r="F123" s="217">
        <f t="shared" si="48"/>
        <v>0</v>
      </c>
      <c r="G123" s="217">
        <f t="shared" si="48"/>
        <v>0</v>
      </c>
      <c r="H123" s="217">
        <f t="shared" si="48"/>
        <v>0</v>
      </c>
      <c r="J123" s="19"/>
    </row>
  </sheetData>
  <mergeCells count="1">
    <mergeCell ref="J75:K7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388"/>
  <sheetViews>
    <sheetView zoomScale="85" zoomScaleNormal="85" workbookViewId="0">
      <pane xSplit="5" ySplit="4" topLeftCell="I5" activePane="bottomRight" state="frozen"/>
      <selection pane="topRight" activeCell="F1" sqref="F1"/>
      <selection pane="bottomLeft" activeCell="A5" sqref="A5"/>
      <selection pane="bottomRight" activeCell="J12" sqref="J12"/>
    </sheetView>
  </sheetViews>
  <sheetFormatPr defaultRowHeight="14.4" outlineLevelRow="1" outlineLevelCol="1" x14ac:dyDescent="0.3"/>
  <cols>
    <col min="1" max="1" width="4.109375" customWidth="1"/>
    <col min="2" max="2" width="19" customWidth="1"/>
    <col min="3" max="3" width="11.5546875" customWidth="1"/>
    <col min="4" max="4" width="11.33203125" customWidth="1"/>
    <col min="5" max="5" width="10.88671875" customWidth="1"/>
    <col min="6" max="6" width="17.44140625" hidden="1" customWidth="1" outlineLevel="1"/>
    <col min="7" max="7" width="34.109375" hidden="1" customWidth="1" outlineLevel="1"/>
    <col min="8" max="8" width="29" hidden="1" customWidth="1" outlineLevel="1"/>
    <col min="9" max="9" width="8.88671875" collapsed="1"/>
    <col min="10" max="10" width="10.33203125" customWidth="1"/>
    <col min="11" max="11" width="9.6640625" customWidth="1"/>
    <col min="13" max="13" width="10.109375" customWidth="1"/>
    <col min="14" max="14" width="2.88671875" customWidth="1"/>
    <col min="20" max="20" width="3.109375" customWidth="1"/>
    <col min="22" max="22" width="10.33203125" customWidth="1"/>
    <col min="23" max="23" width="9.5546875" customWidth="1"/>
    <col min="26" max="26" width="2.6640625" customWidth="1"/>
    <col min="32" max="32" width="3.33203125" customWidth="1"/>
    <col min="34" max="35" width="9.6640625" customWidth="1"/>
    <col min="38" max="38" width="2.109375" customWidth="1"/>
    <col min="39" max="39" width="11.44140625" customWidth="1"/>
    <col min="40" max="40" width="9.44140625" customWidth="1"/>
    <col min="41" max="41" width="9.33203125" bestFit="1" customWidth="1"/>
  </cols>
  <sheetData>
    <row r="1" spans="2:55" ht="15.6" x14ac:dyDescent="0.3">
      <c r="B1" s="135" t="s">
        <v>179</v>
      </c>
      <c r="C1" s="3"/>
      <c r="D1" s="3"/>
    </row>
    <row r="3" spans="2:55" ht="26.4" customHeight="1" x14ac:dyDescent="0.3">
      <c r="B3" s="7" t="s">
        <v>20</v>
      </c>
      <c r="C3" s="7" t="s">
        <v>7</v>
      </c>
      <c r="D3" s="10" t="s">
        <v>21</v>
      </c>
      <c r="E3" s="7" t="s">
        <v>19</v>
      </c>
      <c r="F3" s="7"/>
      <c r="G3" s="7"/>
      <c r="H3" s="7"/>
      <c r="I3" s="227" t="s">
        <v>0</v>
      </c>
      <c r="J3" s="228"/>
      <c r="K3" s="228"/>
      <c r="L3" s="228"/>
      <c r="M3" s="229"/>
      <c r="O3" s="227" t="s">
        <v>1</v>
      </c>
      <c r="P3" s="228"/>
      <c r="Q3" s="228"/>
      <c r="R3" s="228"/>
      <c r="S3" s="229"/>
      <c r="T3" s="1"/>
      <c r="U3" s="227" t="s">
        <v>2</v>
      </c>
      <c r="V3" s="228"/>
      <c r="W3" s="228"/>
      <c r="X3" s="228"/>
      <c r="Y3" s="229"/>
      <c r="Z3" s="1"/>
      <c r="AA3" s="227" t="s">
        <v>3</v>
      </c>
      <c r="AB3" s="228"/>
      <c r="AC3" s="228"/>
      <c r="AD3" s="228"/>
      <c r="AE3" s="229"/>
      <c r="AF3" s="2"/>
      <c r="AG3" s="230" t="s">
        <v>4</v>
      </c>
      <c r="AH3" s="230"/>
      <c r="AI3" s="230"/>
      <c r="AJ3" s="230"/>
      <c r="AK3" s="230"/>
    </row>
    <row r="4" spans="2:55" x14ac:dyDescent="0.3">
      <c r="E4" s="4"/>
      <c r="F4" s="4" t="s">
        <v>126</v>
      </c>
      <c r="G4" s="4" t="s">
        <v>47</v>
      </c>
      <c r="H4" s="189"/>
      <c r="I4" s="18">
        <v>2016</v>
      </c>
      <c r="J4" s="18">
        <v>2017</v>
      </c>
      <c r="K4" s="18">
        <v>2018</v>
      </c>
      <c r="L4" s="18">
        <v>2019</v>
      </c>
      <c r="M4" s="18">
        <v>2020</v>
      </c>
      <c r="N4" s="4"/>
      <c r="O4" s="18">
        <v>2016</v>
      </c>
      <c r="P4" s="18">
        <v>2017</v>
      </c>
      <c r="Q4" s="18">
        <v>2018</v>
      </c>
      <c r="R4" s="18">
        <v>2019</v>
      </c>
      <c r="S4" s="18">
        <v>2020</v>
      </c>
      <c r="T4" s="4"/>
      <c r="U4" s="18">
        <v>2016</v>
      </c>
      <c r="V4" s="18">
        <v>2017</v>
      </c>
      <c r="W4" s="18">
        <v>2018</v>
      </c>
      <c r="X4" s="18">
        <v>2019</v>
      </c>
      <c r="Y4" s="18">
        <v>2020</v>
      </c>
      <c r="Z4" s="4"/>
      <c r="AA4" s="18">
        <v>2016</v>
      </c>
      <c r="AB4" s="18">
        <v>2017</v>
      </c>
      <c r="AC4" s="18">
        <v>2018</v>
      </c>
      <c r="AD4" s="18">
        <v>2019</v>
      </c>
      <c r="AE4" s="18">
        <v>2020</v>
      </c>
      <c r="AF4" s="4"/>
      <c r="AG4" s="18">
        <v>2016</v>
      </c>
      <c r="AH4" s="18">
        <v>2017</v>
      </c>
      <c r="AI4" s="18">
        <v>2018</v>
      </c>
      <c r="AJ4" s="18">
        <v>2019</v>
      </c>
      <c r="AK4" s="18">
        <v>2020</v>
      </c>
      <c r="AM4" s="4" t="s">
        <v>25</v>
      </c>
      <c r="AN4" s="4" t="s">
        <v>26</v>
      </c>
    </row>
    <row r="5" spans="2:55" hidden="1" outlineLevel="1" x14ac:dyDescent="0.3">
      <c r="E5" s="189"/>
      <c r="F5" s="189"/>
      <c r="G5" s="189"/>
      <c r="H5" s="189"/>
      <c r="I5" s="201" t="s">
        <v>247</v>
      </c>
      <c r="J5" s="201" t="s">
        <v>248</v>
      </c>
      <c r="K5" s="201" t="s">
        <v>249</v>
      </c>
      <c r="L5" s="201" t="s">
        <v>250</v>
      </c>
      <c r="M5" s="201" t="s">
        <v>251</v>
      </c>
      <c r="N5" s="189"/>
      <c r="O5" s="201" t="s">
        <v>252</v>
      </c>
      <c r="P5" s="201" t="s">
        <v>253</v>
      </c>
      <c r="Q5" s="201" t="s">
        <v>254</v>
      </c>
      <c r="R5" s="201" t="s">
        <v>255</v>
      </c>
      <c r="S5" s="201" t="s">
        <v>256</v>
      </c>
      <c r="T5" s="189"/>
      <c r="U5" s="201" t="s">
        <v>257</v>
      </c>
      <c r="V5" s="201" t="s">
        <v>258</v>
      </c>
      <c r="W5" s="201" t="s">
        <v>259</v>
      </c>
      <c r="X5" s="201" t="s">
        <v>260</v>
      </c>
      <c r="Y5" s="201" t="s">
        <v>261</v>
      </c>
      <c r="Z5" s="189"/>
      <c r="AA5" s="201" t="s">
        <v>262</v>
      </c>
      <c r="AB5" s="201" t="s">
        <v>263</v>
      </c>
      <c r="AC5" s="201" t="s">
        <v>264</v>
      </c>
      <c r="AD5" s="201" t="s">
        <v>265</v>
      </c>
      <c r="AE5" s="201" t="s">
        <v>266</v>
      </c>
      <c r="AF5" s="189"/>
      <c r="AG5" s="201"/>
      <c r="AH5" s="201"/>
      <c r="AI5" s="201"/>
      <c r="AJ5" s="201"/>
      <c r="AK5" s="201"/>
      <c r="AM5" s="189"/>
      <c r="AN5" s="189"/>
    </row>
    <row r="6" spans="2:55" collapsed="1" x14ac:dyDescent="0.3">
      <c r="B6" s="26" t="s">
        <v>188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2:55" x14ac:dyDescent="0.3">
      <c r="B7" s="182" t="s">
        <v>9</v>
      </c>
      <c r="E7" s="8">
        <v>43009</v>
      </c>
      <c r="F7" s="8" t="s">
        <v>63</v>
      </c>
      <c r="G7" s="20" t="s">
        <v>38</v>
      </c>
      <c r="H7" s="20" t="str">
        <f>G7&amp;F7</f>
        <v>SubtransmissionAugmentation</v>
      </c>
      <c r="I7" s="6">
        <v>0</v>
      </c>
      <c r="J7" s="6">
        <v>933.90972979504454</v>
      </c>
      <c r="K7" s="6">
        <v>0</v>
      </c>
      <c r="L7" s="6">
        <v>0</v>
      </c>
      <c r="M7" s="6">
        <v>0</v>
      </c>
      <c r="N7" s="6"/>
      <c r="O7" s="6">
        <v>19.511253458416874</v>
      </c>
      <c r="P7" s="6">
        <v>255.42004527382088</v>
      </c>
      <c r="Q7" s="6">
        <v>8.8687515720076711</v>
      </c>
      <c r="R7" s="6">
        <v>0</v>
      </c>
      <c r="S7" s="6">
        <v>0</v>
      </c>
      <c r="T7" s="6"/>
      <c r="U7" s="6">
        <v>0</v>
      </c>
      <c r="V7" s="6">
        <v>683.71711395570333</v>
      </c>
      <c r="W7" s="6">
        <v>0</v>
      </c>
      <c r="X7" s="6">
        <v>0</v>
      </c>
      <c r="Y7" s="6">
        <v>0</v>
      </c>
      <c r="Z7" s="6"/>
      <c r="AA7" s="6">
        <v>0</v>
      </c>
      <c r="AB7" s="6">
        <v>124.2968334460201</v>
      </c>
      <c r="AC7" s="6">
        <v>0</v>
      </c>
      <c r="AD7" s="6">
        <v>0</v>
      </c>
      <c r="AE7" s="6">
        <v>0</v>
      </c>
      <c r="AF7" s="6"/>
      <c r="AG7" s="6">
        <f t="shared" ref="AG7" si="0">I7+O7+U7+AA7</f>
        <v>19.511253458416874</v>
      </c>
      <c r="AH7" s="6">
        <f t="shared" ref="AH7" si="1">J7+P7+V7+AB7</f>
        <v>1997.343722470589</v>
      </c>
      <c r="AI7" s="6">
        <f t="shared" ref="AI7" si="2">K7+Q7+W7+AC7</f>
        <v>8.8687515720076711</v>
      </c>
      <c r="AJ7" s="6">
        <f t="shared" ref="AJ7" si="3">L7+R7+X7+AD7</f>
        <v>0</v>
      </c>
      <c r="AK7" s="6">
        <f t="shared" ref="AK7" si="4">M7+S7+Y7+AE7</f>
        <v>0</v>
      </c>
      <c r="AM7" s="14">
        <f>SUM(AG7:AK7)</f>
        <v>2025.7237275010134</v>
      </c>
      <c r="AN7" s="39">
        <f>SUM(AM7:AM8)-'Direct $ Inputs'!H5</f>
        <v>0</v>
      </c>
      <c r="AP7" s="15"/>
      <c r="AQ7" s="15"/>
      <c r="AR7" s="15"/>
      <c r="AS7" s="15"/>
      <c r="AU7" s="15"/>
      <c r="AV7" s="15"/>
      <c r="AW7" s="15"/>
      <c r="AX7" s="15"/>
      <c r="AZ7" s="16"/>
      <c r="BA7" s="16"/>
      <c r="BB7" s="16"/>
      <c r="BC7" s="16"/>
    </row>
    <row r="8" spans="2:55" x14ac:dyDescent="0.3">
      <c r="B8" s="182" t="s">
        <v>9</v>
      </c>
      <c r="E8" s="8">
        <v>43009</v>
      </c>
      <c r="F8" s="8" t="s">
        <v>63</v>
      </c>
      <c r="G8" s="20" t="s">
        <v>42</v>
      </c>
      <c r="H8" s="20" t="str">
        <f t="shared" ref="H8:H25" si="5">G8&amp;F8</f>
        <v>SCADA/Network controlAugmentation</v>
      </c>
      <c r="I8" s="6">
        <v>0</v>
      </c>
      <c r="J8" s="6">
        <v>841.4497192729558</v>
      </c>
      <c r="K8" s="6">
        <v>0</v>
      </c>
      <c r="L8" s="6">
        <v>0</v>
      </c>
      <c r="M8" s="6">
        <v>0</v>
      </c>
      <c r="N8" s="6"/>
      <c r="O8" s="6">
        <v>17.57957779158313</v>
      </c>
      <c r="P8" s="6">
        <v>230.13265472617911</v>
      </c>
      <c r="Q8" s="6">
        <v>7.9907171779923321</v>
      </c>
      <c r="R8" s="6">
        <v>0</v>
      </c>
      <c r="S8" s="6">
        <v>0</v>
      </c>
      <c r="T8" s="6"/>
      <c r="U8" s="6">
        <v>0</v>
      </c>
      <c r="V8" s="6">
        <v>616.02696197029684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111.99105467358621</v>
      </c>
      <c r="AC8" s="6">
        <v>0</v>
      </c>
      <c r="AD8" s="6">
        <v>0</v>
      </c>
      <c r="AE8" s="6">
        <v>0</v>
      </c>
      <c r="AF8" s="6"/>
      <c r="AG8" s="6">
        <f t="shared" ref="AG8:AG25" si="6">I8+O8+U8+AA8</f>
        <v>17.57957779158313</v>
      </c>
      <c r="AH8" s="6">
        <f t="shared" ref="AH8:AH25" si="7">J8+P8+V8+AB8</f>
        <v>1799.600390643018</v>
      </c>
      <c r="AI8" s="6">
        <f t="shared" ref="AI8:AI25" si="8">K8+Q8+W8+AC8</f>
        <v>7.9907171779923321</v>
      </c>
      <c r="AJ8" s="6">
        <f t="shared" ref="AJ8:AJ25" si="9">L8+R8+X8+AD8</f>
        <v>0</v>
      </c>
      <c r="AK8" s="6">
        <f t="shared" ref="AK8:AK25" si="10">M8+S8+Y8+AE8</f>
        <v>0</v>
      </c>
      <c r="AM8" s="14">
        <f t="shared" ref="AM8:AM25" si="11">SUM(AG8:AK8)</f>
        <v>1825.1706856125936</v>
      </c>
      <c r="AN8" s="39"/>
      <c r="AP8" s="15"/>
      <c r="AQ8" s="15"/>
      <c r="AR8" s="15"/>
      <c r="AS8" s="15"/>
      <c r="AU8" s="15"/>
      <c r="AV8" s="15"/>
      <c r="AW8" s="15"/>
      <c r="AX8" s="15"/>
      <c r="AZ8" s="16"/>
      <c r="BA8" s="16"/>
      <c r="BB8" s="16"/>
      <c r="BC8" s="16"/>
    </row>
    <row r="9" spans="2:55" x14ac:dyDescent="0.3">
      <c r="B9" s="183" t="s">
        <v>10</v>
      </c>
      <c r="E9" s="8">
        <v>43009</v>
      </c>
      <c r="F9" s="8" t="s">
        <v>63</v>
      </c>
      <c r="G9" s="20" t="s">
        <v>38</v>
      </c>
      <c r="H9" s="20" t="str">
        <f t="shared" si="5"/>
        <v>SubtransmissionAugmentation</v>
      </c>
      <c r="I9" s="6">
        <v>160.23035240723658</v>
      </c>
      <c r="J9" s="6">
        <v>1121.6124668506563</v>
      </c>
      <c r="K9" s="6">
        <v>0</v>
      </c>
      <c r="L9" s="6">
        <v>0</v>
      </c>
      <c r="M9" s="6">
        <v>0</v>
      </c>
      <c r="N9" s="6"/>
      <c r="O9" s="6">
        <v>45.731014079963302</v>
      </c>
      <c r="P9" s="6">
        <v>286.85817922886076</v>
      </c>
      <c r="Q9" s="6">
        <v>0</v>
      </c>
      <c r="R9" s="6">
        <v>0</v>
      </c>
      <c r="S9" s="6">
        <v>0</v>
      </c>
      <c r="T9" s="6"/>
      <c r="U9" s="6">
        <v>147.70275814426608</v>
      </c>
      <c r="V9" s="6">
        <v>800.52531831681551</v>
      </c>
      <c r="W9" s="6">
        <v>0</v>
      </c>
      <c r="X9" s="6">
        <v>0</v>
      </c>
      <c r="Y9" s="6">
        <v>0</v>
      </c>
      <c r="Z9" s="6"/>
      <c r="AA9" s="6">
        <v>0</v>
      </c>
      <c r="AB9" s="6">
        <v>185.97254786471061</v>
      </c>
      <c r="AC9" s="6">
        <v>0</v>
      </c>
      <c r="AD9" s="6">
        <v>0</v>
      </c>
      <c r="AE9" s="6">
        <v>0</v>
      </c>
      <c r="AF9" s="6"/>
      <c r="AG9" s="6">
        <f t="shared" si="6"/>
        <v>353.66412463146594</v>
      </c>
      <c r="AH9" s="6">
        <f t="shared" si="7"/>
        <v>2394.9685122610431</v>
      </c>
      <c r="AI9" s="6">
        <f t="shared" si="8"/>
        <v>0</v>
      </c>
      <c r="AJ9" s="6">
        <f t="shared" si="9"/>
        <v>0</v>
      </c>
      <c r="AK9" s="6">
        <f t="shared" si="10"/>
        <v>0</v>
      </c>
      <c r="AM9" s="14">
        <f t="shared" si="11"/>
        <v>2748.6326368925093</v>
      </c>
      <c r="AN9" s="39">
        <f>SUM(AM9:AM10)-'Direct $ Inputs'!H6</f>
        <v>0</v>
      </c>
      <c r="AP9" s="15"/>
      <c r="AQ9" s="15"/>
      <c r="AR9" s="15"/>
      <c r="AS9" s="15"/>
      <c r="AU9" s="15"/>
      <c r="AV9" s="15"/>
      <c r="AW9" s="15"/>
      <c r="AX9" s="15"/>
      <c r="AZ9" s="16"/>
      <c r="BA9" s="16"/>
      <c r="BB9" s="16"/>
      <c r="BC9" s="16"/>
    </row>
    <row r="10" spans="2:55" x14ac:dyDescent="0.3">
      <c r="B10" s="183" t="s">
        <v>10</v>
      </c>
      <c r="E10" s="8">
        <v>43009</v>
      </c>
      <c r="F10" s="8" t="s">
        <v>63</v>
      </c>
      <c r="G10" s="20" t="s">
        <v>42</v>
      </c>
      <c r="H10" s="20" t="str">
        <f t="shared" si="5"/>
        <v>SCADA/Network controlAugmentation</v>
      </c>
      <c r="I10" s="6">
        <v>83.853304151263387</v>
      </c>
      <c r="J10" s="6">
        <v>586.97312905884382</v>
      </c>
      <c r="K10" s="6">
        <v>0</v>
      </c>
      <c r="L10" s="6">
        <v>0</v>
      </c>
      <c r="M10" s="6">
        <v>0</v>
      </c>
      <c r="N10" s="6"/>
      <c r="O10" s="6">
        <v>23.932398420036691</v>
      </c>
      <c r="P10" s="6">
        <v>150.12140827113927</v>
      </c>
      <c r="Q10" s="6">
        <v>0</v>
      </c>
      <c r="R10" s="6">
        <v>0</v>
      </c>
      <c r="S10" s="6">
        <v>0</v>
      </c>
      <c r="T10" s="6"/>
      <c r="U10" s="6">
        <v>77.297241855733901</v>
      </c>
      <c r="V10" s="6">
        <v>418.93868414518442</v>
      </c>
      <c r="W10" s="6">
        <v>0</v>
      </c>
      <c r="X10" s="6">
        <v>0</v>
      </c>
      <c r="Y10" s="6">
        <v>0</v>
      </c>
      <c r="Z10" s="6"/>
      <c r="AA10" s="6">
        <v>0</v>
      </c>
      <c r="AB10" s="6">
        <v>97.32495988182491</v>
      </c>
      <c r="AC10" s="6">
        <v>0</v>
      </c>
      <c r="AD10" s="6">
        <v>0</v>
      </c>
      <c r="AE10" s="6">
        <v>0</v>
      </c>
      <c r="AF10" s="6"/>
      <c r="AG10" s="6">
        <f t="shared" si="6"/>
        <v>185.08294442703396</v>
      </c>
      <c r="AH10" s="6">
        <f t="shared" si="7"/>
        <v>1253.3581813569924</v>
      </c>
      <c r="AI10" s="6">
        <f t="shared" si="8"/>
        <v>0</v>
      </c>
      <c r="AJ10" s="6">
        <f t="shared" si="9"/>
        <v>0</v>
      </c>
      <c r="AK10" s="6">
        <f t="shared" si="10"/>
        <v>0</v>
      </c>
      <c r="AM10" s="14">
        <f t="shared" si="11"/>
        <v>1438.4411257840263</v>
      </c>
      <c r="AN10" s="39"/>
      <c r="AP10" s="15"/>
      <c r="AQ10" s="15"/>
      <c r="AR10" s="15"/>
      <c r="AS10" s="15"/>
      <c r="AU10" s="15"/>
      <c r="AV10" s="15"/>
      <c r="AW10" s="15"/>
      <c r="AX10" s="15"/>
      <c r="AZ10" s="16"/>
      <c r="BA10" s="16"/>
      <c r="BB10" s="16"/>
      <c r="BC10" s="16"/>
    </row>
    <row r="11" spans="2:55" x14ac:dyDescent="0.3">
      <c r="B11" s="182" t="s">
        <v>11</v>
      </c>
      <c r="E11" s="8">
        <v>43009</v>
      </c>
      <c r="F11" s="8" t="s">
        <v>63</v>
      </c>
      <c r="G11" s="20" t="s">
        <v>38</v>
      </c>
      <c r="H11" s="20" t="str">
        <f t="shared" si="5"/>
        <v>SubtransmissionAugmentation</v>
      </c>
      <c r="I11" s="6">
        <v>115.82288213621459</v>
      </c>
      <c r="J11" s="6">
        <v>810.7599855511495</v>
      </c>
      <c r="K11" s="6">
        <v>0</v>
      </c>
      <c r="L11" s="6">
        <v>0</v>
      </c>
      <c r="M11" s="6">
        <v>0</v>
      </c>
      <c r="N11" s="6"/>
      <c r="O11" s="6">
        <v>32.441880526816391</v>
      </c>
      <c r="P11" s="6">
        <v>203.499068759121</v>
      </c>
      <c r="Q11" s="6">
        <v>0</v>
      </c>
      <c r="R11" s="6">
        <v>0</v>
      </c>
      <c r="S11" s="6">
        <v>0</v>
      </c>
      <c r="T11" s="6"/>
      <c r="U11" s="6">
        <v>94.687164028307862</v>
      </c>
      <c r="V11" s="6">
        <v>583.4002310149765</v>
      </c>
      <c r="W11" s="6">
        <v>0</v>
      </c>
      <c r="X11" s="6">
        <v>0</v>
      </c>
      <c r="Y11" s="6">
        <v>0</v>
      </c>
      <c r="Z11" s="6"/>
      <c r="AA11" s="6">
        <v>0</v>
      </c>
      <c r="AB11" s="6">
        <v>133.07520202313901</v>
      </c>
      <c r="AC11" s="6">
        <v>0</v>
      </c>
      <c r="AD11" s="6">
        <v>0</v>
      </c>
      <c r="AE11" s="6">
        <v>0</v>
      </c>
      <c r="AF11" s="6"/>
      <c r="AG11" s="6">
        <f t="shared" si="6"/>
        <v>242.95192669133883</v>
      </c>
      <c r="AH11" s="6">
        <f t="shared" si="7"/>
        <v>1730.7344873483858</v>
      </c>
      <c r="AI11" s="6">
        <f t="shared" si="8"/>
        <v>0</v>
      </c>
      <c r="AJ11" s="6">
        <f t="shared" si="9"/>
        <v>0</v>
      </c>
      <c r="AK11" s="6">
        <f t="shared" si="10"/>
        <v>0</v>
      </c>
      <c r="AM11" s="14">
        <f t="shared" si="11"/>
        <v>1973.6864140397247</v>
      </c>
      <c r="AN11" s="39">
        <f>SUM(AM11:AM12)-'Direct $ Inputs'!H7</f>
        <v>0</v>
      </c>
      <c r="AP11" s="15"/>
      <c r="AQ11" s="15"/>
      <c r="AR11" s="15"/>
      <c r="AS11" s="15"/>
      <c r="AU11" s="15"/>
      <c r="AV11" s="15"/>
      <c r="AW11" s="15"/>
      <c r="AX11" s="15"/>
      <c r="AZ11" s="16"/>
      <c r="BA11" s="16"/>
      <c r="BB11" s="16"/>
      <c r="BC11" s="16"/>
    </row>
    <row r="12" spans="2:55" x14ac:dyDescent="0.3">
      <c r="B12" s="182" t="s">
        <v>11</v>
      </c>
      <c r="E12" s="8">
        <v>43009</v>
      </c>
      <c r="F12" s="8" t="s">
        <v>63</v>
      </c>
      <c r="G12" s="20" t="s">
        <v>42</v>
      </c>
      <c r="H12" s="20" t="str">
        <f t="shared" si="5"/>
        <v>SCADA/Network controlAugmentation</v>
      </c>
      <c r="I12" s="6">
        <v>104.35605128591041</v>
      </c>
      <c r="J12" s="6">
        <v>730.49218835045087</v>
      </c>
      <c r="K12" s="6">
        <v>0</v>
      </c>
      <c r="L12" s="6">
        <v>0</v>
      </c>
      <c r="M12" s="6">
        <v>0</v>
      </c>
      <c r="N12" s="6"/>
      <c r="O12" s="6">
        <v>29.23003197318361</v>
      </c>
      <c r="P12" s="6">
        <v>183.35201874087903</v>
      </c>
      <c r="Q12" s="6">
        <v>0</v>
      </c>
      <c r="R12" s="6">
        <v>0</v>
      </c>
      <c r="S12" s="6">
        <v>0</v>
      </c>
      <c r="T12" s="6"/>
      <c r="U12" s="6">
        <v>85.312835971692138</v>
      </c>
      <c r="V12" s="6">
        <v>525.64176702502357</v>
      </c>
      <c r="W12" s="6">
        <v>0</v>
      </c>
      <c r="X12" s="6">
        <v>0</v>
      </c>
      <c r="Y12" s="6">
        <v>0</v>
      </c>
      <c r="Z12" s="6"/>
      <c r="AA12" s="6">
        <v>0</v>
      </c>
      <c r="AB12" s="6">
        <v>119.90033705841829</v>
      </c>
      <c r="AC12" s="6">
        <v>0</v>
      </c>
      <c r="AD12" s="6">
        <v>0</v>
      </c>
      <c r="AE12" s="6">
        <v>0</v>
      </c>
      <c r="AF12" s="6"/>
      <c r="AG12" s="6">
        <f t="shared" si="6"/>
        <v>218.89891923078613</v>
      </c>
      <c r="AH12" s="6">
        <f t="shared" si="7"/>
        <v>1559.3863111747719</v>
      </c>
      <c r="AI12" s="6">
        <f t="shared" si="8"/>
        <v>0</v>
      </c>
      <c r="AJ12" s="6">
        <f t="shared" si="9"/>
        <v>0</v>
      </c>
      <c r="AK12" s="6">
        <f t="shared" si="10"/>
        <v>0</v>
      </c>
      <c r="AM12" s="14">
        <f t="shared" si="11"/>
        <v>1778.285230405558</v>
      </c>
      <c r="AN12" s="39"/>
      <c r="AP12" s="15"/>
      <c r="AQ12" s="15"/>
      <c r="AR12" s="15"/>
      <c r="AS12" s="15"/>
      <c r="AU12" s="15"/>
      <c r="AV12" s="15"/>
      <c r="AW12" s="15"/>
      <c r="AX12" s="15"/>
      <c r="AZ12" s="16"/>
      <c r="BA12" s="16"/>
      <c r="BB12" s="16"/>
      <c r="BC12" s="16"/>
    </row>
    <row r="13" spans="2:55" x14ac:dyDescent="0.3">
      <c r="B13" s="183" t="s">
        <v>12</v>
      </c>
      <c r="E13" s="8">
        <v>43313</v>
      </c>
      <c r="F13" s="8" t="s">
        <v>63</v>
      </c>
      <c r="G13" s="20" t="s">
        <v>38</v>
      </c>
      <c r="H13" s="20" t="str">
        <f t="shared" si="5"/>
        <v>SubtransmissionAugmentation</v>
      </c>
      <c r="I13" s="6">
        <v>67.035691011276015</v>
      </c>
      <c r="J13" s="6">
        <v>1809.9636573044525</v>
      </c>
      <c r="K13" s="6">
        <v>804.42829213531229</v>
      </c>
      <c r="L13" s="6">
        <v>0</v>
      </c>
      <c r="M13" s="6">
        <v>0</v>
      </c>
      <c r="N13" s="6"/>
      <c r="O13" s="6">
        <v>47.436632193906185</v>
      </c>
      <c r="P13" s="6">
        <v>199.73318818486817</v>
      </c>
      <c r="Q13" s="6">
        <v>152.29655599096196</v>
      </c>
      <c r="R13" s="6">
        <v>0</v>
      </c>
      <c r="S13" s="6">
        <v>0</v>
      </c>
      <c r="T13" s="6"/>
      <c r="U13" s="6">
        <v>0</v>
      </c>
      <c r="V13" s="6">
        <v>834.57252912772685</v>
      </c>
      <c r="W13" s="6">
        <v>399.24047595006459</v>
      </c>
      <c r="X13" s="6">
        <v>0</v>
      </c>
      <c r="Y13" s="6">
        <v>0</v>
      </c>
      <c r="Z13" s="6"/>
      <c r="AA13" s="6">
        <v>0</v>
      </c>
      <c r="AB13" s="6">
        <v>171.14522079390483</v>
      </c>
      <c r="AC13" s="6">
        <v>122.24658628136058</v>
      </c>
      <c r="AD13" s="6">
        <v>0</v>
      </c>
      <c r="AE13" s="6">
        <v>0</v>
      </c>
      <c r="AF13" s="6"/>
      <c r="AG13" s="6">
        <f t="shared" si="6"/>
        <v>114.47232320518219</v>
      </c>
      <c r="AH13" s="6">
        <f t="shared" si="7"/>
        <v>3015.4145954109522</v>
      </c>
      <c r="AI13" s="6">
        <f t="shared" si="8"/>
        <v>1478.2119103576995</v>
      </c>
      <c r="AJ13" s="6">
        <f t="shared" si="9"/>
        <v>0</v>
      </c>
      <c r="AK13" s="6">
        <f t="shared" si="10"/>
        <v>0</v>
      </c>
      <c r="AM13" s="14">
        <f t="shared" si="11"/>
        <v>4608.0988289738343</v>
      </c>
      <c r="AN13" s="39">
        <f>SUM(AM13:AM15)-'Direct $ Inputs'!H8</f>
        <v>0</v>
      </c>
      <c r="AP13" s="15"/>
      <c r="AQ13" s="15"/>
      <c r="AR13" s="15"/>
      <c r="AS13" s="15"/>
      <c r="AU13" s="15"/>
      <c r="AV13" s="15"/>
      <c r="AW13" s="15"/>
      <c r="AX13" s="15"/>
      <c r="AZ13" s="16"/>
      <c r="BA13" s="16"/>
      <c r="BB13" s="16"/>
      <c r="BC13" s="16"/>
    </row>
    <row r="14" spans="2:55" x14ac:dyDescent="0.3">
      <c r="B14" s="183" t="s">
        <v>12</v>
      </c>
      <c r="E14" s="8">
        <v>43313</v>
      </c>
      <c r="F14" s="8" t="s">
        <v>63</v>
      </c>
      <c r="G14" s="20" t="s">
        <v>42</v>
      </c>
      <c r="H14" s="20" t="str">
        <f t="shared" si="5"/>
        <v>SCADA/Network controlAugmentation</v>
      </c>
      <c r="I14" s="6">
        <v>35.081768859073975</v>
      </c>
      <c r="J14" s="6">
        <v>947.20775919499738</v>
      </c>
      <c r="K14" s="6">
        <v>420.98122630888776</v>
      </c>
      <c r="L14" s="6">
        <v>0</v>
      </c>
      <c r="M14" s="6">
        <v>0</v>
      </c>
      <c r="N14" s="6"/>
      <c r="O14" s="6">
        <v>24.824999056093819</v>
      </c>
      <c r="P14" s="6">
        <v>104.52631181513188</v>
      </c>
      <c r="Q14" s="6">
        <v>79.701312759038046</v>
      </c>
      <c r="R14" s="6">
        <v>0</v>
      </c>
      <c r="S14" s="6">
        <v>0</v>
      </c>
      <c r="T14" s="6"/>
      <c r="U14" s="6">
        <v>0</v>
      </c>
      <c r="V14" s="6">
        <v>457.68978964047284</v>
      </c>
      <c r="W14" s="6">
        <v>208.93440322873528</v>
      </c>
      <c r="X14" s="6">
        <v>0</v>
      </c>
      <c r="Y14" s="6">
        <v>0</v>
      </c>
      <c r="Z14" s="6"/>
      <c r="AA14" s="6">
        <v>0</v>
      </c>
      <c r="AB14" s="6">
        <v>89.565379078691223</v>
      </c>
      <c r="AC14" s="6">
        <v>63.975270770493715</v>
      </c>
      <c r="AD14" s="6">
        <v>0</v>
      </c>
      <c r="AE14" s="6">
        <v>0</v>
      </c>
      <c r="AF14" s="6"/>
      <c r="AG14" s="6">
        <f t="shared" si="6"/>
        <v>59.906767915167791</v>
      </c>
      <c r="AH14" s="6">
        <f t="shared" si="7"/>
        <v>1598.9892397292933</v>
      </c>
      <c r="AI14" s="6">
        <f t="shared" si="8"/>
        <v>773.59221306715483</v>
      </c>
      <c r="AJ14" s="6">
        <f t="shared" si="9"/>
        <v>0</v>
      </c>
      <c r="AK14" s="6">
        <f t="shared" si="10"/>
        <v>0</v>
      </c>
      <c r="AM14" s="14">
        <f t="shared" si="11"/>
        <v>2432.4882207116161</v>
      </c>
      <c r="AN14" s="39"/>
      <c r="AP14" s="15"/>
      <c r="AQ14" s="15"/>
      <c r="AR14" s="15"/>
      <c r="AS14" s="15"/>
      <c r="AU14" s="15"/>
      <c r="AV14" s="15"/>
      <c r="AW14" s="15"/>
      <c r="AX14" s="15"/>
      <c r="AZ14" s="16"/>
      <c r="BA14" s="16"/>
      <c r="BB14" s="16"/>
      <c r="BC14" s="16"/>
    </row>
    <row r="15" spans="2:55" x14ac:dyDescent="0.3">
      <c r="B15" s="183" t="s">
        <v>12</v>
      </c>
      <c r="E15" s="8">
        <v>43313</v>
      </c>
      <c r="F15" s="20" t="s">
        <v>103</v>
      </c>
      <c r="G15" s="20" t="s">
        <v>291</v>
      </c>
      <c r="H15" s="20" t="str">
        <f t="shared" si="5"/>
        <v>LandNon-Network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/>
      <c r="U15" s="6">
        <v>0</v>
      </c>
      <c r="V15" s="6">
        <v>40</v>
      </c>
      <c r="W15" s="6">
        <v>0</v>
      </c>
      <c r="X15" s="6">
        <v>0</v>
      </c>
      <c r="Y15" s="6">
        <v>0</v>
      </c>
      <c r="Z15" s="6"/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/>
      <c r="AG15" s="6">
        <f t="shared" ref="AG15" si="12">I15+O15+U15+AA15</f>
        <v>0</v>
      </c>
      <c r="AH15" s="6">
        <f t="shared" ref="AH15" si="13">J15+P15+V15+AB15</f>
        <v>40</v>
      </c>
      <c r="AI15" s="6">
        <f t="shared" ref="AI15" si="14">K15+Q15+W15+AC15</f>
        <v>0</v>
      </c>
      <c r="AJ15" s="6">
        <f t="shared" ref="AJ15" si="15">L15+R15+X15+AD15</f>
        <v>0</v>
      </c>
      <c r="AK15" s="6">
        <f t="shared" ref="AK15" si="16">M15+S15+Y15+AE15</f>
        <v>0</v>
      </c>
      <c r="AM15" s="14">
        <f t="shared" si="11"/>
        <v>40</v>
      </c>
      <c r="AN15" s="39"/>
      <c r="AP15" s="15"/>
      <c r="AQ15" s="15"/>
      <c r="AR15" s="15"/>
      <c r="AS15" s="15"/>
      <c r="AU15" s="15"/>
      <c r="AV15" s="15"/>
      <c r="AW15" s="15"/>
      <c r="AX15" s="15"/>
      <c r="AZ15" s="16"/>
      <c r="BA15" s="16"/>
      <c r="BB15" s="16"/>
      <c r="BC15" s="16"/>
    </row>
    <row r="16" spans="2:55" x14ac:dyDescent="0.3">
      <c r="B16" s="183" t="s">
        <v>13</v>
      </c>
      <c r="E16" s="8">
        <v>43374</v>
      </c>
      <c r="F16" s="8" t="s">
        <v>63</v>
      </c>
      <c r="G16" s="20" t="s">
        <v>38</v>
      </c>
      <c r="H16" s="20" t="str">
        <f t="shared" si="5"/>
        <v>SubtransmissionAugmentation</v>
      </c>
      <c r="I16" s="6">
        <v>507.26897420327685</v>
      </c>
      <c r="J16" s="6">
        <v>1623.2607174504858</v>
      </c>
      <c r="K16" s="6">
        <v>1927.6221019724521</v>
      </c>
      <c r="L16" s="6">
        <v>0</v>
      </c>
      <c r="M16" s="6">
        <v>0</v>
      </c>
      <c r="N16" s="6"/>
      <c r="O16" s="6">
        <v>65.862727695142269</v>
      </c>
      <c r="P16" s="6">
        <v>107.02693250460619</v>
      </c>
      <c r="Q16" s="6">
        <v>249.72938198892828</v>
      </c>
      <c r="R16" s="6">
        <v>16.465681923785567</v>
      </c>
      <c r="S16" s="6">
        <v>0</v>
      </c>
      <c r="T16" s="6"/>
      <c r="U16" s="6">
        <v>295.40551628853217</v>
      </c>
      <c r="V16" s="6">
        <v>487.13038784064298</v>
      </c>
      <c r="W16" s="6">
        <v>730.69558176096439</v>
      </c>
      <c r="X16" s="6">
        <v>0</v>
      </c>
      <c r="Y16" s="6">
        <v>0</v>
      </c>
      <c r="Z16" s="6"/>
      <c r="AA16" s="6">
        <v>0</v>
      </c>
      <c r="AB16" s="6">
        <v>140.59427534691815</v>
      </c>
      <c r="AC16" s="6">
        <v>210.89141302037723</v>
      </c>
      <c r="AD16" s="6">
        <v>0</v>
      </c>
      <c r="AE16" s="6">
        <v>0</v>
      </c>
      <c r="AF16" s="6"/>
      <c r="AG16" s="6">
        <f t="shared" si="6"/>
        <v>868.53721818695135</v>
      </c>
      <c r="AH16" s="6">
        <f t="shared" si="7"/>
        <v>2358.0123131426531</v>
      </c>
      <c r="AI16" s="6">
        <f t="shared" si="8"/>
        <v>3118.9384787427221</v>
      </c>
      <c r="AJ16" s="6">
        <f t="shared" si="9"/>
        <v>16.465681923785567</v>
      </c>
      <c r="AK16" s="6">
        <f t="shared" si="10"/>
        <v>0</v>
      </c>
      <c r="AM16" s="14">
        <f t="shared" si="11"/>
        <v>6361.953691996111</v>
      </c>
      <c r="AN16" s="39">
        <f>SUM(AM16:AM17)-'Direct $ Inputs'!H9</f>
        <v>0</v>
      </c>
      <c r="AP16" s="15"/>
      <c r="AQ16" s="15"/>
      <c r="AR16" s="15"/>
      <c r="AS16" s="15"/>
      <c r="AU16" s="15"/>
      <c r="AV16" s="15"/>
      <c r="AW16" s="15"/>
      <c r="AX16" s="15"/>
      <c r="AZ16" s="16"/>
      <c r="BA16" s="16"/>
      <c r="BB16" s="16"/>
      <c r="BC16" s="16"/>
    </row>
    <row r="17" spans="2:55" x14ac:dyDescent="0.3">
      <c r="B17" s="183" t="s">
        <v>13</v>
      </c>
      <c r="E17" s="8">
        <v>43374</v>
      </c>
      <c r="F17" s="8" t="s">
        <v>63</v>
      </c>
      <c r="G17" s="20" t="s">
        <v>42</v>
      </c>
      <c r="H17" s="20" t="str">
        <f t="shared" si="5"/>
        <v>SCADA/Network controlAugmentation</v>
      </c>
      <c r="I17" s="6">
        <v>265.46892608872315</v>
      </c>
      <c r="J17" s="6">
        <v>849.50056348391411</v>
      </c>
      <c r="K17" s="6">
        <v>1008.7819191371481</v>
      </c>
      <c r="L17" s="6">
        <v>0</v>
      </c>
      <c r="M17" s="6">
        <v>0</v>
      </c>
      <c r="N17" s="6"/>
      <c r="O17" s="6">
        <v>34.46792230485773</v>
      </c>
      <c r="P17" s="6">
        <v>56.0103737453938</v>
      </c>
      <c r="Q17" s="6">
        <v>130.69080551107174</v>
      </c>
      <c r="R17" s="6">
        <v>8.6169805762144325</v>
      </c>
      <c r="S17" s="6">
        <v>0</v>
      </c>
      <c r="T17" s="6"/>
      <c r="U17" s="6">
        <v>154.5944837114678</v>
      </c>
      <c r="V17" s="6">
        <v>254.92980549095708</v>
      </c>
      <c r="W17" s="6">
        <v>382.39470823643563</v>
      </c>
      <c r="X17" s="6">
        <v>0</v>
      </c>
      <c r="Y17" s="6">
        <v>0</v>
      </c>
      <c r="Z17" s="6"/>
      <c r="AA17" s="6">
        <v>0</v>
      </c>
      <c r="AB17" s="6">
        <v>73.577161601868582</v>
      </c>
      <c r="AC17" s="6">
        <v>110.36574240280288</v>
      </c>
      <c r="AD17" s="6">
        <v>0</v>
      </c>
      <c r="AE17" s="6">
        <v>0</v>
      </c>
      <c r="AF17" s="6"/>
      <c r="AG17" s="6">
        <f t="shared" si="6"/>
        <v>454.5313321050487</v>
      </c>
      <c r="AH17" s="6">
        <f t="shared" si="7"/>
        <v>1234.0179043221335</v>
      </c>
      <c r="AI17" s="6">
        <f t="shared" si="8"/>
        <v>1632.2331752874584</v>
      </c>
      <c r="AJ17" s="6">
        <f t="shared" si="9"/>
        <v>8.6169805762144325</v>
      </c>
      <c r="AK17" s="6">
        <f t="shared" si="10"/>
        <v>0</v>
      </c>
      <c r="AM17" s="14">
        <f t="shared" si="11"/>
        <v>3329.3993922908548</v>
      </c>
      <c r="AN17" s="39"/>
      <c r="AP17" s="15"/>
      <c r="AQ17" s="15"/>
      <c r="AR17" s="15"/>
      <c r="AS17" s="15"/>
      <c r="AU17" s="15"/>
      <c r="AV17" s="15"/>
      <c r="AW17" s="15"/>
      <c r="AX17" s="15"/>
      <c r="AZ17" s="16"/>
      <c r="BA17" s="16"/>
      <c r="BB17" s="16"/>
      <c r="BC17" s="16"/>
    </row>
    <row r="18" spans="2:55" x14ac:dyDescent="0.3">
      <c r="B18" s="183" t="s">
        <v>14</v>
      </c>
      <c r="E18" s="8">
        <v>43374</v>
      </c>
      <c r="F18" s="8" t="s">
        <v>63</v>
      </c>
      <c r="G18" s="20" t="s">
        <v>38</v>
      </c>
      <c r="H18" s="20" t="str">
        <f t="shared" si="5"/>
        <v>SubtransmissionAugmentation</v>
      </c>
      <c r="I18" s="6">
        <v>0</v>
      </c>
      <c r="J18" s="6">
        <v>933.63648584628936</v>
      </c>
      <c r="K18" s="6">
        <v>1867.2729716925787</v>
      </c>
      <c r="L18" s="6">
        <v>0</v>
      </c>
      <c r="M18" s="6">
        <v>0</v>
      </c>
      <c r="N18" s="6"/>
      <c r="O18" s="6">
        <v>28.455880013003235</v>
      </c>
      <c r="P18" s="6">
        <v>108.1323440494123</v>
      </c>
      <c r="Q18" s="6">
        <v>318.70585614563612</v>
      </c>
      <c r="R18" s="6">
        <v>0</v>
      </c>
      <c r="S18" s="6">
        <v>0</v>
      </c>
      <c r="T18" s="6"/>
      <c r="U18" s="6">
        <v>0</v>
      </c>
      <c r="V18" s="6">
        <v>667.13231782711659</v>
      </c>
      <c r="W18" s="6">
        <v>1075.7930024439488</v>
      </c>
      <c r="X18" s="6">
        <v>0</v>
      </c>
      <c r="Y18" s="6">
        <v>0</v>
      </c>
      <c r="Z18" s="6"/>
      <c r="AA18" s="6">
        <v>0</v>
      </c>
      <c r="AB18" s="6">
        <v>69.958028123403864</v>
      </c>
      <c r="AC18" s="6">
        <v>209.87408437021162</v>
      </c>
      <c r="AD18" s="6">
        <v>0</v>
      </c>
      <c r="AE18" s="6">
        <v>0</v>
      </c>
      <c r="AF18" s="6"/>
      <c r="AG18" s="6">
        <f t="shared" si="6"/>
        <v>28.455880013003235</v>
      </c>
      <c r="AH18" s="6">
        <f t="shared" si="7"/>
        <v>1778.8591758462221</v>
      </c>
      <c r="AI18" s="6">
        <f t="shared" si="8"/>
        <v>3471.6459146523753</v>
      </c>
      <c r="AJ18" s="6">
        <f t="shared" si="9"/>
        <v>0</v>
      </c>
      <c r="AK18" s="6">
        <f t="shared" si="10"/>
        <v>0</v>
      </c>
      <c r="AM18" s="14">
        <f t="shared" si="11"/>
        <v>5278.9609705116009</v>
      </c>
      <c r="AN18" s="39">
        <f>SUM(AM18:AM19)-'Direct $ Inputs'!H10</f>
        <v>0</v>
      </c>
      <c r="AP18" s="15"/>
      <c r="AQ18" s="15"/>
      <c r="AR18" s="15"/>
      <c r="AS18" s="15"/>
      <c r="AU18" s="15"/>
      <c r="AV18" s="15"/>
      <c r="AW18" s="15"/>
      <c r="AX18" s="15"/>
      <c r="AZ18" s="16"/>
      <c r="BA18" s="16"/>
      <c r="BB18" s="16"/>
      <c r="BC18" s="16"/>
    </row>
    <row r="19" spans="2:55" x14ac:dyDescent="0.3">
      <c r="B19" s="183" t="s">
        <v>14</v>
      </c>
      <c r="E19" s="8">
        <v>43374</v>
      </c>
      <c r="F19" s="8" t="s">
        <v>63</v>
      </c>
      <c r="G19" s="20" t="s">
        <v>42</v>
      </c>
      <c r="H19" s="20" t="str">
        <f t="shared" si="5"/>
        <v>SCADA/Network controlAugmentation</v>
      </c>
      <c r="I19" s="6">
        <v>0</v>
      </c>
      <c r="J19" s="6">
        <v>488.59971308937736</v>
      </c>
      <c r="K19" s="6">
        <v>977.19942617875472</v>
      </c>
      <c r="L19" s="6">
        <v>0</v>
      </c>
      <c r="M19" s="6">
        <v>0</v>
      </c>
      <c r="N19" s="6"/>
      <c r="O19" s="6">
        <v>14.891807486996772</v>
      </c>
      <c r="P19" s="6">
        <v>56.588868450587732</v>
      </c>
      <c r="Q19" s="6">
        <v>166.7882438543638</v>
      </c>
      <c r="R19" s="6">
        <v>0</v>
      </c>
      <c r="S19" s="6">
        <v>0</v>
      </c>
      <c r="T19" s="6"/>
      <c r="U19" s="6">
        <v>0</v>
      </c>
      <c r="V19" s="6">
        <v>349.1301636391334</v>
      </c>
      <c r="W19" s="6">
        <v>562.99444195480112</v>
      </c>
      <c r="X19" s="6">
        <v>0</v>
      </c>
      <c r="Y19" s="6">
        <v>0</v>
      </c>
      <c r="Z19" s="6"/>
      <c r="AA19" s="6">
        <v>0</v>
      </c>
      <c r="AB19" s="6">
        <v>36.611114697826018</v>
      </c>
      <c r="AC19" s="6">
        <v>109.83334409347808</v>
      </c>
      <c r="AD19" s="6">
        <v>0</v>
      </c>
      <c r="AE19" s="6">
        <v>0</v>
      </c>
      <c r="AF19" s="6"/>
      <c r="AG19" s="6">
        <f t="shared" si="6"/>
        <v>14.891807486996772</v>
      </c>
      <c r="AH19" s="6">
        <f t="shared" si="7"/>
        <v>930.92985987692441</v>
      </c>
      <c r="AI19" s="6">
        <f t="shared" si="8"/>
        <v>1816.8154560813978</v>
      </c>
      <c r="AJ19" s="6">
        <f t="shared" si="9"/>
        <v>0</v>
      </c>
      <c r="AK19" s="6">
        <f t="shared" si="10"/>
        <v>0</v>
      </c>
      <c r="AM19" s="14">
        <f t="shared" si="11"/>
        <v>2762.637123445319</v>
      </c>
      <c r="AN19" s="39"/>
      <c r="AP19" s="15"/>
      <c r="AQ19" s="15"/>
      <c r="AR19" s="15"/>
      <c r="AS19" s="15"/>
      <c r="AU19" s="15"/>
      <c r="AV19" s="15"/>
      <c r="AW19" s="15"/>
      <c r="AX19" s="15"/>
      <c r="AZ19" s="16"/>
      <c r="BA19" s="16"/>
      <c r="BB19" s="16"/>
      <c r="BC19" s="16"/>
    </row>
    <row r="20" spans="2:55" x14ac:dyDescent="0.3">
      <c r="B20" s="182" t="s">
        <v>15</v>
      </c>
      <c r="E20" s="8">
        <v>43374</v>
      </c>
      <c r="F20" s="8" t="s">
        <v>63</v>
      </c>
      <c r="G20" s="20" t="s">
        <v>38</v>
      </c>
      <c r="H20" s="20" t="str">
        <f t="shared" si="5"/>
        <v>SubtransmissionAugmentation</v>
      </c>
      <c r="I20" s="6">
        <v>572.91319989902581</v>
      </c>
      <c r="J20" s="6">
        <v>354.84177396995739</v>
      </c>
      <c r="K20" s="6">
        <v>0</v>
      </c>
      <c r="L20" s="6">
        <v>0</v>
      </c>
      <c r="M20" s="6">
        <v>0</v>
      </c>
      <c r="N20" s="6"/>
      <c r="O20" s="6">
        <v>117.60858885019925</v>
      </c>
      <c r="P20" s="6">
        <v>131.65140542932753</v>
      </c>
      <c r="Q20" s="6">
        <v>0</v>
      </c>
      <c r="R20" s="6">
        <v>0</v>
      </c>
      <c r="S20" s="6">
        <v>0</v>
      </c>
      <c r="T20" s="6"/>
      <c r="U20" s="6">
        <v>432.03668514075082</v>
      </c>
      <c r="V20" s="6">
        <v>150.26336755071713</v>
      </c>
      <c r="W20" s="6">
        <v>0</v>
      </c>
      <c r="X20" s="6">
        <v>0</v>
      </c>
      <c r="Y20" s="6">
        <v>0</v>
      </c>
      <c r="Z20" s="6"/>
      <c r="AA20" s="6">
        <v>79.021802764810531</v>
      </c>
      <c r="AB20" s="6">
        <v>39.510901382405272</v>
      </c>
      <c r="AC20" s="6">
        <v>0</v>
      </c>
      <c r="AD20" s="6">
        <v>0</v>
      </c>
      <c r="AE20" s="6">
        <v>0</v>
      </c>
      <c r="AF20" s="6"/>
      <c r="AG20" s="6">
        <f t="shared" si="6"/>
        <v>1201.5802766547863</v>
      </c>
      <c r="AH20" s="6">
        <f t="shared" si="7"/>
        <v>676.2674483324073</v>
      </c>
      <c r="AI20" s="6">
        <f t="shared" si="8"/>
        <v>0</v>
      </c>
      <c r="AJ20" s="6">
        <f t="shared" si="9"/>
        <v>0</v>
      </c>
      <c r="AK20" s="6">
        <f t="shared" si="10"/>
        <v>0</v>
      </c>
      <c r="AM20" s="14">
        <f t="shared" si="11"/>
        <v>1877.8477249871935</v>
      </c>
      <c r="AN20" s="39">
        <f>SUM(AM20:AM21)-'Direct $ Inputs'!H11</f>
        <v>-60.06453750000037</v>
      </c>
      <c r="AP20" s="15"/>
      <c r="AQ20" s="15"/>
      <c r="AR20" s="15"/>
      <c r="AS20" s="15"/>
      <c r="AU20" s="15"/>
      <c r="AV20" s="15"/>
      <c r="AW20" s="15"/>
      <c r="AX20" s="15"/>
      <c r="AZ20" s="16"/>
      <c r="BA20" s="16"/>
      <c r="BB20" s="16"/>
      <c r="BC20" s="16"/>
    </row>
    <row r="21" spans="2:55" x14ac:dyDescent="0.3">
      <c r="B21" s="182" t="s">
        <v>15</v>
      </c>
      <c r="E21" s="8">
        <v>43374</v>
      </c>
      <c r="F21" s="8" t="s">
        <v>63</v>
      </c>
      <c r="G21" s="20" t="s">
        <v>42</v>
      </c>
      <c r="H21" s="20" t="str">
        <f t="shared" si="5"/>
        <v>SCADA/Network controlAugmentation</v>
      </c>
      <c r="I21" s="6">
        <v>516.19298508497457</v>
      </c>
      <c r="J21" s="6">
        <v>319.71131852204263</v>
      </c>
      <c r="K21" s="6">
        <v>0</v>
      </c>
      <c r="L21" s="6">
        <v>0</v>
      </c>
      <c r="M21" s="6">
        <v>0</v>
      </c>
      <c r="N21" s="6"/>
      <c r="O21" s="6">
        <v>105.96496739980076</v>
      </c>
      <c r="P21" s="6">
        <v>118.61750082067249</v>
      </c>
      <c r="Q21" s="6">
        <v>0</v>
      </c>
      <c r="R21" s="6">
        <v>0</v>
      </c>
      <c r="S21" s="6">
        <v>0</v>
      </c>
      <c r="T21" s="6"/>
      <c r="U21" s="6">
        <v>389.26368987191603</v>
      </c>
      <c r="V21" s="6">
        <v>135.38681995561623</v>
      </c>
      <c r="W21" s="6">
        <v>0</v>
      </c>
      <c r="X21" s="6">
        <v>0</v>
      </c>
      <c r="Y21" s="6">
        <v>0</v>
      </c>
      <c r="Z21" s="6"/>
      <c r="AA21" s="6">
        <v>71.198394910699989</v>
      </c>
      <c r="AB21" s="6">
        <v>35.599197455350001</v>
      </c>
      <c r="AC21" s="6">
        <v>0</v>
      </c>
      <c r="AD21" s="6">
        <v>0</v>
      </c>
      <c r="AE21" s="6">
        <v>0</v>
      </c>
      <c r="AF21" s="6"/>
      <c r="AG21" s="6">
        <f t="shared" si="6"/>
        <v>1082.6200372673914</v>
      </c>
      <c r="AH21" s="6">
        <f t="shared" si="7"/>
        <v>609.31483675368133</v>
      </c>
      <c r="AI21" s="6">
        <f t="shared" si="8"/>
        <v>0</v>
      </c>
      <c r="AJ21" s="6">
        <f t="shared" si="9"/>
        <v>0</v>
      </c>
      <c r="AK21" s="6">
        <f t="shared" si="10"/>
        <v>0</v>
      </c>
      <c r="AM21" s="14">
        <f t="shared" si="11"/>
        <v>1691.9348740210726</v>
      </c>
      <c r="AN21" s="39"/>
      <c r="AP21" s="15"/>
      <c r="AQ21" s="15"/>
      <c r="AR21" s="15"/>
      <c r="AS21" s="15"/>
      <c r="AU21" s="15"/>
      <c r="AV21" s="15"/>
      <c r="AW21" s="15"/>
      <c r="AX21" s="15"/>
      <c r="AZ21" s="16"/>
      <c r="BA21" s="16"/>
      <c r="BB21" s="16"/>
      <c r="BC21" s="16"/>
    </row>
    <row r="22" spans="2:55" x14ac:dyDescent="0.3">
      <c r="B22" s="182" t="s">
        <v>16</v>
      </c>
      <c r="E22" s="8">
        <v>43374</v>
      </c>
      <c r="F22" s="8" t="s">
        <v>63</v>
      </c>
      <c r="G22" s="20" t="s">
        <v>38</v>
      </c>
      <c r="H22" s="20" t="str">
        <f t="shared" si="5"/>
        <v>SubtransmissionAugmentation</v>
      </c>
      <c r="I22" s="6">
        <v>0</v>
      </c>
      <c r="J22" s="6">
        <v>570.04096732274229</v>
      </c>
      <c r="K22" s="6">
        <v>373.73184608068846</v>
      </c>
      <c r="L22" s="6">
        <v>0</v>
      </c>
      <c r="M22" s="6">
        <v>0</v>
      </c>
      <c r="N22" s="6"/>
      <c r="O22" s="6">
        <v>14.703338454195737</v>
      </c>
      <c r="P22" s="6">
        <v>47.050683053426361</v>
      </c>
      <c r="Q22" s="6">
        <v>127.91904455150295</v>
      </c>
      <c r="R22" s="6">
        <v>45.580349208006794</v>
      </c>
      <c r="S22" s="6">
        <v>0</v>
      </c>
      <c r="T22" s="6"/>
      <c r="U22" s="6">
        <v>0</v>
      </c>
      <c r="V22" s="6">
        <v>203.76751761348663</v>
      </c>
      <c r="W22" s="6">
        <v>318.29398416982639</v>
      </c>
      <c r="X22" s="6">
        <v>0</v>
      </c>
      <c r="Y22" s="6">
        <v>0</v>
      </c>
      <c r="Z22" s="6"/>
      <c r="AA22" s="6">
        <v>0</v>
      </c>
      <c r="AB22" s="6">
        <v>26.456125849428691</v>
      </c>
      <c r="AC22" s="6">
        <v>79.368377548286063</v>
      </c>
      <c r="AD22" s="6">
        <v>0</v>
      </c>
      <c r="AE22" s="6">
        <v>0</v>
      </c>
      <c r="AF22" s="6"/>
      <c r="AG22" s="6">
        <f t="shared" si="6"/>
        <v>14.703338454195737</v>
      </c>
      <c r="AH22" s="6">
        <f t="shared" si="7"/>
        <v>847.31529383908401</v>
      </c>
      <c r="AI22" s="6">
        <f t="shared" si="8"/>
        <v>899.31325235030386</v>
      </c>
      <c r="AJ22" s="6">
        <f t="shared" si="9"/>
        <v>45.580349208006794</v>
      </c>
      <c r="AK22" s="6">
        <f t="shared" si="10"/>
        <v>0</v>
      </c>
      <c r="AM22" s="14">
        <f t="shared" si="11"/>
        <v>1806.9122338515904</v>
      </c>
      <c r="AN22" s="39">
        <f>SUM(AM22:AM23)-'Direct $ Inputs'!H12</f>
        <v>0</v>
      </c>
      <c r="AP22" s="15"/>
      <c r="AQ22" s="15"/>
      <c r="AR22" s="15"/>
      <c r="AS22" s="15"/>
      <c r="AU22" s="15"/>
      <c r="AV22" s="15"/>
      <c r="AW22" s="15"/>
      <c r="AX22" s="15"/>
      <c r="AZ22" s="16"/>
      <c r="BA22" s="16"/>
      <c r="BB22" s="16"/>
      <c r="BC22" s="16"/>
    </row>
    <row r="23" spans="2:55" x14ac:dyDescent="0.3">
      <c r="B23" s="182" t="s">
        <v>16</v>
      </c>
      <c r="E23" s="8">
        <v>43374</v>
      </c>
      <c r="F23" s="8" t="s">
        <v>63</v>
      </c>
      <c r="G23" s="20" t="s">
        <v>42</v>
      </c>
      <c r="H23" s="20" t="str">
        <f t="shared" si="5"/>
        <v>SCADA/Network controlAugmentation</v>
      </c>
      <c r="I23" s="6">
        <v>0</v>
      </c>
      <c r="J23" s="6">
        <v>513.60511259805787</v>
      </c>
      <c r="K23" s="6">
        <v>336.73121387971156</v>
      </c>
      <c r="L23" s="6">
        <v>0</v>
      </c>
      <c r="M23" s="6">
        <v>0</v>
      </c>
      <c r="N23" s="6"/>
      <c r="O23" s="6">
        <v>13.247661545804259</v>
      </c>
      <c r="P23" s="6">
        <v>42.392516946573636</v>
      </c>
      <c r="Q23" s="6">
        <v>115.25465544849709</v>
      </c>
      <c r="R23" s="6">
        <v>41.067750791993213</v>
      </c>
      <c r="S23" s="6">
        <v>0</v>
      </c>
      <c r="T23" s="6"/>
      <c r="U23" s="6">
        <v>0</v>
      </c>
      <c r="V23" s="6">
        <v>183.59389031148007</v>
      </c>
      <c r="W23" s="6">
        <v>286.78187525120711</v>
      </c>
      <c r="X23" s="6">
        <v>0</v>
      </c>
      <c r="Y23" s="6">
        <v>0</v>
      </c>
      <c r="Z23" s="6"/>
      <c r="AA23" s="6">
        <v>0</v>
      </c>
      <c r="AB23" s="6">
        <v>23.836885898958627</v>
      </c>
      <c r="AC23" s="6">
        <v>71.510657696875882</v>
      </c>
      <c r="AD23" s="6">
        <v>0</v>
      </c>
      <c r="AE23" s="6">
        <v>0</v>
      </c>
      <c r="AF23" s="6"/>
      <c r="AG23" s="6">
        <f t="shared" si="6"/>
        <v>13.247661545804259</v>
      </c>
      <c r="AH23" s="6">
        <f t="shared" si="7"/>
        <v>763.42840575507023</v>
      </c>
      <c r="AI23" s="6">
        <f t="shared" si="8"/>
        <v>810.27840227629167</v>
      </c>
      <c r="AJ23" s="6">
        <f t="shared" si="9"/>
        <v>41.067750791993213</v>
      </c>
      <c r="AK23" s="6">
        <f t="shared" si="10"/>
        <v>0</v>
      </c>
      <c r="AM23" s="14">
        <f t="shared" si="11"/>
        <v>1628.0222203691592</v>
      </c>
      <c r="AN23" s="39"/>
      <c r="AP23" s="15"/>
      <c r="AQ23" s="15"/>
      <c r="AR23" s="15"/>
      <c r="AS23" s="15"/>
      <c r="AU23" s="15"/>
      <c r="AV23" s="15"/>
      <c r="AW23" s="15"/>
      <c r="AX23" s="15"/>
      <c r="AZ23" s="16"/>
      <c r="BA23" s="16"/>
      <c r="BB23" s="16"/>
      <c r="BC23" s="16"/>
    </row>
    <row r="24" spans="2:55" x14ac:dyDescent="0.3">
      <c r="B24" s="182" t="s">
        <v>17</v>
      </c>
      <c r="E24" s="8">
        <v>43497</v>
      </c>
      <c r="F24" s="8" t="s">
        <v>63</v>
      </c>
      <c r="G24" s="20" t="s">
        <v>38</v>
      </c>
      <c r="H24" s="20" t="str">
        <f t="shared" si="5"/>
        <v>SubtransmissionAugmentation</v>
      </c>
      <c r="I24" s="6">
        <v>0</v>
      </c>
      <c r="J24" s="6">
        <v>370.32979924706126</v>
      </c>
      <c r="K24" s="6">
        <v>0</v>
      </c>
      <c r="L24" s="6">
        <v>0</v>
      </c>
      <c r="M24" s="6">
        <v>0</v>
      </c>
      <c r="N24" s="6"/>
      <c r="O24" s="6">
        <v>30.162862408866307</v>
      </c>
      <c r="P24" s="6">
        <v>223.84018945527097</v>
      </c>
      <c r="Q24" s="6">
        <v>0</v>
      </c>
      <c r="R24" s="6">
        <v>0</v>
      </c>
      <c r="S24" s="6">
        <v>0</v>
      </c>
      <c r="T24" s="6"/>
      <c r="U24" s="6">
        <v>0</v>
      </c>
      <c r="V24" s="6">
        <v>805.61323453014063</v>
      </c>
      <c r="W24" s="6">
        <v>0</v>
      </c>
      <c r="X24" s="6">
        <v>0</v>
      </c>
      <c r="Y24" s="6">
        <v>0</v>
      </c>
      <c r="Z24" s="6"/>
      <c r="AA24" s="6">
        <v>0</v>
      </c>
      <c r="AB24" s="6">
        <v>125.93948847153297</v>
      </c>
      <c r="AC24" s="6">
        <v>0</v>
      </c>
      <c r="AD24" s="6">
        <v>0</v>
      </c>
      <c r="AE24" s="6">
        <v>0</v>
      </c>
      <c r="AF24" s="6"/>
      <c r="AG24" s="6">
        <f t="shared" si="6"/>
        <v>30.162862408866307</v>
      </c>
      <c r="AH24" s="6">
        <f t="shared" si="7"/>
        <v>1525.7227117040059</v>
      </c>
      <c r="AI24" s="6">
        <f t="shared" si="8"/>
        <v>0</v>
      </c>
      <c r="AJ24" s="6">
        <f t="shared" si="9"/>
        <v>0</v>
      </c>
      <c r="AK24" s="6">
        <f t="shared" si="10"/>
        <v>0</v>
      </c>
      <c r="AM24" s="14">
        <f t="shared" si="11"/>
        <v>1555.8855741128721</v>
      </c>
      <c r="AN24" s="39">
        <f>SUM(AM24:AM25)-'Direct $ Inputs'!H13</f>
        <v>0</v>
      </c>
      <c r="AP24" s="15"/>
      <c r="AQ24" s="15"/>
      <c r="AR24" s="15"/>
      <c r="AS24" s="15"/>
      <c r="AU24" s="15"/>
      <c r="AV24" s="15"/>
      <c r="AW24" s="15"/>
      <c r="AX24" s="15"/>
      <c r="AZ24" s="16"/>
      <c r="BA24" s="16"/>
      <c r="BB24" s="16"/>
      <c r="BC24" s="16"/>
    </row>
    <row r="25" spans="2:55" x14ac:dyDescent="0.3">
      <c r="B25" s="182" t="s">
        <v>17</v>
      </c>
      <c r="E25" s="8">
        <v>43497</v>
      </c>
      <c r="F25" s="8" t="s">
        <v>63</v>
      </c>
      <c r="G25" s="20" t="s">
        <v>42</v>
      </c>
      <c r="H25" s="20" t="str">
        <f t="shared" si="5"/>
        <v>SCADA/Network controlAugmentation</v>
      </c>
      <c r="I25" s="6">
        <v>0</v>
      </c>
      <c r="J25" s="6">
        <v>333.66598041893877</v>
      </c>
      <c r="K25" s="6">
        <v>0</v>
      </c>
      <c r="L25" s="6">
        <v>0</v>
      </c>
      <c r="M25" s="6">
        <v>0</v>
      </c>
      <c r="N25" s="6"/>
      <c r="O25" s="6">
        <v>27.176643841133711</v>
      </c>
      <c r="P25" s="6">
        <v>201.67930429472906</v>
      </c>
      <c r="Q25" s="6">
        <v>0</v>
      </c>
      <c r="R25" s="6">
        <v>0</v>
      </c>
      <c r="S25" s="6">
        <v>0</v>
      </c>
      <c r="T25" s="6"/>
      <c r="U25" s="6">
        <v>0</v>
      </c>
      <c r="V25" s="6">
        <v>725.85498192285945</v>
      </c>
      <c r="W25" s="6">
        <v>0</v>
      </c>
      <c r="X25" s="6">
        <v>0</v>
      </c>
      <c r="Y25" s="6">
        <v>0</v>
      </c>
      <c r="Z25" s="6"/>
      <c r="AA25" s="6">
        <v>0</v>
      </c>
      <c r="AB25" s="6">
        <v>113.47108166761211</v>
      </c>
      <c r="AC25" s="6">
        <v>0</v>
      </c>
      <c r="AD25" s="6">
        <v>0</v>
      </c>
      <c r="AE25" s="6">
        <v>0</v>
      </c>
      <c r="AF25" s="6"/>
      <c r="AG25" s="6">
        <f t="shared" si="6"/>
        <v>27.176643841133711</v>
      </c>
      <c r="AH25" s="6">
        <f t="shared" si="7"/>
        <v>1374.6713483041394</v>
      </c>
      <c r="AI25" s="6">
        <f t="shared" si="8"/>
        <v>0</v>
      </c>
      <c r="AJ25" s="6">
        <f t="shared" si="9"/>
        <v>0</v>
      </c>
      <c r="AK25" s="6">
        <f t="shared" si="10"/>
        <v>0</v>
      </c>
      <c r="AM25" s="14">
        <f t="shared" si="11"/>
        <v>1401.8479921452731</v>
      </c>
      <c r="AN25" s="46"/>
    </row>
    <row r="26" spans="2:55" x14ac:dyDescent="0.3">
      <c r="B26" s="182"/>
      <c r="E26" s="8"/>
      <c r="F26" s="8"/>
      <c r="G26" s="20"/>
      <c r="H26" s="2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55" x14ac:dyDescent="0.3">
      <c r="B27" s="26" t="s">
        <v>37</v>
      </c>
      <c r="E27" s="8"/>
      <c r="F27" s="8"/>
      <c r="G27" s="8"/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55" x14ac:dyDescent="0.3">
      <c r="B28" s="182" t="s">
        <v>9</v>
      </c>
      <c r="C28" s="9">
        <v>42826</v>
      </c>
      <c r="D28" s="9">
        <v>42917</v>
      </c>
      <c r="E28" s="8">
        <v>43009</v>
      </c>
      <c r="F28" s="8" t="s">
        <v>63</v>
      </c>
      <c r="G28" s="8" t="s">
        <v>39</v>
      </c>
      <c r="H28" s="20" t="str">
        <f t="shared" ref="H28:H36" si="17">G28&amp;F28</f>
        <v>Distribution system assetsAugmentation</v>
      </c>
      <c r="I28" s="6">
        <v>0</v>
      </c>
      <c r="J28" s="6">
        <f>'Direct $ Inputs'!C19</f>
        <v>551.96178244199996</v>
      </c>
      <c r="K28" s="6"/>
      <c r="L28" s="6"/>
      <c r="M28" s="6"/>
      <c r="N28" s="6"/>
      <c r="O28" s="6">
        <v>0</v>
      </c>
      <c r="P28" s="6">
        <f>'Direct $ Inputs'!D19</f>
        <v>199.2711936</v>
      </c>
      <c r="Q28" s="6"/>
      <c r="R28" s="6"/>
      <c r="S28" s="6"/>
      <c r="T28" s="6"/>
      <c r="U28" s="6">
        <v>0</v>
      </c>
      <c r="V28" s="6">
        <f>'Direct $ Inputs'!E19+'Direct $ Inputs'!F19</f>
        <v>79.964423400000001</v>
      </c>
      <c r="W28" s="6"/>
      <c r="X28" s="6"/>
      <c r="Y28" s="6"/>
      <c r="Z28" s="6"/>
      <c r="AA28" s="6">
        <v>0</v>
      </c>
      <c r="AB28" s="6">
        <f>'Direct $ Inputs'!G19</f>
        <v>163.11172426207114</v>
      </c>
      <c r="AC28" s="6"/>
      <c r="AD28" s="6"/>
      <c r="AE28" s="6"/>
      <c r="AF28" s="6"/>
      <c r="AG28" s="6">
        <f>I28+O28+U28+AA28</f>
        <v>0</v>
      </c>
      <c r="AH28" s="6">
        <f t="shared" ref="AH28:AH36" si="18">J28+P28+V28+AB28</f>
        <v>994.30912370407111</v>
      </c>
      <c r="AI28" s="6">
        <f t="shared" ref="AI28:AI36" si="19">K28+Q28+W28+AC28</f>
        <v>0</v>
      </c>
      <c r="AJ28" s="6">
        <f t="shared" ref="AJ28:AJ36" si="20">L28+R28+X28+AD28</f>
        <v>0</v>
      </c>
      <c r="AK28" s="6">
        <f t="shared" ref="AK28:AK36" si="21">M28+S28+Y28+AE28</f>
        <v>0</v>
      </c>
      <c r="AM28" s="14">
        <f t="shared" ref="AM28:AM36" si="22">SUM(AG28:AK28)</f>
        <v>994.30912370407111</v>
      </c>
      <c r="AN28" s="11">
        <f>AM28-'Direct $ Inputs'!H19</f>
        <v>0</v>
      </c>
    </row>
    <row r="29" spans="2:55" x14ac:dyDescent="0.3">
      <c r="B29" s="182" t="s">
        <v>10</v>
      </c>
      <c r="C29" s="9">
        <v>42826</v>
      </c>
      <c r="D29" s="9">
        <v>42917</v>
      </c>
      <c r="E29" s="8">
        <v>43009</v>
      </c>
      <c r="F29" s="8" t="s">
        <v>63</v>
      </c>
      <c r="G29" s="8" t="s">
        <v>39</v>
      </c>
      <c r="H29" s="20" t="str">
        <f t="shared" si="17"/>
        <v>Distribution system assetsAugmentation</v>
      </c>
      <c r="I29" s="6">
        <v>0</v>
      </c>
      <c r="J29" s="6">
        <f>'Direct $ Inputs'!C20</f>
        <v>790.451355036</v>
      </c>
      <c r="K29" s="6"/>
      <c r="L29" s="6"/>
      <c r="M29" s="6"/>
      <c r="N29" s="6"/>
      <c r="O29" s="6">
        <v>0</v>
      </c>
      <c r="P29" s="6">
        <f>'Direct $ Inputs'!D20</f>
        <v>286.5573488</v>
      </c>
      <c r="Q29" s="6"/>
      <c r="R29" s="6"/>
      <c r="S29" s="6"/>
      <c r="T29" s="6"/>
      <c r="U29" s="6">
        <v>0</v>
      </c>
      <c r="V29" s="6">
        <f>'Direct $ Inputs'!E20+'Direct $ Inputs'!F20</f>
        <v>154.43573720000001</v>
      </c>
      <c r="W29" s="6"/>
      <c r="X29" s="6"/>
      <c r="Y29" s="6"/>
      <c r="Z29" s="6"/>
      <c r="AA29" s="6">
        <v>0</v>
      </c>
      <c r="AB29" s="6">
        <f>'Direct $ Inputs'!G20</f>
        <v>238.18641875739314</v>
      </c>
      <c r="AC29" s="6"/>
      <c r="AD29" s="6"/>
      <c r="AE29" s="6"/>
      <c r="AF29" s="6"/>
      <c r="AG29" s="6">
        <f t="shared" ref="AG29:AG36" si="23">I29+O29+U29+AA29</f>
        <v>0</v>
      </c>
      <c r="AH29" s="6">
        <f t="shared" si="18"/>
        <v>1469.630859793393</v>
      </c>
      <c r="AI29" s="6">
        <f t="shared" si="19"/>
        <v>0</v>
      </c>
      <c r="AJ29" s="6">
        <f t="shared" si="20"/>
        <v>0</v>
      </c>
      <c r="AK29" s="6">
        <f t="shared" si="21"/>
        <v>0</v>
      </c>
      <c r="AM29" s="14">
        <f t="shared" si="22"/>
        <v>1469.630859793393</v>
      </c>
      <c r="AN29" s="11">
        <f>AM29-'Direct $ Inputs'!H20</f>
        <v>0</v>
      </c>
    </row>
    <row r="30" spans="2:55" x14ac:dyDescent="0.3">
      <c r="B30" s="182" t="s">
        <v>11</v>
      </c>
      <c r="C30" s="9">
        <v>42826</v>
      </c>
      <c r="D30" s="9">
        <v>42917</v>
      </c>
      <c r="E30" s="8">
        <v>43009</v>
      </c>
      <c r="F30" s="8" t="s">
        <v>63</v>
      </c>
      <c r="G30" s="8" t="s">
        <v>39</v>
      </c>
      <c r="H30" s="20" t="str">
        <f t="shared" si="17"/>
        <v>Distribution system assetsAugmentation</v>
      </c>
      <c r="I30" s="6">
        <v>0</v>
      </c>
      <c r="J30" s="6">
        <f>'Direct $ Inputs'!C21</f>
        <v>416.27775590099992</v>
      </c>
      <c r="K30" s="6"/>
      <c r="L30" s="6"/>
      <c r="M30" s="6"/>
      <c r="N30" s="6"/>
      <c r="O30" s="6">
        <v>0</v>
      </c>
      <c r="P30" s="6">
        <f>'Direct $ Inputs'!D21</f>
        <v>152.90939079999998</v>
      </c>
      <c r="Q30" s="6"/>
      <c r="R30" s="6"/>
      <c r="S30" s="6"/>
      <c r="T30" s="6"/>
      <c r="U30" s="6">
        <v>0</v>
      </c>
      <c r="V30" s="6">
        <f>'Direct $ Inputs'!E21+'Direct $ Inputs'!F21</f>
        <v>148.62254770000001</v>
      </c>
      <c r="W30" s="6"/>
      <c r="X30" s="6"/>
      <c r="Y30" s="6"/>
      <c r="Z30" s="6"/>
      <c r="AA30" s="6">
        <v>0</v>
      </c>
      <c r="AB30" s="6">
        <f>'Direct $ Inputs'!G21</f>
        <v>133.18737014009599</v>
      </c>
      <c r="AC30" s="6"/>
      <c r="AD30" s="6"/>
      <c r="AE30" s="6"/>
      <c r="AF30" s="6"/>
      <c r="AG30" s="6">
        <f t="shared" si="23"/>
        <v>0</v>
      </c>
      <c r="AH30" s="6">
        <f t="shared" si="18"/>
        <v>850.99706454109582</v>
      </c>
      <c r="AI30" s="6">
        <f t="shared" si="19"/>
        <v>0</v>
      </c>
      <c r="AJ30" s="6">
        <f t="shared" si="20"/>
        <v>0</v>
      </c>
      <c r="AK30" s="6">
        <f t="shared" si="21"/>
        <v>0</v>
      </c>
      <c r="AM30" s="14">
        <f t="shared" si="22"/>
        <v>850.99706454109582</v>
      </c>
      <c r="AN30" s="11">
        <f>AM30-'Direct $ Inputs'!H21</f>
        <v>0</v>
      </c>
    </row>
    <row r="31" spans="2:55" x14ac:dyDescent="0.3">
      <c r="B31" s="182" t="s">
        <v>12</v>
      </c>
      <c r="C31" s="9">
        <v>42887</v>
      </c>
      <c r="D31" s="17">
        <v>42979</v>
      </c>
      <c r="E31" s="8">
        <v>43313</v>
      </c>
      <c r="F31" s="8" t="s">
        <v>63</v>
      </c>
      <c r="G31" s="8" t="s">
        <v>39</v>
      </c>
      <c r="H31" s="20" t="str">
        <f t="shared" si="17"/>
        <v>Distribution system assetsAugmentation</v>
      </c>
      <c r="I31" s="6">
        <v>0</v>
      </c>
      <c r="J31" s="6">
        <f>0.6*'Direct $ Inputs'!C22</f>
        <v>249.74590912740001</v>
      </c>
      <c r="K31" s="6">
        <f>0.4*'Direct $ Inputs'!C22</f>
        <v>166.49727275160001</v>
      </c>
      <c r="L31" s="6"/>
      <c r="M31" s="6"/>
      <c r="N31" s="6"/>
      <c r="O31" s="6">
        <v>0</v>
      </c>
      <c r="P31" s="6">
        <f>0.6*'Direct $ Inputs'!D22</f>
        <v>91.24261992000001</v>
      </c>
      <c r="Q31" s="6">
        <f>0.4*'Direct $ Inputs'!D22</f>
        <v>60.828413280000007</v>
      </c>
      <c r="R31" s="6"/>
      <c r="S31" s="6"/>
      <c r="T31" s="6"/>
      <c r="U31" s="6">
        <v>0</v>
      </c>
      <c r="V31" s="6">
        <f>'Direct $ Inputs'!E22+0.3*'Direct $ Inputs'!F22</f>
        <v>91.180247490000013</v>
      </c>
      <c r="W31" s="6">
        <f>0.7*'Direct $ Inputs'!F22</f>
        <v>29.633910810000007</v>
      </c>
      <c r="X31" s="6"/>
      <c r="Y31" s="6"/>
      <c r="Z31" s="6"/>
      <c r="AA31" s="6">
        <v>0</v>
      </c>
      <c r="AB31" s="6">
        <f>0.3*'Direct $ Inputs'!G22</f>
        <v>38.992440332551254</v>
      </c>
      <c r="AC31" s="6">
        <f>0.7*'Direct $ Inputs'!G22</f>
        <v>90.982360775952927</v>
      </c>
      <c r="AD31" s="6"/>
      <c r="AE31" s="6"/>
      <c r="AF31" s="6"/>
      <c r="AG31" s="6">
        <f t="shared" si="23"/>
        <v>0</v>
      </c>
      <c r="AH31" s="6">
        <f t="shared" si="18"/>
        <v>471.16121686995126</v>
      </c>
      <c r="AI31" s="6">
        <f t="shared" si="19"/>
        <v>347.94195761755299</v>
      </c>
      <c r="AJ31" s="6">
        <f t="shared" si="20"/>
        <v>0</v>
      </c>
      <c r="AK31" s="6">
        <f t="shared" si="21"/>
        <v>0</v>
      </c>
      <c r="AM31" s="14">
        <f t="shared" si="22"/>
        <v>819.10317448750425</v>
      </c>
      <c r="AN31" s="11">
        <f>AM31-'Direct $ Inputs'!H22</f>
        <v>0</v>
      </c>
    </row>
    <row r="32" spans="2:55" x14ac:dyDescent="0.3">
      <c r="B32" s="182" t="s">
        <v>13</v>
      </c>
      <c r="C32" s="9">
        <v>42887</v>
      </c>
      <c r="D32" s="9">
        <v>43009</v>
      </c>
      <c r="E32" s="8">
        <v>43374</v>
      </c>
      <c r="F32" s="8" t="s">
        <v>63</v>
      </c>
      <c r="G32" s="8" t="s">
        <v>39</v>
      </c>
      <c r="H32" s="20" t="str">
        <f t="shared" si="17"/>
        <v>Distribution system assetsAugmentation</v>
      </c>
      <c r="I32" s="6">
        <v>0</v>
      </c>
      <c r="J32" s="6">
        <f>0.4*'Direct $ Inputs'!C23</f>
        <v>741.08297134199995</v>
      </c>
      <c r="K32" s="6">
        <f>0.6*'Direct $ Inputs'!C23</f>
        <v>1111.6244570129998</v>
      </c>
      <c r="L32" s="6"/>
      <c r="M32" s="6"/>
      <c r="N32" s="6"/>
      <c r="O32" s="6">
        <v>0</v>
      </c>
      <c r="P32" s="6">
        <f>0.4*'Direct $ Inputs'!D23</f>
        <v>268.31933359999999</v>
      </c>
      <c r="Q32" s="6">
        <f>0.6*'Direct $ Inputs'!D23</f>
        <v>402.47900039999996</v>
      </c>
      <c r="R32" s="6"/>
      <c r="S32" s="6"/>
      <c r="T32" s="6"/>
      <c r="U32" s="6">
        <v>0</v>
      </c>
      <c r="V32" s="6">
        <f>'Direct $ Inputs'!E23+0.3*'Direct $ Inputs'!F23</f>
        <v>209.85971505000001</v>
      </c>
      <c r="W32" s="6">
        <f>0.7*'Direct $ Inputs'!F23</f>
        <v>123.43266844999998</v>
      </c>
      <c r="X32" s="6"/>
      <c r="Y32" s="6"/>
      <c r="Z32" s="6"/>
      <c r="AA32" s="6">
        <v>0</v>
      </c>
      <c r="AB32" s="6">
        <f>0.3*'Direct $ Inputs'!G23</f>
        <v>166.49158336065898</v>
      </c>
      <c r="AC32" s="6">
        <f>0.7*'Direct $ Inputs'!G23</f>
        <v>388.48036117487095</v>
      </c>
      <c r="AD32" s="6"/>
      <c r="AE32" s="6"/>
      <c r="AF32" s="6"/>
      <c r="AG32" s="6">
        <f t="shared" si="23"/>
        <v>0</v>
      </c>
      <c r="AH32" s="6">
        <f t="shared" si="18"/>
        <v>1385.753603352659</v>
      </c>
      <c r="AI32" s="6">
        <f t="shared" si="19"/>
        <v>2026.0164870378705</v>
      </c>
      <c r="AJ32" s="6">
        <f t="shared" si="20"/>
        <v>0</v>
      </c>
      <c r="AK32" s="6">
        <f t="shared" si="21"/>
        <v>0</v>
      </c>
      <c r="AM32" s="14">
        <f t="shared" si="22"/>
        <v>3411.7700903905297</v>
      </c>
      <c r="AN32" s="11">
        <f>AM32-'Direct $ Inputs'!H23</f>
        <v>0</v>
      </c>
    </row>
    <row r="33" spans="2:40" x14ac:dyDescent="0.3">
      <c r="B33" s="182" t="s">
        <v>14</v>
      </c>
      <c r="C33" s="9">
        <v>42887</v>
      </c>
      <c r="D33" s="9">
        <v>43009</v>
      </c>
      <c r="E33" s="8">
        <v>43374</v>
      </c>
      <c r="F33" s="8" t="s">
        <v>63</v>
      </c>
      <c r="G33" s="8" t="s">
        <v>39</v>
      </c>
      <c r="H33" s="20" t="str">
        <f t="shared" si="17"/>
        <v>Distribution system assetsAugmentation</v>
      </c>
      <c r="I33" s="6">
        <v>0</v>
      </c>
      <c r="J33" s="6">
        <f>0.4*'Direct $ Inputs'!C24</f>
        <v>811.67227564079985</v>
      </c>
      <c r="K33" s="6">
        <f>0.6*'Direct $ Inputs'!C24</f>
        <v>1217.5084134611998</v>
      </c>
      <c r="L33" s="6"/>
      <c r="M33" s="6"/>
      <c r="N33" s="6"/>
      <c r="O33" s="6">
        <v>0</v>
      </c>
      <c r="P33" s="6">
        <f>0.4*'Direct $ Inputs'!D24</f>
        <v>294.01872864000001</v>
      </c>
      <c r="Q33" s="6">
        <f>0.6*'Direct $ Inputs'!D24</f>
        <v>441.02809295999992</v>
      </c>
      <c r="R33" s="6"/>
      <c r="S33" s="6"/>
      <c r="T33" s="6"/>
      <c r="U33" s="6">
        <v>0</v>
      </c>
      <c r="V33" s="6">
        <f>'Direct $ Inputs'!E24+0.3*'Direct $ Inputs'!F24</f>
        <v>241.26999161999998</v>
      </c>
      <c r="W33" s="6">
        <f>0.7*'Direct $ Inputs'!F24</f>
        <v>135.68331377999999</v>
      </c>
      <c r="X33" s="6"/>
      <c r="Y33" s="6"/>
      <c r="Z33" s="6"/>
      <c r="AA33" s="6">
        <v>0</v>
      </c>
      <c r="AB33" s="6">
        <f>0.3*'Direct $ Inputs'!G24</f>
        <v>182.761846880234</v>
      </c>
      <c r="AC33" s="6">
        <f>0.7*'Direct $ Inputs'!G24</f>
        <v>426.44430938721263</v>
      </c>
      <c r="AD33" s="6"/>
      <c r="AE33" s="6"/>
      <c r="AF33" s="6"/>
      <c r="AG33" s="6">
        <f t="shared" si="23"/>
        <v>0</v>
      </c>
      <c r="AH33" s="6">
        <f t="shared" si="18"/>
        <v>1529.7228427810339</v>
      </c>
      <c r="AI33" s="6">
        <f t="shared" si="19"/>
        <v>2220.6641295884124</v>
      </c>
      <c r="AJ33" s="6">
        <f t="shared" si="20"/>
        <v>0</v>
      </c>
      <c r="AK33" s="6">
        <f t="shared" si="21"/>
        <v>0</v>
      </c>
      <c r="AM33" s="14">
        <f t="shared" si="22"/>
        <v>3750.3869723694461</v>
      </c>
      <c r="AN33" s="11">
        <f>AM33-'Direct $ Inputs'!H24</f>
        <v>0</v>
      </c>
    </row>
    <row r="34" spans="2:40" x14ac:dyDescent="0.3">
      <c r="B34" s="182" t="s">
        <v>15</v>
      </c>
      <c r="C34" s="9">
        <v>42887</v>
      </c>
      <c r="D34" s="9">
        <v>42979</v>
      </c>
      <c r="E34" s="8">
        <v>43374</v>
      </c>
      <c r="F34" s="8" t="s">
        <v>63</v>
      </c>
      <c r="G34" s="8" t="s">
        <v>39</v>
      </c>
      <c r="H34" s="20" t="str">
        <f t="shared" si="17"/>
        <v>Distribution system assetsAugmentation</v>
      </c>
      <c r="I34" s="6">
        <v>0</v>
      </c>
      <c r="J34" s="6">
        <f>0.4*'Direct $ Inputs'!C25</f>
        <v>624.07815327479989</v>
      </c>
      <c r="K34" s="6">
        <f>0.6*'Direct $ Inputs'!C25</f>
        <v>936.11722991219972</v>
      </c>
      <c r="L34" s="6"/>
      <c r="M34" s="6"/>
      <c r="N34" s="6"/>
      <c r="O34" s="6">
        <v>0</v>
      </c>
      <c r="P34" s="6">
        <f>0.4*'Direct $ Inputs'!D25</f>
        <v>227.59057583999999</v>
      </c>
      <c r="Q34" s="6">
        <f>0.6*'Direct $ Inputs'!D25</f>
        <v>341.38586375999995</v>
      </c>
      <c r="R34" s="6"/>
      <c r="S34" s="6"/>
      <c r="T34" s="6"/>
      <c r="U34" s="6">
        <v>0</v>
      </c>
      <c r="V34" s="6">
        <f>'Direct $ Inputs'!E25+0.3*'Direct $ Inputs'!F25</f>
        <v>308.58963297000003</v>
      </c>
      <c r="W34" s="6">
        <f>0.7*'Direct $ Inputs'!F25</f>
        <v>109.64247693</v>
      </c>
      <c r="X34" s="6"/>
      <c r="Y34" s="6"/>
      <c r="Z34" s="6"/>
      <c r="AA34" s="6">
        <v>0</v>
      </c>
      <c r="AB34" s="6">
        <f>0.3*'Direct $ Inputs'!G25</f>
        <v>144.95852470050144</v>
      </c>
      <c r="AC34" s="6">
        <f>0.7*'Direct $ Inputs'!G25</f>
        <v>338.23655763450336</v>
      </c>
      <c r="AD34" s="6"/>
      <c r="AE34" s="6"/>
      <c r="AF34" s="6"/>
      <c r="AG34" s="6">
        <f t="shared" si="23"/>
        <v>0</v>
      </c>
      <c r="AH34" s="6">
        <f t="shared" si="18"/>
        <v>1305.2168867853013</v>
      </c>
      <c r="AI34" s="6">
        <f t="shared" si="19"/>
        <v>1725.382128236703</v>
      </c>
      <c r="AJ34" s="6">
        <f t="shared" si="20"/>
        <v>0</v>
      </c>
      <c r="AK34" s="6">
        <f t="shared" si="21"/>
        <v>0</v>
      </c>
      <c r="AM34" s="14">
        <f t="shared" si="22"/>
        <v>3030.5990150220041</v>
      </c>
      <c r="AN34" s="11">
        <f>AM34-'Direct $ Inputs'!H25</f>
        <v>0</v>
      </c>
    </row>
    <row r="35" spans="2:40" x14ac:dyDescent="0.3">
      <c r="B35" s="182" t="s">
        <v>16</v>
      </c>
      <c r="C35" s="9">
        <v>42887</v>
      </c>
      <c r="D35" s="9">
        <v>43009</v>
      </c>
      <c r="E35" s="8">
        <v>43374</v>
      </c>
      <c r="F35" s="8" t="s">
        <v>63</v>
      </c>
      <c r="G35" s="8" t="s">
        <v>39</v>
      </c>
      <c r="H35" s="20" t="str">
        <f t="shared" si="17"/>
        <v>Distribution system assetsAugmentation</v>
      </c>
      <c r="I35" s="6">
        <v>0</v>
      </c>
      <c r="J35" s="6">
        <f>0.4*'Direct $ Inputs'!C26</f>
        <v>239.95544977320003</v>
      </c>
      <c r="K35" s="6">
        <f>0.6*'Direct $ Inputs'!C26</f>
        <v>359.93317465979999</v>
      </c>
      <c r="L35" s="6"/>
      <c r="M35" s="6"/>
      <c r="N35" s="6"/>
      <c r="O35" s="6">
        <v>0</v>
      </c>
      <c r="P35" s="6">
        <f>0.4*'Direct $ Inputs'!D26</f>
        <v>87.889222560000007</v>
      </c>
      <c r="Q35" s="6">
        <f>0.6*'Direct $ Inputs'!D26</f>
        <v>131.83383383999998</v>
      </c>
      <c r="R35" s="6"/>
      <c r="S35" s="6"/>
      <c r="T35" s="6"/>
      <c r="U35" s="6">
        <v>0</v>
      </c>
      <c r="V35" s="6">
        <f>'Direct $ Inputs'!E26+0.3*'Direct $ Inputs'!F26</f>
        <v>149.43742923000002</v>
      </c>
      <c r="W35" s="6">
        <f>0.7*'Direct $ Inputs'!F26</f>
        <v>43.487334870000005</v>
      </c>
      <c r="X35" s="6"/>
      <c r="Y35" s="6"/>
      <c r="Z35" s="6"/>
      <c r="AA35" s="6">
        <v>0</v>
      </c>
      <c r="AB35" s="6">
        <f>0.3*'Direct $ Inputs'!G26</f>
        <v>56.845679704593159</v>
      </c>
      <c r="AC35" s="6">
        <f>0.7*'Direct $ Inputs'!G26</f>
        <v>132.63991931071737</v>
      </c>
      <c r="AD35" s="6"/>
      <c r="AE35" s="6"/>
      <c r="AF35" s="6"/>
      <c r="AG35" s="6">
        <f t="shared" si="23"/>
        <v>0</v>
      </c>
      <c r="AH35" s="6">
        <f t="shared" si="18"/>
        <v>534.12778126779324</v>
      </c>
      <c r="AI35" s="6">
        <f t="shared" si="19"/>
        <v>667.89426268051739</v>
      </c>
      <c r="AJ35" s="6">
        <f t="shared" si="20"/>
        <v>0</v>
      </c>
      <c r="AK35" s="6">
        <f t="shared" si="21"/>
        <v>0</v>
      </c>
      <c r="AM35" s="14">
        <f t="shared" si="22"/>
        <v>1202.0220439483105</v>
      </c>
      <c r="AN35" s="11">
        <f>AM35-'Direct $ Inputs'!H26</f>
        <v>0</v>
      </c>
    </row>
    <row r="36" spans="2:40" x14ac:dyDescent="0.3">
      <c r="B36" s="182" t="s">
        <v>17</v>
      </c>
      <c r="C36" s="9">
        <v>42887</v>
      </c>
      <c r="D36" s="9">
        <v>43009</v>
      </c>
      <c r="E36" s="8">
        <v>43497</v>
      </c>
      <c r="F36" s="8" t="s">
        <v>63</v>
      </c>
      <c r="G36" s="8" t="s">
        <v>39</v>
      </c>
      <c r="H36" s="20" t="str">
        <f t="shared" si="17"/>
        <v>Distribution system assetsAugmentation</v>
      </c>
      <c r="I36" s="6">
        <v>0</v>
      </c>
      <c r="J36" s="6">
        <f>0.4*'Direct $ Inputs'!C27</f>
        <v>340.12730553480003</v>
      </c>
      <c r="K36" s="6">
        <f>0.6*'Direct $ Inputs'!C27</f>
        <v>510.19095830219999</v>
      </c>
      <c r="L36" s="6"/>
      <c r="M36" s="6"/>
      <c r="N36" s="6"/>
      <c r="O36" s="6">
        <v>0</v>
      </c>
      <c r="P36" s="6">
        <f>0.4*'Direct $ Inputs'!D27</f>
        <v>123.22914384000001</v>
      </c>
      <c r="Q36" s="6">
        <f>0.6*'Direct $ Inputs'!D27</f>
        <v>184.84371576000001</v>
      </c>
      <c r="R36" s="6"/>
      <c r="S36" s="6"/>
      <c r="T36" s="6"/>
      <c r="U36" s="6">
        <v>0</v>
      </c>
      <c r="V36" s="6">
        <f>'Direct $ Inputs'!E27+0.2*'Direct $ Inputs'!F27</f>
        <v>94.746922980000008</v>
      </c>
      <c r="W36" s="6">
        <f>0.8*'Direct $ Inputs'!F27</f>
        <v>65.067691920000016</v>
      </c>
      <c r="X36" s="6"/>
      <c r="Y36" s="6"/>
      <c r="Z36" s="6"/>
      <c r="AA36" s="6">
        <v>0</v>
      </c>
      <c r="AB36" s="6">
        <f>0.2*'Direct $ Inputs'!G27</f>
        <v>51.099685435728723</v>
      </c>
      <c r="AC36" s="6">
        <f>0.8*'Direct $ Inputs'!G27</f>
        <v>204.39874174291489</v>
      </c>
      <c r="AD36" s="6"/>
      <c r="AE36" s="6"/>
      <c r="AF36" s="6"/>
      <c r="AG36" s="6">
        <f t="shared" si="23"/>
        <v>0</v>
      </c>
      <c r="AH36" s="6">
        <f t="shared" si="18"/>
        <v>609.20305779052876</v>
      </c>
      <c r="AI36" s="6">
        <f t="shared" si="19"/>
        <v>964.50110772511493</v>
      </c>
      <c r="AJ36" s="6">
        <f t="shared" si="20"/>
        <v>0</v>
      </c>
      <c r="AK36" s="6">
        <f t="shared" si="21"/>
        <v>0</v>
      </c>
      <c r="AM36" s="14">
        <f t="shared" si="22"/>
        <v>1573.7041655156436</v>
      </c>
      <c r="AN36" s="11">
        <f>AM36-'Direct $ Inputs'!H27</f>
        <v>0</v>
      </c>
    </row>
    <row r="37" spans="2:40" x14ac:dyDescent="0.3">
      <c r="E37" s="8"/>
      <c r="F37" s="8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40" x14ac:dyDescent="0.3">
      <c r="B38" s="26" t="s">
        <v>187</v>
      </c>
      <c r="E38" s="8"/>
      <c r="F38" s="8"/>
      <c r="G38" s="8"/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40" x14ac:dyDescent="0.3">
      <c r="B39" s="182" t="s">
        <v>9</v>
      </c>
      <c r="D39" s="9">
        <v>43070</v>
      </c>
      <c r="E39" s="8">
        <v>43374</v>
      </c>
      <c r="F39" s="8" t="s">
        <v>65</v>
      </c>
      <c r="G39" s="8" t="s">
        <v>39</v>
      </c>
      <c r="H39" s="20" t="str">
        <f t="shared" ref="H39:H47" si="24">G39&amp;F39</f>
        <v>Distribution system assetsReplacement</v>
      </c>
      <c r="I39" s="6">
        <v>0</v>
      </c>
      <c r="J39" s="6">
        <f>0.4*'Direct $ Inputs'!C33</f>
        <v>522.28135387746795</v>
      </c>
      <c r="K39" s="6">
        <f>0.6*'Direct $ Inputs'!C33</f>
        <v>783.42203081620198</v>
      </c>
      <c r="L39" s="6"/>
      <c r="M39" s="6"/>
      <c r="N39" s="6"/>
      <c r="O39" s="6">
        <v>0</v>
      </c>
      <c r="P39" s="6">
        <f>0.4*'Direct $ Inputs'!D33</f>
        <v>90.861348137594135</v>
      </c>
      <c r="Q39" s="6">
        <f>0.6*'Direct $ Inputs'!D33</f>
        <v>136.29202220639118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>
        <f>I39+O39+U39+AA39</f>
        <v>0</v>
      </c>
      <c r="AH39" s="6">
        <f t="shared" ref="AH39:AH47" si="25">J39+P39+V39+AB39</f>
        <v>613.14270201506213</v>
      </c>
      <c r="AI39" s="6">
        <f t="shared" ref="AI39:AI47" si="26">K39+Q39+W39+AC39</f>
        <v>919.71405302259313</v>
      </c>
      <c r="AJ39" s="6">
        <f t="shared" ref="AJ39:AJ47" si="27">L39+R39+X39+AD39</f>
        <v>0</v>
      </c>
      <c r="AK39" s="6">
        <f t="shared" ref="AK39:AK47" si="28">M39+S39+Y39+AE39</f>
        <v>0</v>
      </c>
      <c r="AM39" s="14">
        <f t="shared" ref="AM39" si="29">SUM(AG39:AK39)</f>
        <v>1532.8567550376551</v>
      </c>
      <c r="AN39" s="11">
        <f>AM39-'Direct $ Inputs'!H33</f>
        <v>0</v>
      </c>
    </row>
    <row r="40" spans="2:40" x14ac:dyDescent="0.3">
      <c r="B40" s="182" t="s">
        <v>10</v>
      </c>
      <c r="D40" s="9">
        <v>43070</v>
      </c>
      <c r="E40" s="8">
        <v>43374</v>
      </c>
      <c r="F40" s="8" t="s">
        <v>65</v>
      </c>
      <c r="G40" s="8" t="s">
        <v>39</v>
      </c>
      <c r="H40" s="20" t="str">
        <f t="shared" si="24"/>
        <v>Distribution system assetsReplacement</v>
      </c>
      <c r="I40" s="6">
        <v>0</v>
      </c>
      <c r="J40" s="6">
        <f>0.4*'Direct $ Inputs'!C34</f>
        <v>545.75467315285982</v>
      </c>
      <c r="K40" s="6">
        <f>0.6*'Direct $ Inputs'!C34</f>
        <v>818.63200972928962</v>
      </c>
      <c r="L40" s="6"/>
      <c r="M40" s="6"/>
      <c r="N40" s="6"/>
      <c r="O40" s="6">
        <v>0</v>
      </c>
      <c r="P40" s="6">
        <f>0.4*'Direct $ Inputs'!D34</f>
        <v>94.945004233665784</v>
      </c>
      <c r="Q40" s="6">
        <f>0.6*'Direct $ Inputs'!D34</f>
        <v>142.41750635049866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>
        <f t="shared" ref="AG40:AG47" si="30">I40+O40+U40+AA40</f>
        <v>0</v>
      </c>
      <c r="AH40" s="6">
        <f t="shared" si="25"/>
        <v>640.69967738652565</v>
      </c>
      <c r="AI40" s="6">
        <f t="shared" si="26"/>
        <v>961.0495160797883</v>
      </c>
      <c r="AJ40" s="6">
        <f t="shared" si="27"/>
        <v>0</v>
      </c>
      <c r="AK40" s="6">
        <f t="shared" si="28"/>
        <v>0</v>
      </c>
      <c r="AM40" s="14">
        <f t="shared" ref="AM40:AM47" si="31">SUM(AG40:AK40)</f>
        <v>1601.749193466314</v>
      </c>
      <c r="AN40" s="11">
        <f>AM40-'Direct $ Inputs'!H34</f>
        <v>0</v>
      </c>
    </row>
    <row r="41" spans="2:40" x14ac:dyDescent="0.3">
      <c r="B41" s="182" t="s">
        <v>11</v>
      </c>
      <c r="D41" s="9">
        <v>43070</v>
      </c>
      <c r="E41" s="8">
        <v>43374</v>
      </c>
      <c r="F41" s="8" t="s">
        <v>65</v>
      </c>
      <c r="G41" s="8" t="s">
        <v>39</v>
      </c>
      <c r="H41" s="20" t="str">
        <f t="shared" si="24"/>
        <v>Distribution system assetsReplacement</v>
      </c>
      <c r="I41" s="6">
        <v>0</v>
      </c>
      <c r="J41" s="6">
        <f>0.4*'Direct $ Inputs'!C35</f>
        <v>150.89990962751887</v>
      </c>
      <c r="K41" s="6">
        <f>0.6*'Direct $ Inputs'!C35</f>
        <v>226.34986444127827</v>
      </c>
      <c r="L41" s="6"/>
      <c r="M41" s="6"/>
      <c r="N41" s="6"/>
      <c r="O41" s="6">
        <v>0</v>
      </c>
      <c r="P41" s="6">
        <f>0.4*'Direct $ Inputs'!D35</f>
        <v>26.252074903317727</v>
      </c>
      <c r="Q41" s="6">
        <f>0.6*'Direct $ Inputs'!D35</f>
        <v>39.378112354976587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>
        <f t="shared" si="30"/>
        <v>0</v>
      </c>
      <c r="AH41" s="6">
        <f t="shared" si="25"/>
        <v>177.15198453083659</v>
      </c>
      <c r="AI41" s="6">
        <f t="shared" si="26"/>
        <v>265.72797679625484</v>
      </c>
      <c r="AJ41" s="6">
        <f t="shared" si="27"/>
        <v>0</v>
      </c>
      <c r="AK41" s="6">
        <f t="shared" si="28"/>
        <v>0</v>
      </c>
      <c r="AM41" s="14">
        <f t="shared" si="31"/>
        <v>442.87996132709145</v>
      </c>
      <c r="AN41" s="11">
        <f>AM41-'Direct $ Inputs'!H35</f>
        <v>0</v>
      </c>
    </row>
    <row r="42" spans="2:40" x14ac:dyDescent="0.3">
      <c r="B42" s="182" t="s">
        <v>12</v>
      </c>
      <c r="D42" s="9">
        <v>43070</v>
      </c>
      <c r="E42" s="8">
        <v>43374</v>
      </c>
      <c r="F42" s="8" t="s">
        <v>65</v>
      </c>
      <c r="G42" s="8" t="s">
        <v>39</v>
      </c>
      <c r="H42" s="20" t="str">
        <f t="shared" si="24"/>
        <v>Distribution system assetsReplacement</v>
      </c>
      <c r="I42" s="6">
        <v>0</v>
      </c>
      <c r="J42" s="6">
        <f>0.4*'Direct $ Inputs'!C36</f>
        <v>133.29492017097499</v>
      </c>
      <c r="K42" s="6">
        <f>0.6*'Direct $ Inputs'!C36</f>
        <v>199.94238025646246</v>
      </c>
      <c r="L42" s="6"/>
      <c r="M42" s="6"/>
      <c r="N42" s="6"/>
      <c r="O42" s="6">
        <v>0</v>
      </c>
      <c r="P42" s="6">
        <f>0.4*'Direct $ Inputs'!D36</f>
        <v>23.189332831263997</v>
      </c>
      <c r="Q42" s="6">
        <f>0.6*'Direct $ Inputs'!D36</f>
        <v>34.783999246895988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>
        <f t="shared" si="30"/>
        <v>0</v>
      </c>
      <c r="AH42" s="6">
        <f t="shared" si="25"/>
        <v>156.48425300223897</v>
      </c>
      <c r="AI42" s="6">
        <f t="shared" si="26"/>
        <v>234.72637950335843</v>
      </c>
      <c r="AJ42" s="6">
        <f t="shared" si="27"/>
        <v>0</v>
      </c>
      <c r="AK42" s="6">
        <f t="shared" si="28"/>
        <v>0</v>
      </c>
      <c r="AM42" s="14">
        <f t="shared" si="31"/>
        <v>391.2106325055974</v>
      </c>
      <c r="AN42" s="11">
        <f>AM42-'Direct $ Inputs'!H36</f>
        <v>0</v>
      </c>
    </row>
    <row r="43" spans="2:40" x14ac:dyDescent="0.3">
      <c r="B43" s="182" t="s">
        <v>13</v>
      </c>
      <c r="D43" s="9">
        <v>43070</v>
      </c>
      <c r="E43" s="8">
        <v>43374</v>
      </c>
      <c r="F43" s="8" t="s">
        <v>65</v>
      </c>
      <c r="G43" s="8" t="s">
        <v>39</v>
      </c>
      <c r="H43" s="20" t="str">
        <f t="shared" si="24"/>
        <v>Distribution system assetsReplacement</v>
      </c>
      <c r="I43" s="6">
        <v>0</v>
      </c>
      <c r="J43" s="6">
        <f>0.4*'Direct $ Inputs'!C37</f>
        <v>700.00791410543468</v>
      </c>
      <c r="K43" s="6">
        <f>0.6*'Direct $ Inputs'!C37</f>
        <v>1050.011871158152</v>
      </c>
      <c r="L43" s="6"/>
      <c r="M43" s="6"/>
      <c r="N43" s="6"/>
      <c r="O43" s="6">
        <v>0</v>
      </c>
      <c r="P43" s="6">
        <f>0.4*'Direct $ Inputs'!D37</f>
        <v>121.78045857927947</v>
      </c>
      <c r="Q43" s="6">
        <f>0.6*'Direct $ Inputs'!D37</f>
        <v>182.67068786891917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>
        <f t="shared" si="30"/>
        <v>0</v>
      </c>
      <c r="AH43" s="6">
        <f t="shared" si="25"/>
        <v>821.7883726847142</v>
      </c>
      <c r="AI43" s="6">
        <f t="shared" si="26"/>
        <v>1232.6825590270712</v>
      </c>
      <c r="AJ43" s="6">
        <f t="shared" si="27"/>
        <v>0</v>
      </c>
      <c r="AK43" s="6">
        <f t="shared" si="28"/>
        <v>0</v>
      </c>
      <c r="AM43" s="14">
        <f t="shared" si="31"/>
        <v>2054.4709317117854</v>
      </c>
      <c r="AN43" s="11">
        <f>AM43-'Direct $ Inputs'!H37</f>
        <v>0</v>
      </c>
    </row>
    <row r="44" spans="2:40" x14ac:dyDescent="0.3">
      <c r="B44" s="182" t="s">
        <v>14</v>
      </c>
      <c r="D44" s="9">
        <v>43070</v>
      </c>
      <c r="E44" s="8">
        <v>43374</v>
      </c>
      <c r="F44" s="8" t="s">
        <v>65</v>
      </c>
      <c r="G44" s="8" t="s">
        <v>39</v>
      </c>
      <c r="H44" s="20" t="str">
        <f t="shared" si="24"/>
        <v>Distribution system assetsReplacement</v>
      </c>
      <c r="I44" s="6">
        <v>0</v>
      </c>
      <c r="J44" s="6">
        <f>0.4*'Direct $ Inputs'!C38</f>
        <v>865.15948186444132</v>
      </c>
      <c r="K44" s="6">
        <f>0.6*'Direct $ Inputs'!C38</f>
        <v>1297.7392227966618</v>
      </c>
      <c r="L44" s="6"/>
      <c r="M44" s="6"/>
      <c r="N44" s="6"/>
      <c r="O44" s="6">
        <v>0</v>
      </c>
      <c r="P44" s="6">
        <f>0.4*'Direct $ Inputs'!D38</f>
        <v>150.51189611235498</v>
      </c>
      <c r="Q44" s="6">
        <f>0.6*'Direct $ Inputs'!D38</f>
        <v>225.76784416853246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f t="shared" si="30"/>
        <v>0</v>
      </c>
      <c r="AH44" s="6">
        <f t="shared" si="25"/>
        <v>1015.6713779767963</v>
      </c>
      <c r="AI44" s="6">
        <f t="shared" si="26"/>
        <v>1523.5070669651943</v>
      </c>
      <c r="AJ44" s="6">
        <f t="shared" si="27"/>
        <v>0</v>
      </c>
      <c r="AK44" s="6">
        <f t="shared" si="28"/>
        <v>0</v>
      </c>
      <c r="AM44" s="14">
        <f t="shared" si="31"/>
        <v>2539.1784449419906</v>
      </c>
      <c r="AN44" s="11">
        <f>AM44-'Direct $ Inputs'!H38</f>
        <v>0</v>
      </c>
    </row>
    <row r="45" spans="2:40" x14ac:dyDescent="0.3">
      <c r="B45" s="182" t="s">
        <v>15</v>
      </c>
      <c r="D45" s="9">
        <v>43070</v>
      </c>
      <c r="E45" s="8">
        <v>43374</v>
      </c>
      <c r="F45" s="8" t="s">
        <v>65</v>
      </c>
      <c r="G45" s="8" t="s">
        <v>39</v>
      </c>
      <c r="H45" s="20" t="str">
        <f t="shared" si="24"/>
        <v>Distribution system assetsReplacement</v>
      </c>
      <c r="I45" s="6">
        <v>0</v>
      </c>
      <c r="J45" s="6">
        <f>0.4*'Direct $ Inputs'!C39</f>
        <v>611.9829668227153</v>
      </c>
      <c r="K45" s="6">
        <f>0.6*'Direct $ Inputs'!C39</f>
        <v>917.97445023407295</v>
      </c>
      <c r="L45" s="6"/>
      <c r="M45" s="6"/>
      <c r="N45" s="6"/>
      <c r="O45" s="6">
        <v>0</v>
      </c>
      <c r="P45" s="6">
        <f>0.4*'Direct $ Inputs'!D39</f>
        <v>106.4667482190108</v>
      </c>
      <c r="Q45" s="6">
        <f>0.6*'Direct $ Inputs'!D39</f>
        <v>159.70012232851619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>
        <f t="shared" si="30"/>
        <v>0</v>
      </c>
      <c r="AH45" s="6">
        <f t="shared" si="25"/>
        <v>718.44971504172611</v>
      </c>
      <c r="AI45" s="6">
        <f t="shared" si="26"/>
        <v>1077.6745725625892</v>
      </c>
      <c r="AJ45" s="6">
        <f t="shared" si="27"/>
        <v>0</v>
      </c>
      <c r="AK45" s="6">
        <f t="shared" si="28"/>
        <v>0</v>
      </c>
      <c r="AM45" s="14">
        <f t="shared" si="31"/>
        <v>1796.1242876043152</v>
      </c>
      <c r="AN45" s="11">
        <f>AM45-'Direct $ Inputs'!H39</f>
        <v>0</v>
      </c>
    </row>
    <row r="46" spans="2:40" x14ac:dyDescent="0.3">
      <c r="B46" s="182" t="s">
        <v>16</v>
      </c>
      <c r="D46" s="9">
        <v>43070</v>
      </c>
      <c r="E46" s="8">
        <v>43374</v>
      </c>
      <c r="F46" s="8" t="s">
        <v>65</v>
      </c>
      <c r="G46" s="8" t="s">
        <v>39</v>
      </c>
      <c r="H46" s="20" t="str">
        <f t="shared" si="24"/>
        <v>Distribution system assetsReplacement</v>
      </c>
      <c r="I46" s="6">
        <v>0</v>
      </c>
      <c r="J46" s="6">
        <f>0.4*'Direct $ Inputs'!C40</f>
        <v>327.7881370242215</v>
      </c>
      <c r="K46" s="6">
        <f>0.6*'Direct $ Inputs'!C40</f>
        <v>491.68220553633222</v>
      </c>
      <c r="L46" s="6"/>
      <c r="M46" s="6"/>
      <c r="N46" s="6"/>
      <c r="O46" s="6">
        <v>0</v>
      </c>
      <c r="P46" s="6">
        <f>0.4*'Direct $ Inputs'!D40</f>
        <v>57.025340484429073</v>
      </c>
      <c r="Q46" s="6">
        <f>0.6*'Direct $ Inputs'!D40</f>
        <v>85.538010726643606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>
        <f t="shared" si="30"/>
        <v>0</v>
      </c>
      <c r="AH46" s="6">
        <f t="shared" si="25"/>
        <v>384.81347750865058</v>
      </c>
      <c r="AI46" s="6">
        <f t="shared" si="26"/>
        <v>577.22021626297578</v>
      </c>
      <c r="AJ46" s="6">
        <f t="shared" si="27"/>
        <v>0</v>
      </c>
      <c r="AK46" s="6">
        <f t="shared" si="28"/>
        <v>0</v>
      </c>
      <c r="AM46" s="14">
        <f t="shared" si="31"/>
        <v>962.0336937716263</v>
      </c>
      <c r="AN46" s="11">
        <f>AM46-'Direct $ Inputs'!H40</f>
        <v>0</v>
      </c>
    </row>
    <row r="47" spans="2:40" x14ac:dyDescent="0.3">
      <c r="B47" s="182" t="s">
        <v>17</v>
      </c>
      <c r="D47" s="9">
        <v>43070</v>
      </c>
      <c r="E47" s="8">
        <v>43374</v>
      </c>
      <c r="F47" s="8" t="s">
        <v>65</v>
      </c>
      <c r="G47" s="8" t="s">
        <v>39</v>
      </c>
      <c r="H47" s="20" t="str">
        <f t="shared" si="24"/>
        <v>Distribution system assetsReplacement</v>
      </c>
      <c r="I47" s="6">
        <v>0</v>
      </c>
      <c r="J47" s="6">
        <f>0.4*'Direct $ Inputs'!C41</f>
        <v>261.55984335436602</v>
      </c>
      <c r="K47" s="6">
        <f>0.6*'Direct $ Inputs'!C41</f>
        <v>392.33976503154901</v>
      </c>
      <c r="L47" s="6"/>
      <c r="M47" s="6"/>
      <c r="N47" s="6"/>
      <c r="O47" s="6">
        <v>0</v>
      </c>
      <c r="P47" s="6">
        <f>0.4*'Direct $ Inputs'!D41</f>
        <v>45.503596499084068</v>
      </c>
      <c r="Q47" s="6">
        <f>0.6*'Direct $ Inputs'!D41</f>
        <v>68.255394748626088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>
        <f t="shared" si="30"/>
        <v>0</v>
      </c>
      <c r="AH47" s="6">
        <f t="shared" si="25"/>
        <v>307.06343985345006</v>
      </c>
      <c r="AI47" s="6">
        <f t="shared" si="26"/>
        <v>460.59515978017509</v>
      </c>
      <c r="AJ47" s="6">
        <f t="shared" si="27"/>
        <v>0</v>
      </c>
      <c r="AK47" s="6">
        <f t="shared" si="28"/>
        <v>0</v>
      </c>
      <c r="AM47" s="14">
        <f t="shared" si="31"/>
        <v>767.65859963362516</v>
      </c>
      <c r="AN47" s="11">
        <f>AM47-'Direct $ Inputs'!H41</f>
        <v>0</v>
      </c>
    </row>
    <row r="48" spans="2:40" x14ac:dyDescent="0.3">
      <c r="E48" s="8"/>
      <c r="F48" s="8"/>
      <c r="G48" s="8"/>
      <c r="H48" s="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40" x14ac:dyDescent="0.3">
      <c r="B49" s="26" t="s">
        <v>186</v>
      </c>
      <c r="E49" s="8"/>
      <c r="F49" s="8"/>
      <c r="G49" s="8"/>
      <c r="H49" s="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40" x14ac:dyDescent="0.3">
      <c r="B50" s="182" t="s">
        <v>9</v>
      </c>
      <c r="C50" s="9">
        <v>42370</v>
      </c>
      <c r="D50" s="9">
        <v>42522</v>
      </c>
      <c r="E50" s="8">
        <v>43344</v>
      </c>
      <c r="F50" s="8" t="s">
        <v>65</v>
      </c>
      <c r="G50" s="8" t="s">
        <v>39</v>
      </c>
      <c r="H50" s="20" t="str">
        <f t="shared" ref="H50:H58" si="32">G50&amp;F50</f>
        <v>Distribution system assetsReplacement</v>
      </c>
      <c r="I50" s="6">
        <f>0.3*'Direct $ Inputs'!C48</f>
        <v>25.804477611940296</v>
      </c>
      <c r="J50" s="6">
        <f>0.5*'Direct $ Inputs'!C48</f>
        <v>43.007462686567159</v>
      </c>
      <c r="K50" s="6">
        <f>0.2*'Direct $ Inputs'!C48</f>
        <v>17.202985074626863</v>
      </c>
      <c r="L50" s="6"/>
      <c r="M50" s="6"/>
      <c r="N50" s="6"/>
      <c r="O50" s="6">
        <f>0.3*'Direct $ Inputs'!D48</f>
        <v>8.3485074626865661</v>
      </c>
      <c r="P50" s="6">
        <f>0.4*'Direct $ Inputs'!D48</f>
        <v>11.131343283582089</v>
      </c>
      <c r="Q50" s="6">
        <f>0.3*'Direct $ Inputs'!D48</f>
        <v>8.3485074626865661</v>
      </c>
      <c r="R50" s="6"/>
      <c r="S50" s="6"/>
      <c r="T50" s="6"/>
      <c r="U50" s="6">
        <f>'Direct $ Inputs'!E48+0.3*'Direct $ Inputs'!F48</f>
        <v>46.549253731343271</v>
      </c>
      <c r="V50" s="6">
        <f>0.4*'Direct $ Inputs'!F48</f>
        <v>38.453731343283579</v>
      </c>
      <c r="W50" s="6">
        <f>0.3*'Direct $ Inputs'!F48</f>
        <v>28.840298507462677</v>
      </c>
      <c r="X50" s="6"/>
      <c r="Y50" s="6"/>
      <c r="Z50" s="6"/>
      <c r="AA50" s="6">
        <f>0.3*'Direct $ Inputs'!$G48</f>
        <v>7.5895522388059682</v>
      </c>
      <c r="AB50" s="6">
        <f>0.4*'Direct $ Inputs'!$G48</f>
        <v>10.119402985074625</v>
      </c>
      <c r="AC50" s="6">
        <f>0.3*'Direct $ Inputs'!$G48</f>
        <v>7.5895522388059682</v>
      </c>
      <c r="AD50" s="6"/>
      <c r="AE50" s="6"/>
      <c r="AF50" s="6"/>
      <c r="AG50" s="6">
        <f>I50+O50+U50+AA50</f>
        <v>88.29179104477609</v>
      </c>
      <c r="AH50" s="6">
        <f t="shared" ref="AH50:AH58" si="33">J50+P50+V50+AB50</f>
        <v>102.71194029850746</v>
      </c>
      <c r="AI50" s="6">
        <f t="shared" ref="AI50:AI58" si="34">K50+Q50+W50+AC50</f>
        <v>61.981343283582078</v>
      </c>
      <c r="AJ50" s="6">
        <f t="shared" ref="AJ50:AJ58" si="35">L50+R50+X50+AD50</f>
        <v>0</v>
      </c>
      <c r="AK50" s="6">
        <f t="shared" ref="AK50:AK58" si="36">M50+S50+Y50+AE50</f>
        <v>0</v>
      </c>
      <c r="AM50" s="14">
        <f t="shared" ref="AM50:AM58" si="37">SUM(AG50:AK50)</f>
        <v>252.98507462686564</v>
      </c>
      <c r="AN50" s="11">
        <f>AM50-'Direct $ Inputs'!H48</f>
        <v>0</v>
      </c>
    </row>
    <row r="51" spans="2:40" x14ac:dyDescent="0.3">
      <c r="B51" s="182" t="s">
        <v>10</v>
      </c>
      <c r="C51" s="9">
        <v>42370</v>
      </c>
      <c r="D51" s="9">
        <v>42522</v>
      </c>
      <c r="E51" s="8">
        <v>43344</v>
      </c>
      <c r="F51" s="8" t="s">
        <v>65</v>
      </c>
      <c r="G51" s="8" t="s">
        <v>39</v>
      </c>
      <c r="H51" s="20" t="str">
        <f t="shared" si="32"/>
        <v>Distribution system assetsReplacement</v>
      </c>
      <c r="I51" s="6">
        <f>0.3*'Direct $ Inputs'!C49</f>
        <v>38.706716417910435</v>
      </c>
      <c r="J51" s="6">
        <f>0.5*'Direct $ Inputs'!C49</f>
        <v>64.511194029850728</v>
      </c>
      <c r="K51" s="6">
        <f>0.2*'Direct $ Inputs'!C49</f>
        <v>25.804477611940293</v>
      </c>
      <c r="L51" s="6"/>
      <c r="M51" s="6"/>
      <c r="N51" s="6"/>
      <c r="O51" s="6">
        <f>0.3*'Direct $ Inputs'!D49</f>
        <v>12.522761194029847</v>
      </c>
      <c r="P51" s="6">
        <f>0.4*'Direct $ Inputs'!D49</f>
        <v>16.697014925373132</v>
      </c>
      <c r="Q51" s="6">
        <f>0.3*'Direct $ Inputs'!D49</f>
        <v>12.522761194029847</v>
      </c>
      <c r="R51" s="6"/>
      <c r="S51" s="6"/>
      <c r="T51" s="6"/>
      <c r="U51" s="6">
        <f>'Direct $ Inputs'!E49+0.3*'Direct $ Inputs'!F49</f>
        <v>69.823880597014906</v>
      </c>
      <c r="V51" s="6">
        <f>0.4*'Direct $ Inputs'!F49</f>
        <v>57.680597014925354</v>
      </c>
      <c r="W51" s="6">
        <f>0.3*'Direct $ Inputs'!F49</f>
        <v>43.260447761194015</v>
      </c>
      <c r="X51" s="6"/>
      <c r="Y51" s="6"/>
      <c r="Z51" s="6"/>
      <c r="AA51" s="6">
        <f>0.3*'Direct $ Inputs'!$G49</f>
        <v>11.384328358208952</v>
      </c>
      <c r="AB51" s="6">
        <f>0.4*'Direct $ Inputs'!$G49</f>
        <v>15.179104477611938</v>
      </c>
      <c r="AC51" s="6">
        <f>0.3*'Direct $ Inputs'!$G49</f>
        <v>11.384328358208952</v>
      </c>
      <c r="AD51" s="6"/>
      <c r="AE51" s="6"/>
      <c r="AF51" s="6"/>
      <c r="AG51" s="6">
        <f t="shared" ref="AG51:AG58" si="38">I51+O51+U51+AA51</f>
        <v>132.43768656716415</v>
      </c>
      <c r="AH51" s="6">
        <f t="shared" si="33"/>
        <v>154.06791044776114</v>
      </c>
      <c r="AI51" s="6">
        <f t="shared" si="34"/>
        <v>92.972014925373102</v>
      </c>
      <c r="AJ51" s="6">
        <f t="shared" si="35"/>
        <v>0</v>
      </c>
      <c r="AK51" s="6">
        <f t="shared" si="36"/>
        <v>0</v>
      </c>
      <c r="AM51" s="14">
        <f t="shared" si="37"/>
        <v>379.4776119402984</v>
      </c>
      <c r="AN51" s="11">
        <f>AM51-'Direct $ Inputs'!H49</f>
        <v>0</v>
      </c>
    </row>
    <row r="52" spans="2:40" x14ac:dyDescent="0.3">
      <c r="B52" s="182" t="s">
        <v>11</v>
      </c>
      <c r="C52" s="9">
        <v>42370</v>
      </c>
      <c r="D52" s="9">
        <v>42522</v>
      </c>
      <c r="E52" s="8">
        <v>43344</v>
      </c>
      <c r="F52" s="8" t="s">
        <v>65</v>
      </c>
      <c r="G52" s="8" t="s">
        <v>39</v>
      </c>
      <c r="H52" s="20" t="str">
        <f t="shared" si="32"/>
        <v>Distribution system assetsReplacement</v>
      </c>
      <c r="I52" s="6"/>
      <c r="J52" s="6">
        <f>'Direct $ Inputs'!C50</f>
        <v>21.503731343283579</v>
      </c>
      <c r="K52" s="6"/>
      <c r="L52" s="6"/>
      <c r="M52" s="6"/>
      <c r="N52" s="6"/>
      <c r="O52" s="6"/>
      <c r="P52" s="6">
        <f>'Direct $ Inputs'!D50</f>
        <v>6.9570895522388048</v>
      </c>
      <c r="Q52" s="6"/>
      <c r="R52" s="6"/>
      <c r="S52" s="6"/>
      <c r="T52" s="6"/>
      <c r="U52" s="6"/>
      <c r="V52" s="6">
        <f>'Direct $ Inputs'!E50+'Direct $ Inputs'!F50</f>
        <v>28.460820895522382</v>
      </c>
      <c r="W52" s="6"/>
      <c r="X52" s="6"/>
      <c r="Y52" s="6"/>
      <c r="Z52" s="6"/>
      <c r="AA52" s="6"/>
      <c r="AB52" s="6">
        <f>'Direct $ Inputs'!G50</f>
        <v>6.3246268656716405</v>
      </c>
      <c r="AC52" s="6"/>
      <c r="AD52" s="6"/>
      <c r="AE52" s="6"/>
      <c r="AF52" s="6"/>
      <c r="AG52" s="6">
        <f t="shared" si="38"/>
        <v>0</v>
      </c>
      <c r="AH52" s="6">
        <f t="shared" si="33"/>
        <v>63.246268656716403</v>
      </c>
      <c r="AI52" s="6">
        <f t="shared" si="34"/>
        <v>0</v>
      </c>
      <c r="AJ52" s="6">
        <f t="shared" si="35"/>
        <v>0</v>
      </c>
      <c r="AK52" s="6">
        <f t="shared" si="36"/>
        <v>0</v>
      </c>
      <c r="AM52" s="14">
        <f t="shared" si="37"/>
        <v>63.246268656716403</v>
      </c>
      <c r="AN52" s="11">
        <f>AM52-'Direct $ Inputs'!H50</f>
        <v>0</v>
      </c>
    </row>
    <row r="53" spans="2:40" x14ac:dyDescent="0.3">
      <c r="B53" s="182" t="s">
        <v>12</v>
      </c>
      <c r="C53" s="9">
        <v>42370</v>
      </c>
      <c r="D53" s="9">
        <v>42522</v>
      </c>
      <c r="E53" s="8">
        <v>43344</v>
      </c>
      <c r="F53" s="8" t="s">
        <v>65</v>
      </c>
      <c r="G53" s="8" t="s">
        <v>39</v>
      </c>
      <c r="H53" s="20" t="str">
        <f t="shared" si="32"/>
        <v>Distribution system assetsReplacement</v>
      </c>
      <c r="I53" s="6">
        <f>0.3*'Direct $ Inputs'!C51</f>
        <v>38.706716417910435</v>
      </c>
      <c r="J53" s="6">
        <f>0.5*'Direct $ Inputs'!C51</f>
        <v>64.511194029850728</v>
      </c>
      <c r="K53" s="6">
        <f>0.2*'Direct $ Inputs'!C51</f>
        <v>25.804477611940293</v>
      </c>
      <c r="L53" s="6"/>
      <c r="M53" s="6"/>
      <c r="N53" s="6"/>
      <c r="O53" s="6">
        <f>0.3*'Direct $ Inputs'!D51</f>
        <v>12.522761194029847</v>
      </c>
      <c r="P53" s="6">
        <f>0.4*'Direct $ Inputs'!D51</f>
        <v>16.697014925373132</v>
      </c>
      <c r="Q53" s="6">
        <f>0.3*'Direct $ Inputs'!D51</f>
        <v>12.522761194029847</v>
      </c>
      <c r="R53" s="6"/>
      <c r="S53" s="6"/>
      <c r="T53" s="6"/>
      <c r="U53" s="6">
        <f>'Direct $ Inputs'!E51+0.3*'Direct $ Inputs'!F51</f>
        <v>69.823880597014906</v>
      </c>
      <c r="V53" s="6">
        <f>0.4*'Direct $ Inputs'!F51</f>
        <v>57.680597014925354</v>
      </c>
      <c r="W53" s="6">
        <f>0.3*'Direct $ Inputs'!F51</f>
        <v>43.260447761194015</v>
      </c>
      <c r="X53" s="6"/>
      <c r="Y53" s="6"/>
      <c r="Z53" s="6"/>
      <c r="AA53" s="6">
        <f>0.3*'Direct $ Inputs'!$G51</f>
        <v>11.384328358208952</v>
      </c>
      <c r="AB53" s="6">
        <f>0.4*'Direct $ Inputs'!$G51</f>
        <v>15.179104477611938</v>
      </c>
      <c r="AC53" s="6">
        <f>0.3*'Direct $ Inputs'!$G51</f>
        <v>11.384328358208952</v>
      </c>
      <c r="AD53" s="6"/>
      <c r="AE53" s="6"/>
      <c r="AF53" s="6"/>
      <c r="AG53" s="6">
        <f t="shared" si="38"/>
        <v>132.43768656716415</v>
      </c>
      <c r="AH53" s="6">
        <f t="shared" si="33"/>
        <v>154.06791044776114</v>
      </c>
      <c r="AI53" s="6">
        <f t="shared" si="34"/>
        <v>92.972014925373102</v>
      </c>
      <c r="AJ53" s="6">
        <f t="shared" si="35"/>
        <v>0</v>
      </c>
      <c r="AK53" s="6">
        <f t="shared" si="36"/>
        <v>0</v>
      </c>
      <c r="AM53" s="14">
        <f t="shared" si="37"/>
        <v>379.4776119402984</v>
      </c>
      <c r="AN53" s="11">
        <f>AM53-'Direct $ Inputs'!H51</f>
        <v>0</v>
      </c>
    </row>
    <row r="54" spans="2:40" x14ac:dyDescent="0.3">
      <c r="B54" s="182" t="s">
        <v>13</v>
      </c>
      <c r="C54" s="9">
        <v>42370</v>
      </c>
      <c r="D54" s="9">
        <v>42522</v>
      </c>
      <c r="E54" s="8">
        <v>43344</v>
      </c>
      <c r="F54" s="8" t="s">
        <v>65</v>
      </c>
      <c r="G54" s="8" t="s">
        <v>39</v>
      </c>
      <c r="H54" s="20" t="str">
        <f t="shared" si="32"/>
        <v>Distribution system assetsReplacement</v>
      </c>
      <c r="I54" s="6">
        <f>0.3*'Direct $ Inputs'!C52</f>
        <v>51.608955223880592</v>
      </c>
      <c r="J54" s="6">
        <f>0.5*'Direct $ Inputs'!C52</f>
        <v>86.014925373134318</v>
      </c>
      <c r="K54" s="6">
        <f>0.2*'Direct $ Inputs'!C52</f>
        <v>34.405970149253726</v>
      </c>
      <c r="L54" s="6"/>
      <c r="M54" s="6"/>
      <c r="N54" s="6"/>
      <c r="O54" s="6">
        <f>0.3*'Direct $ Inputs'!D52</f>
        <v>16.697014925373132</v>
      </c>
      <c r="P54" s="6">
        <f>0.4*'Direct $ Inputs'!D52</f>
        <v>22.262686567164177</v>
      </c>
      <c r="Q54" s="6">
        <f>0.3*'Direct $ Inputs'!D52</f>
        <v>16.697014925373132</v>
      </c>
      <c r="R54" s="6"/>
      <c r="S54" s="6"/>
      <c r="T54" s="6"/>
      <c r="U54" s="6">
        <f>'Direct $ Inputs'!E52+0.3*'Direct $ Inputs'!F52</f>
        <v>93.098507462686541</v>
      </c>
      <c r="V54" s="6">
        <f>0.4*'Direct $ Inputs'!F52</f>
        <v>76.907462686567158</v>
      </c>
      <c r="W54" s="6">
        <f>0.3*'Direct $ Inputs'!F52</f>
        <v>57.680597014925354</v>
      </c>
      <c r="X54" s="6"/>
      <c r="Y54" s="6"/>
      <c r="Z54" s="6"/>
      <c r="AA54" s="6">
        <f>0.3*'Direct $ Inputs'!$G52</f>
        <v>15.179104477611936</v>
      </c>
      <c r="AB54" s="6">
        <f>0.4*'Direct $ Inputs'!$G52</f>
        <v>20.238805970149251</v>
      </c>
      <c r="AC54" s="6">
        <f>0.3*'Direct $ Inputs'!$G52</f>
        <v>15.179104477611936</v>
      </c>
      <c r="AD54" s="6"/>
      <c r="AE54" s="6"/>
      <c r="AF54" s="6"/>
      <c r="AG54" s="6">
        <f t="shared" si="38"/>
        <v>176.58358208955218</v>
      </c>
      <c r="AH54" s="6">
        <f t="shared" si="33"/>
        <v>205.42388059701491</v>
      </c>
      <c r="AI54" s="6">
        <f t="shared" si="34"/>
        <v>123.96268656716416</v>
      </c>
      <c r="AJ54" s="6">
        <f t="shared" si="35"/>
        <v>0</v>
      </c>
      <c r="AK54" s="6">
        <f t="shared" si="36"/>
        <v>0</v>
      </c>
      <c r="AM54" s="14">
        <f t="shared" si="37"/>
        <v>505.97014925373128</v>
      </c>
      <c r="AN54" s="11">
        <f>AM54-'Direct $ Inputs'!H52</f>
        <v>0</v>
      </c>
    </row>
    <row r="55" spans="2:40" x14ac:dyDescent="0.3">
      <c r="B55" s="182" t="s">
        <v>14</v>
      </c>
      <c r="C55" s="9">
        <v>42370</v>
      </c>
      <c r="D55" s="9">
        <v>42522</v>
      </c>
      <c r="E55" s="8">
        <v>43344</v>
      </c>
      <c r="F55" s="8" t="s">
        <v>65</v>
      </c>
      <c r="G55" s="8" t="s">
        <v>39</v>
      </c>
      <c r="H55" s="20" t="str">
        <f t="shared" si="32"/>
        <v>Distribution system assetsReplacement</v>
      </c>
      <c r="I55" s="6">
        <f>0.3*'Direct $ Inputs'!C53</f>
        <v>122.5712686567164</v>
      </c>
      <c r="J55" s="6">
        <f>0.5*'Direct $ Inputs'!C53</f>
        <v>204.28544776119401</v>
      </c>
      <c r="K55" s="6">
        <f>0.2*'Direct $ Inputs'!C53</f>
        <v>81.714179104477608</v>
      </c>
      <c r="L55" s="6"/>
      <c r="M55" s="6"/>
      <c r="N55" s="6"/>
      <c r="O55" s="6">
        <f>0.3*'Direct $ Inputs'!D53</f>
        <v>39.655410447761177</v>
      </c>
      <c r="P55" s="6">
        <f>0.4*'Direct $ Inputs'!D53</f>
        <v>52.87388059701491</v>
      </c>
      <c r="Q55" s="6">
        <f>0.3*'Direct $ Inputs'!D53</f>
        <v>39.655410447761177</v>
      </c>
      <c r="R55" s="6"/>
      <c r="S55" s="6"/>
      <c r="T55" s="6"/>
      <c r="U55" s="6">
        <f>'Direct $ Inputs'!E53+0.3*'Direct $ Inputs'!F53</f>
        <v>221.10895522388054</v>
      </c>
      <c r="V55" s="6">
        <f>0.4*'Direct $ Inputs'!F53</f>
        <v>182.65522388059696</v>
      </c>
      <c r="W55" s="6">
        <f>0.3*'Direct $ Inputs'!F53</f>
        <v>136.99141791044772</v>
      </c>
      <c r="X55" s="6"/>
      <c r="Y55" s="6"/>
      <c r="Z55" s="6"/>
      <c r="AA55" s="6">
        <f>0.3*'Direct $ Inputs'!$G53</f>
        <v>36.050373134328353</v>
      </c>
      <c r="AB55" s="6">
        <f>0.4*'Direct $ Inputs'!$G53</f>
        <v>48.067164179104473</v>
      </c>
      <c r="AC55" s="6">
        <f>0.3*'Direct $ Inputs'!$G53</f>
        <v>36.050373134328353</v>
      </c>
      <c r="AD55" s="6"/>
      <c r="AE55" s="6"/>
      <c r="AF55" s="6"/>
      <c r="AG55" s="6">
        <f t="shared" si="38"/>
        <v>419.38600746268645</v>
      </c>
      <c r="AH55" s="6">
        <f t="shared" si="33"/>
        <v>487.88171641791035</v>
      </c>
      <c r="AI55" s="6">
        <f t="shared" si="34"/>
        <v>294.4113805970149</v>
      </c>
      <c r="AJ55" s="6">
        <f t="shared" si="35"/>
        <v>0</v>
      </c>
      <c r="AK55" s="6">
        <f t="shared" si="36"/>
        <v>0</v>
      </c>
      <c r="AM55" s="14">
        <f t="shared" si="37"/>
        <v>1201.6791044776116</v>
      </c>
      <c r="AN55" s="11">
        <f>AM55-'Direct $ Inputs'!H53</f>
        <v>0</v>
      </c>
    </row>
    <row r="56" spans="2:40" x14ac:dyDescent="0.3">
      <c r="B56" s="182" t="s">
        <v>15</v>
      </c>
      <c r="C56" s="9">
        <v>42370</v>
      </c>
      <c r="D56" s="9">
        <v>42522</v>
      </c>
      <c r="E56" s="8">
        <v>43344</v>
      </c>
      <c r="F56" s="8" t="s">
        <v>65</v>
      </c>
      <c r="G56" s="8" t="s">
        <v>39</v>
      </c>
      <c r="H56" s="20" t="str">
        <f t="shared" si="32"/>
        <v>Distribution system assetsReplacement</v>
      </c>
      <c r="I56" s="6">
        <f>0.3*'Direct $ Inputs'!C54</f>
        <v>83.864552238805956</v>
      </c>
      <c r="J56" s="6">
        <f>0.5*'Direct $ Inputs'!C54</f>
        <v>139.77425373134326</v>
      </c>
      <c r="K56" s="6">
        <f>0.2*'Direct $ Inputs'!C54</f>
        <v>55.909701492537309</v>
      </c>
      <c r="L56" s="6"/>
      <c r="M56" s="6"/>
      <c r="N56" s="6"/>
      <c r="O56" s="6">
        <f>0.3*'Direct $ Inputs'!D54</f>
        <v>27.132649253731334</v>
      </c>
      <c r="P56" s="6">
        <f>0.4*'Direct $ Inputs'!D54</f>
        <v>36.176865671641785</v>
      </c>
      <c r="Q56" s="6">
        <f>0.3*'Direct $ Inputs'!D54</f>
        <v>27.132649253731334</v>
      </c>
      <c r="R56" s="6"/>
      <c r="S56" s="6"/>
      <c r="T56" s="6"/>
      <c r="U56" s="6">
        <f>'Direct $ Inputs'!E54+0.3*'Direct $ Inputs'!F54</f>
        <v>151.28507462686565</v>
      </c>
      <c r="V56" s="6">
        <f>0.4*'Direct $ Inputs'!F54</f>
        <v>124.97462686567162</v>
      </c>
      <c r="W56" s="6">
        <f>0.3*'Direct $ Inputs'!F54</f>
        <v>93.730970149253707</v>
      </c>
      <c r="X56" s="6"/>
      <c r="Y56" s="6"/>
      <c r="Z56" s="6"/>
      <c r="AA56" s="6">
        <f>0.3*'Direct $ Inputs'!$G54</f>
        <v>24.666044776119399</v>
      </c>
      <c r="AB56" s="6">
        <f>0.4*'Direct $ Inputs'!$G54</f>
        <v>32.888059701492537</v>
      </c>
      <c r="AC56" s="6">
        <f>0.3*'Direct $ Inputs'!$G54</f>
        <v>24.666044776119399</v>
      </c>
      <c r="AD56" s="6"/>
      <c r="AE56" s="6"/>
      <c r="AF56" s="6"/>
      <c r="AG56" s="6">
        <f t="shared" si="38"/>
        <v>286.94832089552233</v>
      </c>
      <c r="AH56" s="6">
        <f t="shared" si="33"/>
        <v>333.81380597014919</v>
      </c>
      <c r="AI56" s="6">
        <f t="shared" si="34"/>
        <v>201.43936567164175</v>
      </c>
      <c r="AJ56" s="6">
        <f t="shared" si="35"/>
        <v>0</v>
      </c>
      <c r="AK56" s="6">
        <f t="shared" si="36"/>
        <v>0</v>
      </c>
      <c r="AM56" s="14">
        <f t="shared" si="37"/>
        <v>822.20149253731324</v>
      </c>
      <c r="AN56" s="11">
        <f>AM56-'Direct $ Inputs'!H54</f>
        <v>0</v>
      </c>
    </row>
    <row r="57" spans="2:40" x14ac:dyDescent="0.3">
      <c r="B57" s="182" t="s">
        <v>16</v>
      </c>
      <c r="C57" s="9">
        <v>42370</v>
      </c>
      <c r="D57" s="9">
        <v>42522</v>
      </c>
      <c r="E57" s="8">
        <v>43344</v>
      </c>
      <c r="F57" s="8" t="s">
        <v>65</v>
      </c>
      <c r="G57" s="8" t="s">
        <v>39</v>
      </c>
      <c r="H57" s="20" t="str">
        <f t="shared" si="32"/>
        <v>Distribution system assetsReplacement</v>
      </c>
      <c r="I57" s="6">
        <f>0.3*'Direct $ Inputs'!C55</f>
        <v>38.706716417910435</v>
      </c>
      <c r="J57" s="6">
        <f>0.5*'Direct $ Inputs'!C55</f>
        <v>64.511194029850728</v>
      </c>
      <c r="K57" s="6">
        <f>0.2*'Direct $ Inputs'!C55</f>
        <v>25.804477611940293</v>
      </c>
      <c r="L57" s="6"/>
      <c r="M57" s="6"/>
      <c r="N57" s="6"/>
      <c r="O57" s="6">
        <f>0.3*'Direct $ Inputs'!D55</f>
        <v>12.522761194029847</v>
      </c>
      <c r="P57" s="6">
        <f>0.4*'Direct $ Inputs'!D55</f>
        <v>16.697014925373132</v>
      </c>
      <c r="Q57" s="6">
        <f>0.3*'Direct $ Inputs'!D55</f>
        <v>12.522761194029847</v>
      </c>
      <c r="R57" s="6"/>
      <c r="S57" s="6"/>
      <c r="T57" s="6"/>
      <c r="U57" s="6">
        <f>'Direct $ Inputs'!E55+0.3*'Direct $ Inputs'!F55</f>
        <v>69.823880597014906</v>
      </c>
      <c r="V57" s="6">
        <f>0.4*'Direct $ Inputs'!F55</f>
        <v>57.680597014925354</v>
      </c>
      <c r="W57" s="6">
        <f>0.3*'Direct $ Inputs'!F55</f>
        <v>43.260447761194015</v>
      </c>
      <c r="X57" s="6"/>
      <c r="Y57" s="6"/>
      <c r="Z57" s="6"/>
      <c r="AA57" s="6">
        <f>0.3*'Direct $ Inputs'!$G55</f>
        <v>11.384328358208952</v>
      </c>
      <c r="AB57" s="6">
        <f>0.4*'Direct $ Inputs'!$G55</f>
        <v>15.179104477611938</v>
      </c>
      <c r="AC57" s="6">
        <f>0.3*'Direct $ Inputs'!$G55</f>
        <v>11.384328358208952</v>
      </c>
      <c r="AD57" s="6"/>
      <c r="AE57" s="6"/>
      <c r="AF57" s="6"/>
      <c r="AG57" s="6">
        <f t="shared" si="38"/>
        <v>132.43768656716415</v>
      </c>
      <c r="AH57" s="6">
        <f t="shared" si="33"/>
        <v>154.06791044776114</v>
      </c>
      <c r="AI57" s="6">
        <f t="shared" si="34"/>
        <v>92.972014925373102</v>
      </c>
      <c r="AJ57" s="6">
        <f t="shared" si="35"/>
        <v>0</v>
      </c>
      <c r="AK57" s="6">
        <f t="shared" si="36"/>
        <v>0</v>
      </c>
      <c r="AM57" s="14">
        <f t="shared" si="37"/>
        <v>379.4776119402984</v>
      </c>
      <c r="AN57" s="11">
        <f>AM57-'Direct $ Inputs'!H55</f>
        <v>0</v>
      </c>
    </row>
    <row r="58" spans="2:40" x14ac:dyDescent="0.3">
      <c r="B58" s="182" t="s">
        <v>17</v>
      </c>
      <c r="C58" s="9">
        <v>42370</v>
      </c>
      <c r="D58" s="9">
        <v>42522</v>
      </c>
      <c r="E58" s="8">
        <v>43344</v>
      </c>
      <c r="F58" s="8" t="s">
        <v>65</v>
      </c>
      <c r="G58" s="8" t="s">
        <v>39</v>
      </c>
      <c r="H58" s="20" t="str">
        <f t="shared" si="32"/>
        <v>Distribution system assetsReplacement</v>
      </c>
      <c r="I58" s="6">
        <f>0.3*'Direct $ Inputs'!C56</f>
        <v>0</v>
      </c>
      <c r="J58" s="6">
        <f>0.5*'Direct $ Inputs'!C56</f>
        <v>0</v>
      </c>
      <c r="K58" s="6">
        <f>0.2*'Direct $ Inputs'!C56</f>
        <v>0</v>
      </c>
      <c r="L58" s="6"/>
      <c r="M58" s="6"/>
      <c r="N58" s="6"/>
      <c r="O58" s="6">
        <f>0.3*'Direct $ Inputs'!D56</f>
        <v>0</v>
      </c>
      <c r="P58" s="6">
        <f>0.4*'Direct $ Inputs'!D56</f>
        <v>0</v>
      </c>
      <c r="Q58" s="6">
        <f>0.3*'Direct $ Inputs'!D56</f>
        <v>0</v>
      </c>
      <c r="R58" s="6"/>
      <c r="S58" s="6"/>
      <c r="T58" s="6"/>
      <c r="U58" s="6">
        <f>'Direct $ Inputs'!E56+0.3*'Direct $ Inputs'!F56</f>
        <v>0</v>
      </c>
      <c r="V58" s="6">
        <f>0.4*'Direct $ Inputs'!F56</f>
        <v>0</v>
      </c>
      <c r="W58" s="6">
        <f>0.3*'Direct $ Inputs'!F56</f>
        <v>0</v>
      </c>
      <c r="X58" s="6"/>
      <c r="Y58" s="6"/>
      <c r="Z58" s="6"/>
      <c r="AA58" s="6">
        <f>0.3*'Direct $ Inputs'!$G56</f>
        <v>0</v>
      </c>
      <c r="AB58" s="6">
        <f>0.4*'Direct $ Inputs'!$G56</f>
        <v>0</v>
      </c>
      <c r="AC58" s="6">
        <f>0.3*'Direct $ Inputs'!$G56</f>
        <v>0</v>
      </c>
      <c r="AD58" s="6"/>
      <c r="AE58" s="6"/>
      <c r="AF58" s="6"/>
      <c r="AG58" s="6">
        <f t="shared" si="38"/>
        <v>0</v>
      </c>
      <c r="AH58" s="6">
        <f t="shared" si="33"/>
        <v>0</v>
      </c>
      <c r="AI58" s="6">
        <f t="shared" si="34"/>
        <v>0</v>
      </c>
      <c r="AJ58" s="6">
        <f t="shared" si="35"/>
        <v>0</v>
      </c>
      <c r="AK58" s="6">
        <f t="shared" si="36"/>
        <v>0</v>
      </c>
      <c r="AM58" s="14">
        <f t="shared" si="37"/>
        <v>0</v>
      </c>
      <c r="AN58" s="11">
        <f>AM58-'Direct $ Inputs'!H56</f>
        <v>0</v>
      </c>
    </row>
    <row r="59" spans="2:40" x14ac:dyDescent="0.3">
      <c r="E59" s="8"/>
      <c r="F59" s="8"/>
      <c r="G59" s="8"/>
      <c r="H59" s="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2:40" x14ac:dyDescent="0.3">
      <c r="B60" s="26" t="s">
        <v>18</v>
      </c>
      <c r="E60" s="8"/>
      <c r="F60" s="8"/>
      <c r="G60" s="8"/>
      <c r="H60" s="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2:40" x14ac:dyDescent="0.3">
      <c r="B61" s="182" t="s">
        <v>9</v>
      </c>
      <c r="C61" s="9">
        <v>42826</v>
      </c>
      <c r="D61" s="9">
        <v>42917</v>
      </c>
      <c r="E61" s="20">
        <v>43009</v>
      </c>
      <c r="F61" s="8" t="s">
        <v>65</v>
      </c>
      <c r="G61" s="20" t="s">
        <v>39</v>
      </c>
      <c r="H61" s="20" t="str">
        <f t="shared" ref="H61:H69" si="39">G61&amp;F61</f>
        <v>Distribution system assetsReplacement</v>
      </c>
      <c r="I61" s="6">
        <v>0</v>
      </c>
      <c r="J61" s="6">
        <f>'Direct $ Inputs'!C63</f>
        <v>226.3724459020637</v>
      </c>
      <c r="K61" s="6"/>
      <c r="L61" s="6"/>
      <c r="M61" s="6"/>
      <c r="N61" s="6"/>
      <c r="O61" s="6"/>
      <c r="P61" s="6">
        <f>'Direct $ Inputs'!D63</f>
        <v>64.733347030085753</v>
      </c>
      <c r="Q61" s="6"/>
      <c r="R61" s="6"/>
      <c r="S61" s="6"/>
      <c r="T61" s="6"/>
      <c r="U61" s="6"/>
      <c r="V61" s="6">
        <f>'Direct $ Inputs'!F63</f>
        <v>106.68956866401975</v>
      </c>
      <c r="W61" s="6"/>
      <c r="X61" s="6"/>
      <c r="Y61" s="6"/>
      <c r="Z61" s="6"/>
      <c r="AA61" s="6"/>
      <c r="AB61" s="6">
        <f>'Direct $ Inputs'!G63</f>
        <v>0.23470715383084842</v>
      </c>
      <c r="AC61" s="6"/>
      <c r="AD61" s="6"/>
      <c r="AE61" s="6"/>
      <c r="AF61" s="6"/>
      <c r="AG61" s="6">
        <f>I61+O61+U61+AA61</f>
        <v>0</v>
      </c>
      <c r="AH61" s="6">
        <f t="shared" ref="AH61:AH69" si="40">J61+P61+V61+AB61</f>
        <v>398.03006875000011</v>
      </c>
      <c r="AI61" s="6">
        <f t="shared" ref="AI61:AI69" si="41">K61+Q61+W61+AC61</f>
        <v>0</v>
      </c>
      <c r="AJ61" s="6">
        <f t="shared" ref="AJ61:AJ69" si="42">L61+R61+X61+AD61</f>
        <v>0</v>
      </c>
      <c r="AK61" s="6">
        <f t="shared" ref="AK61:AK69" si="43">M61+S61+Y61+AE61</f>
        <v>0</v>
      </c>
      <c r="AM61" s="14">
        <f t="shared" ref="AM61:AM69" si="44">SUM(AG61:AK61)</f>
        <v>398.03006875000011</v>
      </c>
      <c r="AN61" s="19">
        <f>AM61-'Direct $ Inputs'!H63</f>
        <v>0</v>
      </c>
    </row>
    <row r="62" spans="2:40" x14ac:dyDescent="0.3">
      <c r="B62" s="182" t="s">
        <v>10</v>
      </c>
      <c r="C62" s="9">
        <v>42826</v>
      </c>
      <c r="D62" s="9">
        <v>42917</v>
      </c>
      <c r="E62" s="20">
        <v>43009</v>
      </c>
      <c r="F62" s="8" t="s">
        <v>65</v>
      </c>
      <c r="G62" s="20" t="s">
        <v>39</v>
      </c>
      <c r="H62" s="20" t="str">
        <f t="shared" si="39"/>
        <v>Distribution system assetsReplacement</v>
      </c>
      <c r="I62" s="6">
        <v>0</v>
      </c>
      <c r="J62" s="6">
        <f>'Direct $ Inputs'!C64</f>
        <v>0</v>
      </c>
      <c r="K62" s="6"/>
      <c r="L62" s="6"/>
      <c r="M62" s="6"/>
      <c r="N62" s="6"/>
      <c r="O62" s="6"/>
      <c r="P62" s="6">
        <f>'Direct $ Inputs'!D64</f>
        <v>0</v>
      </c>
      <c r="Q62" s="6"/>
      <c r="R62" s="6"/>
      <c r="S62" s="6"/>
      <c r="T62" s="6"/>
      <c r="U62" s="6"/>
      <c r="V62" s="6">
        <f>'Direct $ Inputs'!F64</f>
        <v>0</v>
      </c>
      <c r="W62" s="6"/>
      <c r="X62" s="6"/>
      <c r="Y62" s="6"/>
      <c r="Z62" s="6"/>
      <c r="AA62" s="6"/>
      <c r="AB62" s="6">
        <f>'Direct $ Inputs'!G64</f>
        <v>0</v>
      </c>
      <c r="AC62" s="6"/>
      <c r="AD62" s="6"/>
      <c r="AE62" s="6"/>
      <c r="AF62" s="6"/>
      <c r="AG62" s="6">
        <f t="shared" ref="AG62:AG69" si="45">I62+O62+U62+AA62</f>
        <v>0</v>
      </c>
      <c r="AH62" s="6">
        <f t="shared" si="40"/>
        <v>0</v>
      </c>
      <c r="AI62" s="6">
        <f t="shared" si="41"/>
        <v>0</v>
      </c>
      <c r="AJ62" s="6">
        <f t="shared" si="42"/>
        <v>0</v>
      </c>
      <c r="AK62" s="6">
        <f t="shared" si="43"/>
        <v>0</v>
      </c>
      <c r="AM62" s="14">
        <f t="shared" si="44"/>
        <v>0</v>
      </c>
      <c r="AN62" s="19">
        <f>AM62-'Direct $ Inputs'!H64</f>
        <v>0</v>
      </c>
    </row>
    <row r="63" spans="2:40" x14ac:dyDescent="0.3">
      <c r="B63" s="182" t="s">
        <v>11</v>
      </c>
      <c r="C63" s="9">
        <v>42826</v>
      </c>
      <c r="D63" s="9">
        <v>42917</v>
      </c>
      <c r="E63" s="20">
        <v>43009</v>
      </c>
      <c r="F63" s="8" t="s">
        <v>65</v>
      </c>
      <c r="G63" s="20" t="s">
        <v>39</v>
      </c>
      <c r="H63" s="20" t="str">
        <f t="shared" si="39"/>
        <v>Distribution system assetsReplacement</v>
      </c>
      <c r="I63" s="6">
        <v>0</v>
      </c>
      <c r="J63" s="6">
        <f>'Direct $ Inputs'!C65</f>
        <v>0</v>
      </c>
      <c r="K63" s="6"/>
      <c r="L63" s="6"/>
      <c r="M63" s="6"/>
      <c r="N63" s="6"/>
      <c r="O63" s="6"/>
      <c r="P63" s="6">
        <f>'Direct $ Inputs'!D65</f>
        <v>0</v>
      </c>
      <c r="Q63" s="6"/>
      <c r="R63" s="6"/>
      <c r="S63" s="6"/>
      <c r="T63" s="6"/>
      <c r="U63" s="6"/>
      <c r="V63" s="6">
        <f>'Direct $ Inputs'!F65</f>
        <v>0</v>
      </c>
      <c r="W63" s="6"/>
      <c r="X63" s="6"/>
      <c r="Y63" s="6"/>
      <c r="Z63" s="6"/>
      <c r="AA63" s="6"/>
      <c r="AB63" s="6">
        <f>'Direct $ Inputs'!G65</f>
        <v>0</v>
      </c>
      <c r="AC63" s="6"/>
      <c r="AD63" s="6"/>
      <c r="AE63" s="6"/>
      <c r="AF63" s="6"/>
      <c r="AG63" s="6">
        <f t="shared" si="45"/>
        <v>0</v>
      </c>
      <c r="AH63" s="6">
        <f t="shared" si="40"/>
        <v>0</v>
      </c>
      <c r="AI63" s="6">
        <f t="shared" si="41"/>
        <v>0</v>
      </c>
      <c r="AJ63" s="6">
        <f t="shared" si="42"/>
        <v>0</v>
      </c>
      <c r="AK63" s="6">
        <f t="shared" si="43"/>
        <v>0</v>
      </c>
      <c r="AM63" s="14">
        <f t="shared" si="44"/>
        <v>0</v>
      </c>
      <c r="AN63" s="19">
        <f>AM63-'Direct $ Inputs'!H65</f>
        <v>0</v>
      </c>
    </row>
    <row r="64" spans="2:40" x14ac:dyDescent="0.3">
      <c r="B64" s="182" t="s">
        <v>12</v>
      </c>
      <c r="C64" s="9">
        <v>42887</v>
      </c>
      <c r="D64" s="9">
        <v>42979</v>
      </c>
      <c r="E64" s="20">
        <v>43313</v>
      </c>
      <c r="F64" s="8" t="s">
        <v>65</v>
      </c>
      <c r="G64" s="20" t="s">
        <v>39</v>
      </c>
      <c r="H64" s="20" t="str">
        <f t="shared" si="39"/>
        <v>Distribution system assetsReplacement</v>
      </c>
      <c r="I64" s="6">
        <v>0</v>
      </c>
      <c r="J64" s="6">
        <f>'Direct $ Inputs'!C66</f>
        <v>0</v>
      </c>
      <c r="K64" s="6"/>
      <c r="L64" s="6"/>
      <c r="M64" s="6"/>
      <c r="N64" s="6"/>
      <c r="O64" s="6"/>
      <c r="P64" s="6">
        <f>0.5*'Direct $ Inputs'!D66</f>
        <v>0</v>
      </c>
      <c r="Q64" s="6">
        <f>0.5*'Direct $ Inputs'!D66</f>
        <v>0</v>
      </c>
      <c r="R64" s="6"/>
      <c r="S64" s="6"/>
      <c r="T64" s="6"/>
      <c r="U64" s="6"/>
      <c r="V64" s="6">
        <f>0.5*'Direct $ Inputs'!F66</f>
        <v>0</v>
      </c>
      <c r="W64" s="6">
        <f>0.5*'Direct $ Inputs'!F66</f>
        <v>0</v>
      </c>
      <c r="X64" s="6"/>
      <c r="Y64" s="6"/>
      <c r="Z64" s="6"/>
      <c r="AA64" s="6"/>
      <c r="AB64" s="6">
        <f>0.5*'Direct $ Inputs'!G66</f>
        <v>0</v>
      </c>
      <c r="AC64" s="6">
        <f>0.5*'Direct $ Inputs'!G66</f>
        <v>0</v>
      </c>
      <c r="AD64" s="6"/>
      <c r="AE64" s="6"/>
      <c r="AF64" s="6"/>
      <c r="AG64" s="6">
        <f t="shared" si="45"/>
        <v>0</v>
      </c>
      <c r="AH64" s="6">
        <f t="shared" si="40"/>
        <v>0</v>
      </c>
      <c r="AI64" s="6">
        <f t="shared" si="41"/>
        <v>0</v>
      </c>
      <c r="AJ64" s="6">
        <f t="shared" si="42"/>
        <v>0</v>
      </c>
      <c r="AK64" s="6">
        <f t="shared" si="43"/>
        <v>0</v>
      </c>
      <c r="AM64" s="14">
        <f t="shared" si="44"/>
        <v>0</v>
      </c>
      <c r="AN64" s="19">
        <f>AM64-'Direct $ Inputs'!H66</f>
        <v>0</v>
      </c>
    </row>
    <row r="65" spans="2:40" x14ac:dyDescent="0.3">
      <c r="B65" s="182" t="s">
        <v>13</v>
      </c>
      <c r="C65" s="9">
        <v>42887</v>
      </c>
      <c r="D65" s="9">
        <v>43009</v>
      </c>
      <c r="E65" s="20">
        <v>43374</v>
      </c>
      <c r="F65" s="8" t="s">
        <v>65</v>
      </c>
      <c r="G65" s="20" t="s">
        <v>39</v>
      </c>
      <c r="H65" s="20" t="str">
        <f t="shared" si="39"/>
        <v>Distribution system assetsReplacement</v>
      </c>
      <c r="I65" s="6">
        <v>0</v>
      </c>
      <c r="J65" s="6">
        <f>'Direct $ Inputs'!C67</f>
        <v>0</v>
      </c>
      <c r="K65" s="6"/>
      <c r="L65" s="6"/>
      <c r="M65" s="6"/>
      <c r="N65" s="6"/>
      <c r="O65" s="6"/>
      <c r="P65" s="6">
        <f>0.5*'Direct $ Inputs'!D67</f>
        <v>0</v>
      </c>
      <c r="Q65" s="6">
        <f>0.5*'Direct $ Inputs'!D67</f>
        <v>0</v>
      </c>
      <c r="R65" s="6"/>
      <c r="S65" s="6"/>
      <c r="T65" s="6"/>
      <c r="U65" s="6"/>
      <c r="V65" s="6">
        <f>0.5*'Direct $ Inputs'!F67</f>
        <v>0</v>
      </c>
      <c r="W65" s="6">
        <f>0.5*'Direct $ Inputs'!F67</f>
        <v>0</v>
      </c>
      <c r="X65" s="6"/>
      <c r="Y65" s="6"/>
      <c r="Z65" s="6"/>
      <c r="AA65" s="6"/>
      <c r="AB65" s="6">
        <f>0.5*'Direct $ Inputs'!G67</f>
        <v>0</v>
      </c>
      <c r="AC65" s="6">
        <f>0.5*'Direct $ Inputs'!G67</f>
        <v>0</v>
      </c>
      <c r="AD65" s="6"/>
      <c r="AE65" s="6"/>
      <c r="AF65" s="6"/>
      <c r="AG65" s="6">
        <f t="shared" si="45"/>
        <v>0</v>
      </c>
      <c r="AH65" s="6">
        <f t="shared" si="40"/>
        <v>0</v>
      </c>
      <c r="AI65" s="6">
        <f t="shared" si="41"/>
        <v>0</v>
      </c>
      <c r="AJ65" s="6">
        <f t="shared" si="42"/>
        <v>0</v>
      </c>
      <c r="AK65" s="6">
        <f t="shared" si="43"/>
        <v>0</v>
      </c>
      <c r="AM65" s="14">
        <f t="shared" si="44"/>
        <v>0</v>
      </c>
      <c r="AN65" s="19">
        <f>AM65-'Direct $ Inputs'!H67</f>
        <v>0</v>
      </c>
    </row>
    <row r="66" spans="2:40" x14ac:dyDescent="0.3">
      <c r="B66" s="182" t="s">
        <v>14</v>
      </c>
      <c r="C66" s="9">
        <v>42887</v>
      </c>
      <c r="D66" s="9">
        <v>43009</v>
      </c>
      <c r="E66" s="20">
        <v>43374</v>
      </c>
      <c r="F66" s="8" t="s">
        <v>65</v>
      </c>
      <c r="G66" s="20" t="s">
        <v>39</v>
      </c>
      <c r="H66" s="20" t="str">
        <f t="shared" si="39"/>
        <v>Distribution system assetsReplacement</v>
      </c>
      <c r="I66" s="6">
        <v>0</v>
      </c>
      <c r="J66" s="6">
        <f>'Direct $ Inputs'!C68</f>
        <v>22.637244590206372</v>
      </c>
      <c r="K66" s="6"/>
      <c r="L66" s="6"/>
      <c r="M66" s="6"/>
      <c r="N66" s="6"/>
      <c r="O66" s="6"/>
      <c r="P66" s="6">
        <f>0.5*'Direct $ Inputs'!D68</f>
        <v>3.2366673515042876</v>
      </c>
      <c r="Q66" s="6">
        <f>0.5*'Direct $ Inputs'!D68</f>
        <v>3.2366673515042876</v>
      </c>
      <c r="R66" s="6"/>
      <c r="S66" s="6"/>
      <c r="T66" s="6"/>
      <c r="U66" s="6"/>
      <c r="V66" s="6">
        <f>0.5*'Direct $ Inputs'!F68</f>
        <v>5.3344784332009878</v>
      </c>
      <c r="W66" s="6">
        <f>0.5*'Direct $ Inputs'!F68</f>
        <v>5.3344784332009878</v>
      </c>
      <c r="X66" s="6"/>
      <c r="Y66" s="6"/>
      <c r="Z66" s="6"/>
      <c r="AA66" s="6"/>
      <c r="AB66" s="6">
        <f>0.5*'Direct $ Inputs'!G68</f>
        <v>1.1735357691542421E-2</v>
      </c>
      <c r="AC66" s="6">
        <f>0.5*'Direct $ Inputs'!G68</f>
        <v>1.1735357691542421E-2</v>
      </c>
      <c r="AD66" s="6"/>
      <c r="AE66" s="6"/>
      <c r="AF66" s="6"/>
      <c r="AG66" s="6">
        <f t="shared" si="45"/>
        <v>0</v>
      </c>
      <c r="AH66" s="6">
        <f t="shared" si="40"/>
        <v>31.22012573260319</v>
      </c>
      <c r="AI66" s="6">
        <f t="shared" si="41"/>
        <v>8.5828811423968183</v>
      </c>
      <c r="AJ66" s="6">
        <f t="shared" si="42"/>
        <v>0</v>
      </c>
      <c r="AK66" s="6">
        <f t="shared" si="43"/>
        <v>0</v>
      </c>
      <c r="AM66" s="14">
        <f t="shared" si="44"/>
        <v>39.803006875000008</v>
      </c>
      <c r="AN66" s="19">
        <f>AM66-'Direct $ Inputs'!H68</f>
        <v>0</v>
      </c>
    </row>
    <row r="67" spans="2:40" x14ac:dyDescent="0.3">
      <c r="B67" s="182" t="s">
        <v>15</v>
      </c>
      <c r="C67" s="9">
        <v>42887</v>
      </c>
      <c r="D67" s="9">
        <v>42979</v>
      </c>
      <c r="E67" s="20">
        <v>43374</v>
      </c>
      <c r="F67" s="8" t="s">
        <v>65</v>
      </c>
      <c r="G67" s="20" t="s">
        <v>39</v>
      </c>
      <c r="H67" s="20" t="str">
        <f t="shared" si="39"/>
        <v>Distribution system assetsReplacement</v>
      </c>
      <c r="I67" s="6">
        <v>0</v>
      </c>
      <c r="J67" s="6">
        <f>'Direct $ Inputs'!C69</f>
        <v>22.637244590206372</v>
      </c>
      <c r="K67" s="6"/>
      <c r="L67" s="6"/>
      <c r="M67" s="6"/>
      <c r="N67" s="6"/>
      <c r="O67" s="6"/>
      <c r="P67" s="6">
        <f>0.5*'Direct $ Inputs'!D69</f>
        <v>3.2366673515042876</v>
      </c>
      <c r="Q67" s="6">
        <f>0.5*'Direct $ Inputs'!D69</f>
        <v>3.2366673515042876</v>
      </c>
      <c r="R67" s="6"/>
      <c r="S67" s="6"/>
      <c r="T67" s="6"/>
      <c r="U67" s="6"/>
      <c r="V67" s="6">
        <f>0.5*'Direct $ Inputs'!F69</f>
        <v>5.3344784332009878</v>
      </c>
      <c r="W67" s="6">
        <f>0.5*'Direct $ Inputs'!F69</f>
        <v>5.3344784332009878</v>
      </c>
      <c r="X67" s="6"/>
      <c r="Y67" s="6"/>
      <c r="Z67" s="6"/>
      <c r="AA67" s="6"/>
      <c r="AB67" s="6">
        <f>0.5*'Direct $ Inputs'!G69</f>
        <v>1.1735357691542421E-2</v>
      </c>
      <c r="AC67" s="6">
        <f>0.5*'Direct $ Inputs'!G69</f>
        <v>1.1735357691542421E-2</v>
      </c>
      <c r="AD67" s="6"/>
      <c r="AE67" s="6"/>
      <c r="AF67" s="6"/>
      <c r="AG67" s="6">
        <f t="shared" si="45"/>
        <v>0</v>
      </c>
      <c r="AH67" s="6">
        <f t="shared" si="40"/>
        <v>31.22012573260319</v>
      </c>
      <c r="AI67" s="6">
        <f t="shared" si="41"/>
        <v>8.5828811423968183</v>
      </c>
      <c r="AJ67" s="6">
        <f t="shared" si="42"/>
        <v>0</v>
      </c>
      <c r="AK67" s="6">
        <f t="shared" si="43"/>
        <v>0</v>
      </c>
      <c r="AM67" s="14">
        <f t="shared" si="44"/>
        <v>39.803006875000008</v>
      </c>
      <c r="AN67" s="19">
        <f>AM67-'Direct $ Inputs'!H69</f>
        <v>0</v>
      </c>
    </row>
    <row r="68" spans="2:40" x14ac:dyDescent="0.3">
      <c r="B68" s="182" t="s">
        <v>16</v>
      </c>
      <c r="C68" s="9">
        <v>42887</v>
      </c>
      <c r="D68" s="9">
        <v>43009</v>
      </c>
      <c r="E68" s="20">
        <v>43374</v>
      </c>
      <c r="F68" s="8" t="s">
        <v>65</v>
      </c>
      <c r="G68" s="20" t="s">
        <v>39</v>
      </c>
      <c r="H68" s="20" t="str">
        <f t="shared" si="39"/>
        <v>Distribution system assetsReplacement</v>
      </c>
      <c r="I68" s="6">
        <v>0</v>
      </c>
      <c r="J68" s="6">
        <f>'Direct $ Inputs'!C70</f>
        <v>0</v>
      </c>
      <c r="K68" s="6"/>
      <c r="L68" s="6"/>
      <c r="M68" s="6"/>
      <c r="N68" s="6"/>
      <c r="O68" s="6"/>
      <c r="P68" s="6">
        <f>0.5*'Direct $ Inputs'!D70</f>
        <v>0</v>
      </c>
      <c r="Q68" s="6">
        <f>0.5*'Direct $ Inputs'!D70</f>
        <v>0</v>
      </c>
      <c r="R68" s="6"/>
      <c r="S68" s="6"/>
      <c r="T68" s="6"/>
      <c r="U68" s="6"/>
      <c r="V68" s="6">
        <f>0.5*'Direct $ Inputs'!F70</f>
        <v>0</v>
      </c>
      <c r="W68" s="6">
        <f>0.5*'Direct $ Inputs'!F70</f>
        <v>0</v>
      </c>
      <c r="X68" s="6"/>
      <c r="Y68" s="6"/>
      <c r="Z68" s="6"/>
      <c r="AA68" s="6"/>
      <c r="AB68" s="6">
        <f>0.5*'Direct $ Inputs'!G70</f>
        <v>0</v>
      </c>
      <c r="AC68" s="6">
        <f>0.5*'Direct $ Inputs'!G70</f>
        <v>0</v>
      </c>
      <c r="AD68" s="6"/>
      <c r="AE68" s="6"/>
      <c r="AF68" s="6"/>
      <c r="AG68" s="6">
        <f t="shared" si="45"/>
        <v>0</v>
      </c>
      <c r="AH68" s="6">
        <f t="shared" si="40"/>
        <v>0</v>
      </c>
      <c r="AI68" s="6">
        <f t="shared" si="41"/>
        <v>0</v>
      </c>
      <c r="AJ68" s="6">
        <f t="shared" si="42"/>
        <v>0</v>
      </c>
      <c r="AK68" s="6">
        <f t="shared" si="43"/>
        <v>0</v>
      </c>
      <c r="AM68" s="14">
        <f t="shared" si="44"/>
        <v>0</v>
      </c>
      <c r="AN68" s="19">
        <f>AM68-'Direct $ Inputs'!H70</f>
        <v>0</v>
      </c>
    </row>
    <row r="69" spans="2:40" x14ac:dyDescent="0.3">
      <c r="B69" s="182" t="s">
        <v>17</v>
      </c>
      <c r="C69" s="9">
        <v>42887</v>
      </c>
      <c r="D69" s="9">
        <v>43009</v>
      </c>
      <c r="E69" s="20">
        <v>43497</v>
      </c>
      <c r="F69" s="8" t="s">
        <v>65</v>
      </c>
      <c r="G69" s="20" t="s">
        <v>39</v>
      </c>
      <c r="H69" s="20" t="str">
        <f t="shared" si="39"/>
        <v>Distribution system assetsReplacement</v>
      </c>
      <c r="I69" s="6">
        <v>0</v>
      </c>
      <c r="J69" s="6">
        <f>'Direct $ Inputs'!C71</f>
        <v>90.548978360825487</v>
      </c>
      <c r="K69" s="6"/>
      <c r="L69" s="6"/>
      <c r="M69" s="6"/>
      <c r="N69" s="6"/>
      <c r="O69" s="6"/>
      <c r="P69" s="6">
        <f>0.5*'Direct $ Inputs'!D71</f>
        <v>12.946669406017151</v>
      </c>
      <c r="Q69" s="6">
        <f>0.5*'Direct $ Inputs'!D71</f>
        <v>12.946669406017151</v>
      </c>
      <c r="R69" s="6"/>
      <c r="S69" s="6"/>
      <c r="T69" s="6"/>
      <c r="U69" s="6"/>
      <c r="V69" s="6">
        <f>0.5*'Direct $ Inputs'!F71</f>
        <v>21.337913732803951</v>
      </c>
      <c r="W69" s="6">
        <f>0.5*'Direct $ Inputs'!F71</f>
        <v>21.337913732803951</v>
      </c>
      <c r="X69" s="6"/>
      <c r="Y69" s="6"/>
      <c r="Z69" s="6"/>
      <c r="AA69" s="6"/>
      <c r="AB69" s="6">
        <f>0.5*'Direct $ Inputs'!G71</f>
        <v>4.6941430766169683E-2</v>
      </c>
      <c r="AC69" s="6">
        <f>0.5*'Direct $ Inputs'!G71</f>
        <v>4.6941430766169683E-2</v>
      </c>
      <c r="AD69" s="6"/>
      <c r="AE69" s="6"/>
      <c r="AF69" s="6"/>
      <c r="AG69" s="6">
        <f t="shared" si="45"/>
        <v>0</v>
      </c>
      <c r="AH69" s="6">
        <f t="shared" si="40"/>
        <v>124.88050293041276</v>
      </c>
      <c r="AI69" s="6">
        <f t="shared" si="41"/>
        <v>34.331524569587273</v>
      </c>
      <c r="AJ69" s="6">
        <f t="shared" si="42"/>
        <v>0</v>
      </c>
      <c r="AK69" s="6">
        <f t="shared" si="43"/>
        <v>0</v>
      </c>
      <c r="AM69" s="14">
        <f t="shared" si="44"/>
        <v>159.21202750000003</v>
      </c>
      <c r="AN69" s="19">
        <f>AM69-'Direct $ Inputs'!H71</f>
        <v>0</v>
      </c>
    </row>
    <row r="70" spans="2:40" x14ac:dyDescent="0.3">
      <c r="E70" s="8"/>
      <c r="F70" s="8"/>
      <c r="G70" s="8"/>
      <c r="H70" s="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2:40" x14ac:dyDescent="0.3">
      <c r="B71" s="26" t="s">
        <v>185</v>
      </c>
      <c r="E71" s="8"/>
      <c r="F71" s="8"/>
      <c r="G71" s="8"/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2:40" x14ac:dyDescent="0.3">
      <c r="B72" s="182" t="s">
        <v>9</v>
      </c>
      <c r="D72" s="9">
        <v>42705</v>
      </c>
      <c r="E72" s="8">
        <v>42948</v>
      </c>
      <c r="F72" s="8" t="s">
        <v>65</v>
      </c>
      <c r="G72" s="8" t="s">
        <v>39</v>
      </c>
      <c r="H72" s="20" t="str">
        <f t="shared" ref="H72:H80" si="46">G72&amp;F72</f>
        <v>Distribution system assetsReplacement</v>
      </c>
      <c r="I72" s="6">
        <f>'Direct $ Inputs'!C77</f>
        <v>0</v>
      </c>
      <c r="J72" s="6"/>
      <c r="K72" s="6"/>
      <c r="L72" s="6"/>
      <c r="M72" s="6"/>
      <c r="N72" s="6"/>
      <c r="O72" s="6">
        <f>0.2*'Direct $ Inputs'!D77</f>
        <v>0</v>
      </c>
      <c r="P72" s="6">
        <f>0.8*'Direct $ Inputs'!D77</f>
        <v>0</v>
      </c>
      <c r="Q72" s="6"/>
      <c r="R72" s="6"/>
      <c r="S72" s="6"/>
      <c r="T72" s="6"/>
      <c r="U72" s="6">
        <f>0.1*'Direct $ Inputs'!F77</f>
        <v>0</v>
      </c>
      <c r="V72" s="6">
        <f>0.9*'Direct $ Inputs'!F77</f>
        <v>0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>
        <f>I72+O72+U72+AA72</f>
        <v>0</v>
      </c>
      <c r="AH72" s="6">
        <f t="shared" ref="AH72:AH80" si="47">J72+P72+V72+AB72</f>
        <v>0</v>
      </c>
      <c r="AI72" s="6">
        <f t="shared" ref="AI72:AI80" si="48">K72+Q72+W72+AC72</f>
        <v>0</v>
      </c>
      <c r="AJ72" s="6">
        <f t="shared" ref="AJ72:AJ80" si="49">L72+R72+X72+AD72</f>
        <v>0</v>
      </c>
      <c r="AK72" s="6">
        <f t="shared" ref="AK72:AK80" si="50">M72+S72+Y72+AE72</f>
        <v>0</v>
      </c>
      <c r="AM72" s="14">
        <f t="shared" ref="AM72" si="51">SUM(AG72:AK72)</f>
        <v>0</v>
      </c>
      <c r="AN72" s="19">
        <f>AM72-'Direct $ Inputs'!H77</f>
        <v>0</v>
      </c>
    </row>
    <row r="73" spans="2:40" x14ac:dyDescent="0.3">
      <c r="B73" s="182" t="s">
        <v>10</v>
      </c>
      <c r="D73" s="9">
        <v>42705</v>
      </c>
      <c r="E73" s="8">
        <v>42948</v>
      </c>
      <c r="F73" s="8" t="s">
        <v>65</v>
      </c>
      <c r="G73" s="8" t="s">
        <v>39</v>
      </c>
      <c r="H73" s="20" t="str">
        <f t="shared" si="46"/>
        <v>Distribution system assetsReplacement</v>
      </c>
      <c r="I73" s="6">
        <f>'Direct $ Inputs'!C78</f>
        <v>14.418333333333335</v>
      </c>
      <c r="J73" s="6"/>
      <c r="K73" s="6"/>
      <c r="L73" s="6"/>
      <c r="M73" s="6"/>
      <c r="N73" s="6"/>
      <c r="O73" s="6">
        <f>0.2*'Direct $ Inputs'!D78</f>
        <v>3.1854</v>
      </c>
      <c r="P73" s="6">
        <f>0.8*'Direct $ Inputs'!D78</f>
        <v>12.7416</v>
      </c>
      <c r="Q73" s="6"/>
      <c r="R73" s="6"/>
      <c r="S73" s="6"/>
      <c r="T73" s="6"/>
      <c r="U73" s="6">
        <f>0.1*'Direct $ Inputs'!F78</f>
        <v>1.663041666666667</v>
      </c>
      <c r="V73" s="6">
        <f>0.9*'Direct $ Inputs'!F78</f>
        <v>14.967375000000002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>
        <f t="shared" ref="AG73:AG80" si="52">I73+O73+U73+AA73</f>
        <v>19.266775000000003</v>
      </c>
      <c r="AH73" s="6">
        <f t="shared" si="47"/>
        <v>27.708975000000002</v>
      </c>
      <c r="AI73" s="6">
        <f t="shared" si="48"/>
        <v>0</v>
      </c>
      <c r="AJ73" s="6">
        <f t="shared" si="49"/>
        <v>0</v>
      </c>
      <c r="AK73" s="6">
        <f t="shared" si="50"/>
        <v>0</v>
      </c>
      <c r="AM73" s="14">
        <f t="shared" ref="AM73:AM80" si="53">SUM(AG73:AK73)</f>
        <v>46.975750000000005</v>
      </c>
      <c r="AN73" s="19">
        <f>AM73-'Direct $ Inputs'!H78</f>
        <v>0</v>
      </c>
    </row>
    <row r="74" spans="2:40" x14ac:dyDescent="0.3">
      <c r="B74" s="182" t="s">
        <v>11</v>
      </c>
      <c r="D74" s="9">
        <v>42705</v>
      </c>
      <c r="E74" s="8">
        <v>42948</v>
      </c>
      <c r="F74" s="8" t="s">
        <v>65</v>
      </c>
      <c r="G74" s="8" t="s">
        <v>39</v>
      </c>
      <c r="H74" s="20" t="str">
        <f t="shared" si="46"/>
        <v>Distribution system assetsReplacement</v>
      </c>
      <c r="I74" s="6">
        <f>'Direct $ Inputs'!C79</f>
        <v>0</v>
      </c>
      <c r="J74" s="6"/>
      <c r="K74" s="6"/>
      <c r="L74" s="6"/>
      <c r="M74" s="6"/>
      <c r="N74" s="6"/>
      <c r="O74" s="6">
        <f>0.2*'Direct $ Inputs'!D79</f>
        <v>0</v>
      </c>
      <c r="P74" s="6">
        <f>0.8*'Direct $ Inputs'!D79</f>
        <v>0</v>
      </c>
      <c r="Q74" s="6"/>
      <c r="R74" s="6"/>
      <c r="S74" s="6"/>
      <c r="T74" s="6"/>
      <c r="U74" s="6">
        <f>0.1*'Direct $ Inputs'!F79</f>
        <v>0</v>
      </c>
      <c r="V74" s="6">
        <f>0.9*'Direct $ Inputs'!F79</f>
        <v>0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>
        <f t="shared" si="52"/>
        <v>0</v>
      </c>
      <c r="AH74" s="6">
        <f t="shared" si="47"/>
        <v>0</v>
      </c>
      <c r="AI74" s="6">
        <f t="shared" si="48"/>
        <v>0</v>
      </c>
      <c r="AJ74" s="6">
        <f t="shared" si="49"/>
        <v>0</v>
      </c>
      <c r="AK74" s="6">
        <f t="shared" si="50"/>
        <v>0</v>
      </c>
      <c r="AM74" s="14">
        <f t="shared" si="53"/>
        <v>0</v>
      </c>
      <c r="AN74" s="19">
        <f>AM74-'Direct $ Inputs'!H79</f>
        <v>0</v>
      </c>
    </row>
    <row r="75" spans="2:40" x14ac:dyDescent="0.3">
      <c r="B75" s="182" t="s">
        <v>12</v>
      </c>
      <c r="D75" s="9">
        <v>42705</v>
      </c>
      <c r="E75" s="8">
        <v>42948</v>
      </c>
      <c r="F75" s="8" t="s">
        <v>65</v>
      </c>
      <c r="G75" s="8" t="s">
        <v>39</v>
      </c>
      <c r="H75" s="20" t="str">
        <f t="shared" si="46"/>
        <v>Distribution system assetsReplacement</v>
      </c>
      <c r="I75" s="6">
        <f>'Direct $ Inputs'!C80</f>
        <v>0</v>
      </c>
      <c r="J75" s="6"/>
      <c r="K75" s="6"/>
      <c r="L75" s="6"/>
      <c r="M75" s="6"/>
      <c r="N75" s="6"/>
      <c r="O75" s="6">
        <f>0.2*'Direct $ Inputs'!D80</f>
        <v>0</v>
      </c>
      <c r="P75" s="6">
        <f>0.8*'Direct $ Inputs'!D80</f>
        <v>0</v>
      </c>
      <c r="Q75" s="6"/>
      <c r="R75" s="6"/>
      <c r="S75" s="6"/>
      <c r="T75" s="6"/>
      <c r="U75" s="6">
        <f>0.1*'Direct $ Inputs'!F80</f>
        <v>0</v>
      </c>
      <c r="V75" s="6">
        <f>0.9*'Direct $ Inputs'!F80</f>
        <v>0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>
        <f t="shared" si="52"/>
        <v>0</v>
      </c>
      <c r="AH75" s="6">
        <f t="shared" si="47"/>
        <v>0</v>
      </c>
      <c r="AI75" s="6">
        <f t="shared" si="48"/>
        <v>0</v>
      </c>
      <c r="AJ75" s="6">
        <f t="shared" si="49"/>
        <v>0</v>
      </c>
      <c r="AK75" s="6">
        <f t="shared" si="50"/>
        <v>0</v>
      </c>
      <c r="AM75" s="14">
        <f t="shared" si="53"/>
        <v>0</v>
      </c>
      <c r="AN75" s="19">
        <f>AM75-'Direct $ Inputs'!H80</f>
        <v>0</v>
      </c>
    </row>
    <row r="76" spans="2:40" x14ac:dyDescent="0.3">
      <c r="B76" s="182" t="s">
        <v>13</v>
      </c>
      <c r="D76" s="9">
        <v>42705</v>
      </c>
      <c r="E76" s="8">
        <v>42948</v>
      </c>
      <c r="F76" s="8" t="s">
        <v>65</v>
      </c>
      <c r="G76" s="8" t="s">
        <v>39</v>
      </c>
      <c r="H76" s="20" t="str">
        <f t="shared" si="46"/>
        <v>Distribution system assetsReplacement</v>
      </c>
      <c r="I76" s="6">
        <f>'Direct $ Inputs'!C81</f>
        <v>43.255000000000003</v>
      </c>
      <c r="J76" s="6"/>
      <c r="K76" s="6"/>
      <c r="L76" s="6"/>
      <c r="M76" s="6"/>
      <c r="N76" s="6"/>
      <c r="O76" s="6">
        <f>0.2*'Direct $ Inputs'!D81</f>
        <v>9.5562000000000005</v>
      </c>
      <c r="P76" s="6">
        <f>0.8*'Direct $ Inputs'!D81</f>
        <v>38.224800000000002</v>
      </c>
      <c r="Q76" s="6"/>
      <c r="R76" s="6"/>
      <c r="S76" s="6"/>
      <c r="T76" s="6"/>
      <c r="U76" s="6">
        <f>0.1*'Direct $ Inputs'!F81</f>
        <v>4.9891250000000005</v>
      </c>
      <c r="V76" s="6">
        <f>0.9*'Direct $ Inputs'!F81</f>
        <v>44.902124999999998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>
        <f t="shared" si="52"/>
        <v>57.800325000000001</v>
      </c>
      <c r="AH76" s="6">
        <f t="shared" si="47"/>
        <v>83.126925</v>
      </c>
      <c r="AI76" s="6">
        <f t="shared" si="48"/>
        <v>0</v>
      </c>
      <c r="AJ76" s="6">
        <f t="shared" si="49"/>
        <v>0</v>
      </c>
      <c r="AK76" s="6">
        <f t="shared" si="50"/>
        <v>0</v>
      </c>
      <c r="AM76" s="14">
        <f t="shared" si="53"/>
        <v>140.92725000000002</v>
      </c>
      <c r="AN76" s="19">
        <f>AM76-'Direct $ Inputs'!H81</f>
        <v>0</v>
      </c>
    </row>
    <row r="77" spans="2:40" x14ac:dyDescent="0.3">
      <c r="B77" s="182" t="s">
        <v>14</v>
      </c>
      <c r="D77" s="9">
        <v>42705</v>
      </c>
      <c r="E77" s="8">
        <v>42948</v>
      </c>
      <c r="F77" s="8" t="s">
        <v>65</v>
      </c>
      <c r="G77" s="8" t="s">
        <v>39</v>
      </c>
      <c r="H77" s="20" t="str">
        <f t="shared" si="46"/>
        <v>Distribution system assetsReplacement</v>
      </c>
      <c r="I77" s="6">
        <f>'Direct $ Inputs'!C82</f>
        <v>0</v>
      </c>
      <c r="J77" s="6"/>
      <c r="K77" s="6"/>
      <c r="L77" s="6"/>
      <c r="M77" s="6"/>
      <c r="N77" s="6"/>
      <c r="O77" s="6">
        <f>0.2*'Direct $ Inputs'!D82</f>
        <v>0</v>
      </c>
      <c r="P77" s="6">
        <f>0.8*'Direct $ Inputs'!D82</f>
        <v>0</v>
      </c>
      <c r="Q77" s="6"/>
      <c r="R77" s="6"/>
      <c r="S77" s="6"/>
      <c r="T77" s="6"/>
      <c r="U77" s="6">
        <f>0.1*'Direct $ Inputs'!F82</f>
        <v>0</v>
      </c>
      <c r="V77" s="6">
        <f>0.9*'Direct $ Inputs'!F82</f>
        <v>0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>
        <f t="shared" si="52"/>
        <v>0</v>
      </c>
      <c r="AH77" s="6">
        <f t="shared" si="47"/>
        <v>0</v>
      </c>
      <c r="AI77" s="6">
        <f t="shared" si="48"/>
        <v>0</v>
      </c>
      <c r="AJ77" s="6">
        <f t="shared" si="49"/>
        <v>0</v>
      </c>
      <c r="AK77" s="6">
        <f t="shared" si="50"/>
        <v>0</v>
      </c>
      <c r="AM77" s="14">
        <f t="shared" si="53"/>
        <v>0</v>
      </c>
      <c r="AN77" s="19">
        <f>AM77-'Direct $ Inputs'!H82</f>
        <v>0</v>
      </c>
    </row>
    <row r="78" spans="2:40" x14ac:dyDescent="0.3">
      <c r="B78" s="182" t="s">
        <v>15</v>
      </c>
      <c r="D78" s="9">
        <v>42705</v>
      </c>
      <c r="E78" s="8">
        <v>42948</v>
      </c>
      <c r="F78" s="8" t="s">
        <v>65</v>
      </c>
      <c r="G78" s="8" t="s">
        <v>39</v>
      </c>
      <c r="H78" s="20" t="str">
        <f t="shared" si="46"/>
        <v>Distribution system assetsReplacement</v>
      </c>
      <c r="I78" s="6">
        <f>'Direct $ Inputs'!C83</f>
        <v>198.24377333333334</v>
      </c>
      <c r="J78" s="6"/>
      <c r="K78" s="6"/>
      <c r="L78" s="6"/>
      <c r="M78" s="6"/>
      <c r="N78" s="6"/>
      <c r="O78" s="6">
        <f>0.2*'Direct $ Inputs'!D83</f>
        <v>31.151600000000002</v>
      </c>
      <c r="P78" s="6">
        <f>0.8*'Direct $ Inputs'!D83</f>
        <v>124.60640000000001</v>
      </c>
      <c r="Q78" s="6"/>
      <c r="R78" s="6"/>
      <c r="S78" s="6"/>
      <c r="T78" s="6"/>
      <c r="U78" s="6">
        <f>0.1*'Direct $ Inputs'!F83</f>
        <v>3.2914166666666675</v>
      </c>
      <c r="V78" s="6">
        <f>0.9*'Direct $ Inputs'!F83</f>
        <v>29.622750000000007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>
        <f t="shared" si="52"/>
        <v>232.68679</v>
      </c>
      <c r="AH78" s="6">
        <f t="shared" si="47"/>
        <v>154.22915</v>
      </c>
      <c r="AI78" s="6">
        <f t="shared" si="48"/>
        <v>0</v>
      </c>
      <c r="AJ78" s="6">
        <f t="shared" si="49"/>
        <v>0</v>
      </c>
      <c r="AK78" s="6">
        <f t="shared" si="50"/>
        <v>0</v>
      </c>
      <c r="AM78" s="14">
        <f t="shared" si="53"/>
        <v>386.91593999999998</v>
      </c>
      <c r="AN78" s="19">
        <f>AM78-'Direct $ Inputs'!H83</f>
        <v>0</v>
      </c>
    </row>
    <row r="79" spans="2:40" x14ac:dyDescent="0.3">
      <c r="B79" s="182" t="s">
        <v>16</v>
      </c>
      <c r="D79" s="9">
        <v>42705</v>
      </c>
      <c r="E79" s="8">
        <v>42948</v>
      </c>
      <c r="F79" s="8" t="s">
        <v>65</v>
      </c>
      <c r="G79" s="8" t="s">
        <v>39</v>
      </c>
      <c r="H79" s="20" t="str">
        <f t="shared" si="46"/>
        <v>Distribution system assetsReplacement</v>
      </c>
      <c r="I79" s="6">
        <f>'Direct $ Inputs'!C84</f>
        <v>0</v>
      </c>
      <c r="J79" s="6"/>
      <c r="K79" s="6"/>
      <c r="L79" s="6"/>
      <c r="M79" s="6"/>
      <c r="N79" s="6"/>
      <c r="O79" s="6">
        <f>0.2*'Direct $ Inputs'!D84</f>
        <v>0</v>
      </c>
      <c r="P79" s="6">
        <f>0.8*'Direct $ Inputs'!D84</f>
        <v>0</v>
      </c>
      <c r="Q79" s="6"/>
      <c r="R79" s="6"/>
      <c r="S79" s="6"/>
      <c r="T79" s="6"/>
      <c r="U79" s="6">
        <f>0.1*'Direct $ Inputs'!F84</f>
        <v>0</v>
      </c>
      <c r="V79" s="6">
        <f>0.9*'Direct $ Inputs'!F84</f>
        <v>0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>
        <f t="shared" si="52"/>
        <v>0</v>
      </c>
      <c r="AH79" s="6">
        <f t="shared" si="47"/>
        <v>0</v>
      </c>
      <c r="AI79" s="6">
        <f t="shared" si="48"/>
        <v>0</v>
      </c>
      <c r="AJ79" s="6">
        <f t="shared" si="49"/>
        <v>0</v>
      </c>
      <c r="AK79" s="6">
        <f t="shared" si="50"/>
        <v>0</v>
      </c>
      <c r="AM79" s="14">
        <f t="shared" si="53"/>
        <v>0</v>
      </c>
      <c r="AN79" s="19">
        <f>AM79-'Direct $ Inputs'!H84</f>
        <v>0</v>
      </c>
    </row>
    <row r="80" spans="2:40" x14ac:dyDescent="0.3">
      <c r="B80" s="182" t="s">
        <v>17</v>
      </c>
      <c r="D80" s="9">
        <v>42705</v>
      </c>
      <c r="E80" s="8">
        <v>42948</v>
      </c>
      <c r="F80" s="8" t="s">
        <v>65</v>
      </c>
      <c r="G80" s="8" t="s">
        <v>39</v>
      </c>
      <c r="H80" s="20" t="str">
        <f t="shared" si="46"/>
        <v>Distribution system assetsReplacement</v>
      </c>
      <c r="I80" s="6">
        <f>'Direct $ Inputs'!C85</f>
        <v>198.24377333333334</v>
      </c>
      <c r="J80" s="6"/>
      <c r="K80" s="6"/>
      <c r="L80" s="6"/>
      <c r="M80" s="6"/>
      <c r="N80" s="6"/>
      <c r="O80" s="6">
        <f>0.2*'Direct $ Inputs'!D85</f>
        <v>31.151600000000002</v>
      </c>
      <c r="P80" s="6">
        <f>0.8*'Direct $ Inputs'!D85</f>
        <v>124.60640000000001</v>
      </c>
      <c r="Q80" s="6"/>
      <c r="R80" s="6"/>
      <c r="S80" s="6"/>
      <c r="T80" s="6"/>
      <c r="U80" s="6">
        <f>0.1*'Direct $ Inputs'!F85</f>
        <v>3.2914166666666675</v>
      </c>
      <c r="V80" s="6">
        <f>0.9*'Direct $ Inputs'!F85</f>
        <v>29.622750000000007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>
        <f t="shared" si="52"/>
        <v>232.68679</v>
      </c>
      <c r="AH80" s="6">
        <f t="shared" si="47"/>
        <v>154.22915</v>
      </c>
      <c r="AI80" s="6">
        <f t="shared" si="48"/>
        <v>0</v>
      </c>
      <c r="AJ80" s="6">
        <f t="shared" si="49"/>
        <v>0</v>
      </c>
      <c r="AK80" s="6">
        <f t="shared" si="50"/>
        <v>0</v>
      </c>
      <c r="AM80" s="14">
        <f t="shared" si="53"/>
        <v>386.91593999999998</v>
      </c>
      <c r="AN80" s="19">
        <f>AM80-'Direct $ Inputs'!H85</f>
        <v>0</v>
      </c>
    </row>
    <row r="81" spans="2:40" x14ac:dyDescent="0.3">
      <c r="E81" s="8"/>
      <c r="F81" s="8"/>
      <c r="G81" s="8"/>
      <c r="H81" s="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40" x14ac:dyDescent="0.3">
      <c r="B82" s="26" t="s">
        <v>184</v>
      </c>
      <c r="E82" s="8"/>
      <c r="F82" s="8"/>
      <c r="G82" s="8"/>
      <c r="H82" s="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40" x14ac:dyDescent="0.3">
      <c r="B83" s="182" t="s">
        <v>9</v>
      </c>
      <c r="C83" s="9">
        <v>42826</v>
      </c>
      <c r="D83" s="9">
        <v>42917</v>
      </c>
      <c r="E83" s="9">
        <v>43009</v>
      </c>
      <c r="F83" s="8" t="s">
        <v>63</v>
      </c>
      <c r="G83" s="17" t="s">
        <v>39</v>
      </c>
      <c r="H83" s="20" t="str">
        <f t="shared" ref="H83:H91" si="54">G83&amp;F83</f>
        <v>Distribution system assetsAugmentation</v>
      </c>
      <c r="I83" s="6"/>
      <c r="J83" s="6">
        <f>'Direct $ Inputs'!C91</f>
        <v>384.14478564677762</v>
      </c>
      <c r="K83" s="6"/>
      <c r="L83" s="6"/>
      <c r="M83" s="6"/>
      <c r="N83" s="6"/>
      <c r="O83" s="6"/>
      <c r="P83" s="6">
        <f>'Direct $ Inputs'!D91</f>
        <v>125.22568644095672</v>
      </c>
      <c r="Q83" s="6"/>
      <c r="R83" s="6"/>
      <c r="S83" s="6"/>
      <c r="T83" s="6"/>
      <c r="U83" s="6"/>
      <c r="V83" s="6">
        <f>'Direct $ Inputs'!E91+'Direct $ Inputs'!F91</f>
        <v>584.32748103754898</v>
      </c>
      <c r="W83" s="6"/>
      <c r="X83" s="6"/>
      <c r="Y83" s="6"/>
      <c r="Z83" s="6"/>
      <c r="AA83" s="6"/>
      <c r="AB83" s="6">
        <f>'Direct $ Inputs'!G91</f>
        <v>86.683318255625636</v>
      </c>
      <c r="AC83" s="6"/>
      <c r="AD83" s="6"/>
      <c r="AE83" s="6"/>
      <c r="AF83" s="6"/>
      <c r="AG83" s="6">
        <f>I83+O83+U83+AA83</f>
        <v>0</v>
      </c>
      <c r="AH83" s="6">
        <f t="shared" ref="AH83:AH91" si="55">J83+P83+V83+AB83</f>
        <v>1180.3812713809089</v>
      </c>
      <c r="AI83" s="6">
        <f t="shared" ref="AI83:AI91" si="56">K83+Q83+W83+AC83</f>
        <v>0</v>
      </c>
      <c r="AJ83" s="6">
        <f t="shared" ref="AJ83:AJ91" si="57">L83+R83+X83+AD83</f>
        <v>0</v>
      </c>
      <c r="AK83" s="6">
        <f t="shared" ref="AK83:AK91" si="58">M83+S83+Y83+AE83</f>
        <v>0</v>
      </c>
      <c r="AM83" s="14">
        <f t="shared" ref="AM83:AM91" si="59">SUM(AG83:AK83)</f>
        <v>1180.3812713809089</v>
      </c>
      <c r="AN83" s="6">
        <f>AM83-'Direct $ Inputs'!H91</f>
        <v>0</v>
      </c>
    </row>
    <row r="84" spans="2:40" x14ac:dyDescent="0.3">
      <c r="B84" s="182" t="s">
        <v>10</v>
      </c>
      <c r="C84" s="9">
        <v>42826</v>
      </c>
      <c r="D84" s="9">
        <v>42917</v>
      </c>
      <c r="E84" s="9">
        <v>43009</v>
      </c>
      <c r="F84" s="8" t="s">
        <v>63</v>
      </c>
      <c r="G84" s="17" t="s">
        <v>39</v>
      </c>
      <c r="H84" s="20" t="str">
        <f t="shared" si="54"/>
        <v>Distribution system assetsAugmentation</v>
      </c>
      <c r="I84" s="6"/>
      <c r="J84" s="6">
        <f>'Direct $ Inputs'!C92</f>
        <v>1152.4343569403329</v>
      </c>
      <c r="K84" s="6"/>
      <c r="L84" s="6"/>
      <c r="M84" s="6"/>
      <c r="N84" s="6"/>
      <c r="O84" s="6"/>
      <c r="P84" s="6">
        <f>'Direct $ Inputs'!D92</f>
        <v>375.67705932287015</v>
      </c>
      <c r="Q84" s="6"/>
      <c r="R84" s="6"/>
      <c r="S84" s="6"/>
      <c r="T84" s="6"/>
      <c r="U84" s="6"/>
      <c r="V84" s="6">
        <f>'Direct $ Inputs'!E92+'Direct $ Inputs'!F92</f>
        <v>1752.9824431126467</v>
      </c>
      <c r="W84" s="6"/>
      <c r="X84" s="6"/>
      <c r="Y84" s="6"/>
      <c r="Z84" s="6"/>
      <c r="AA84" s="6"/>
      <c r="AB84" s="6">
        <f>'Direct $ Inputs'!G92</f>
        <v>260.04995476687691</v>
      </c>
      <c r="AC84" s="6"/>
      <c r="AD84" s="6"/>
      <c r="AE84" s="6"/>
      <c r="AF84" s="6"/>
      <c r="AG84" s="6">
        <f t="shared" ref="AG84:AG91" si="60">I84+O84+U84+AA84</f>
        <v>0</v>
      </c>
      <c r="AH84" s="6">
        <f t="shared" si="55"/>
        <v>3541.1438141427266</v>
      </c>
      <c r="AI84" s="6">
        <f t="shared" si="56"/>
        <v>0</v>
      </c>
      <c r="AJ84" s="6">
        <f t="shared" si="57"/>
        <v>0</v>
      </c>
      <c r="AK84" s="6">
        <f t="shared" si="58"/>
        <v>0</v>
      </c>
      <c r="AM84" s="14">
        <f t="shared" si="59"/>
        <v>3541.1438141427266</v>
      </c>
      <c r="AN84" s="6">
        <f>AM84-'Direct $ Inputs'!H92</f>
        <v>0</v>
      </c>
    </row>
    <row r="85" spans="2:40" x14ac:dyDescent="0.3">
      <c r="B85" s="182" t="s">
        <v>11</v>
      </c>
      <c r="C85" s="9">
        <v>42826</v>
      </c>
      <c r="D85" s="9">
        <v>42917</v>
      </c>
      <c r="E85" s="9">
        <v>43009</v>
      </c>
      <c r="F85" s="8" t="s">
        <v>63</v>
      </c>
      <c r="G85" s="17" t="s">
        <v>39</v>
      </c>
      <c r="H85" s="20" t="str">
        <f t="shared" si="54"/>
        <v>Distribution system assetsAugmentation</v>
      </c>
      <c r="I85" s="6"/>
      <c r="J85" s="6">
        <f>'Direct $ Inputs'!C93</f>
        <v>768.28957129355524</v>
      </c>
      <c r="K85" s="6"/>
      <c r="L85" s="6"/>
      <c r="M85" s="6"/>
      <c r="N85" s="6"/>
      <c r="O85" s="6"/>
      <c r="P85" s="6">
        <f>'Direct $ Inputs'!D93</f>
        <v>250.45137288191344</v>
      </c>
      <c r="Q85" s="6"/>
      <c r="R85" s="6"/>
      <c r="S85" s="6"/>
      <c r="T85" s="6"/>
      <c r="U85" s="6"/>
      <c r="V85" s="6">
        <f>'Direct $ Inputs'!E93+'Direct $ Inputs'!F93</f>
        <v>1168.654962075098</v>
      </c>
      <c r="W85" s="6"/>
      <c r="X85" s="6"/>
      <c r="Y85" s="6"/>
      <c r="Z85" s="6"/>
      <c r="AA85" s="6"/>
      <c r="AB85" s="6">
        <f>'Direct $ Inputs'!G93</f>
        <v>173.36663651125127</v>
      </c>
      <c r="AC85" s="6"/>
      <c r="AD85" s="6"/>
      <c r="AE85" s="6"/>
      <c r="AF85" s="6"/>
      <c r="AG85" s="6">
        <f t="shared" si="60"/>
        <v>0</v>
      </c>
      <c r="AH85" s="6">
        <f t="shared" si="55"/>
        <v>2360.7625427618177</v>
      </c>
      <c r="AI85" s="6">
        <f t="shared" si="56"/>
        <v>0</v>
      </c>
      <c r="AJ85" s="6">
        <f t="shared" si="57"/>
        <v>0</v>
      </c>
      <c r="AK85" s="6">
        <f t="shared" si="58"/>
        <v>0</v>
      </c>
      <c r="AM85" s="14">
        <f t="shared" si="59"/>
        <v>2360.7625427618177</v>
      </c>
      <c r="AN85" s="6">
        <f>AM85-'Direct $ Inputs'!H93</f>
        <v>0</v>
      </c>
    </row>
    <row r="86" spans="2:40" x14ac:dyDescent="0.3">
      <c r="B86" s="182" t="s">
        <v>12</v>
      </c>
      <c r="C86" s="9"/>
      <c r="D86" s="9"/>
      <c r="E86" s="9"/>
      <c r="F86" s="8" t="s">
        <v>63</v>
      </c>
      <c r="G86" s="17" t="s">
        <v>39</v>
      </c>
      <c r="H86" s="20" t="str">
        <f t="shared" si="54"/>
        <v>Distribution system assetsAugmentation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>
        <f t="shared" si="60"/>
        <v>0</v>
      </c>
      <c r="AH86" s="6">
        <f t="shared" si="55"/>
        <v>0</v>
      </c>
      <c r="AI86" s="6">
        <f t="shared" si="56"/>
        <v>0</v>
      </c>
      <c r="AJ86" s="6">
        <f t="shared" si="57"/>
        <v>0</v>
      </c>
      <c r="AK86" s="6">
        <f t="shared" si="58"/>
        <v>0</v>
      </c>
      <c r="AM86" s="14">
        <f t="shared" si="59"/>
        <v>0</v>
      </c>
      <c r="AN86" s="6">
        <f>AM86-'Direct $ Inputs'!H94</f>
        <v>0</v>
      </c>
    </row>
    <row r="87" spans="2:40" x14ac:dyDescent="0.3">
      <c r="B87" s="182" t="s">
        <v>13</v>
      </c>
      <c r="C87" s="9">
        <v>42887</v>
      </c>
      <c r="D87" s="9">
        <v>43009</v>
      </c>
      <c r="E87" s="9">
        <v>43252</v>
      </c>
      <c r="F87" s="8" t="s">
        <v>63</v>
      </c>
      <c r="G87" s="17" t="s">
        <v>39</v>
      </c>
      <c r="H87" s="20" t="str">
        <f t="shared" si="54"/>
        <v>Distribution system assetsAugmentation</v>
      </c>
      <c r="I87" s="6"/>
      <c r="J87" s="6">
        <f>'Direct $ Inputs'!C95</f>
        <v>768.28957129355524</v>
      </c>
      <c r="K87" s="6"/>
      <c r="L87" s="6"/>
      <c r="M87" s="6"/>
      <c r="N87" s="6"/>
      <c r="O87" s="6"/>
      <c r="P87" s="6">
        <f>0.5*'Direct $ Inputs'!D95</f>
        <v>125.22568644095672</v>
      </c>
      <c r="Q87" s="6">
        <f>0.5*'Direct $ Inputs'!D95</f>
        <v>125.22568644095672</v>
      </c>
      <c r="R87" s="6"/>
      <c r="S87" s="6"/>
      <c r="T87" s="6"/>
      <c r="U87" s="6"/>
      <c r="V87" s="6">
        <f>'Direct $ Inputs'!E95+0.5*'Direct $ Inputs'!F95</f>
        <v>674.59830476669697</v>
      </c>
      <c r="W87" s="6">
        <f>0.5*'Direct $ Inputs'!F95</f>
        <v>494.05665730840087</v>
      </c>
      <c r="X87" s="6"/>
      <c r="Y87" s="6"/>
      <c r="Z87" s="6"/>
      <c r="AA87" s="6"/>
      <c r="AB87" s="6">
        <f>0.5*'Direct $ Inputs'!$G95</f>
        <v>86.683318255625636</v>
      </c>
      <c r="AC87" s="6">
        <f>0.5*'Direct $ Inputs'!$G95</f>
        <v>86.683318255625636</v>
      </c>
      <c r="AD87" s="6"/>
      <c r="AE87" s="6"/>
      <c r="AF87" s="6"/>
      <c r="AG87" s="6">
        <f t="shared" si="60"/>
        <v>0</v>
      </c>
      <c r="AH87" s="6">
        <f t="shared" si="55"/>
        <v>1654.7968807568345</v>
      </c>
      <c r="AI87" s="6">
        <f t="shared" si="56"/>
        <v>705.96566200498319</v>
      </c>
      <c r="AJ87" s="6">
        <f t="shared" si="57"/>
        <v>0</v>
      </c>
      <c r="AK87" s="6">
        <f t="shared" si="58"/>
        <v>0</v>
      </c>
      <c r="AM87" s="14">
        <f t="shared" si="59"/>
        <v>2360.7625427618177</v>
      </c>
      <c r="AN87" s="6">
        <f>AM87-'Direct $ Inputs'!H95</f>
        <v>0</v>
      </c>
    </row>
    <row r="88" spans="2:40" x14ac:dyDescent="0.3">
      <c r="B88" s="182" t="s">
        <v>14</v>
      </c>
      <c r="C88" s="9">
        <v>42887</v>
      </c>
      <c r="D88" s="9">
        <v>43009</v>
      </c>
      <c r="E88" s="9">
        <v>43252</v>
      </c>
      <c r="F88" s="8" t="s">
        <v>63</v>
      </c>
      <c r="G88" s="17" t="s">
        <v>39</v>
      </c>
      <c r="H88" s="20" t="str">
        <f t="shared" si="54"/>
        <v>Distribution system assetsAugmentation</v>
      </c>
      <c r="I88" s="6"/>
      <c r="J88" s="6">
        <f>'Direct $ Inputs'!C96</f>
        <v>768.28957129355524</v>
      </c>
      <c r="K88" s="6"/>
      <c r="L88" s="6"/>
      <c r="M88" s="6"/>
      <c r="N88" s="6"/>
      <c r="O88" s="6"/>
      <c r="P88" s="6">
        <f>0.5*'Direct $ Inputs'!D96</f>
        <v>125.22568644095672</v>
      </c>
      <c r="Q88" s="6">
        <f>0.5*'Direct $ Inputs'!D96</f>
        <v>125.22568644095672</v>
      </c>
      <c r="R88" s="6"/>
      <c r="S88" s="6"/>
      <c r="T88" s="6"/>
      <c r="U88" s="6"/>
      <c r="V88" s="6">
        <f>'Direct $ Inputs'!E96+0.5*'Direct $ Inputs'!F96</f>
        <v>674.59830476669697</v>
      </c>
      <c r="W88" s="6">
        <f>0.5*'Direct $ Inputs'!F96</f>
        <v>494.05665730840087</v>
      </c>
      <c r="X88" s="6"/>
      <c r="Y88" s="6"/>
      <c r="Z88" s="6"/>
      <c r="AA88" s="6"/>
      <c r="AB88" s="6">
        <f>0.5*'Direct $ Inputs'!$G96</f>
        <v>86.683318255625636</v>
      </c>
      <c r="AC88" s="6">
        <f>0.5*'Direct $ Inputs'!$G96</f>
        <v>86.683318255625636</v>
      </c>
      <c r="AD88" s="6"/>
      <c r="AE88" s="6"/>
      <c r="AF88" s="6"/>
      <c r="AG88" s="6">
        <f t="shared" si="60"/>
        <v>0</v>
      </c>
      <c r="AH88" s="6">
        <f t="shared" si="55"/>
        <v>1654.7968807568345</v>
      </c>
      <c r="AI88" s="6">
        <f t="shared" si="56"/>
        <v>705.96566200498319</v>
      </c>
      <c r="AJ88" s="6">
        <f t="shared" si="57"/>
        <v>0</v>
      </c>
      <c r="AK88" s="6">
        <f t="shared" si="58"/>
        <v>0</v>
      </c>
      <c r="AM88" s="14">
        <f t="shared" si="59"/>
        <v>2360.7625427618177</v>
      </c>
      <c r="AN88" s="6">
        <f>AM88-'Direct $ Inputs'!H96</f>
        <v>0</v>
      </c>
    </row>
    <row r="89" spans="2:40" x14ac:dyDescent="0.3">
      <c r="B89" s="182" t="s">
        <v>15</v>
      </c>
      <c r="C89" s="9"/>
      <c r="D89" s="9"/>
      <c r="E89" s="9"/>
      <c r="F89" s="8" t="s">
        <v>63</v>
      </c>
      <c r="G89" s="17" t="s">
        <v>39</v>
      </c>
      <c r="H89" s="20" t="str">
        <f t="shared" si="54"/>
        <v>Distribution system assetsAugmentation</v>
      </c>
      <c r="I89" s="6"/>
      <c r="J89" s="6">
        <f>'Direct $ Inputs'!C97</f>
        <v>384.14478564677762</v>
      </c>
      <c r="K89" s="6"/>
      <c r="L89" s="6"/>
      <c r="M89" s="6"/>
      <c r="N89" s="6"/>
      <c r="O89" s="6"/>
      <c r="P89" s="6">
        <f>0.5*'Direct $ Inputs'!D97</f>
        <v>62.612843220478361</v>
      </c>
      <c r="Q89" s="6">
        <f>0.5*'Direct $ Inputs'!D97</f>
        <v>62.612843220478361</v>
      </c>
      <c r="R89" s="6"/>
      <c r="S89" s="6"/>
      <c r="T89" s="6"/>
      <c r="U89" s="6"/>
      <c r="V89" s="6">
        <f>'Direct $ Inputs'!E97+0.5*'Direct $ Inputs'!F97</f>
        <v>337.29915238334848</v>
      </c>
      <c r="W89" s="6">
        <f>0.5*'Direct $ Inputs'!F97</f>
        <v>247.02832865420044</v>
      </c>
      <c r="X89" s="6"/>
      <c r="Y89" s="6"/>
      <c r="Z89" s="6"/>
      <c r="AA89" s="6"/>
      <c r="AB89" s="6">
        <f>0.5*'Direct $ Inputs'!$G97</f>
        <v>43.341659127812818</v>
      </c>
      <c r="AC89" s="6">
        <f>0.5*'Direct $ Inputs'!$G97</f>
        <v>43.341659127812818</v>
      </c>
      <c r="AD89" s="6"/>
      <c r="AE89" s="6"/>
      <c r="AF89" s="6"/>
      <c r="AG89" s="6">
        <f t="shared" si="60"/>
        <v>0</v>
      </c>
      <c r="AH89" s="6">
        <f t="shared" si="55"/>
        <v>827.39844037841726</v>
      </c>
      <c r="AI89" s="6">
        <f t="shared" si="56"/>
        <v>352.98283100249159</v>
      </c>
      <c r="AJ89" s="6">
        <f t="shared" si="57"/>
        <v>0</v>
      </c>
      <c r="AK89" s="6">
        <f t="shared" si="58"/>
        <v>0</v>
      </c>
      <c r="AM89" s="14">
        <f t="shared" si="59"/>
        <v>1180.3812713809089</v>
      </c>
      <c r="AN89" s="6">
        <f>AM89-'Direct $ Inputs'!H97</f>
        <v>0</v>
      </c>
    </row>
    <row r="90" spans="2:40" x14ac:dyDescent="0.3">
      <c r="B90" s="182" t="s">
        <v>16</v>
      </c>
      <c r="C90" s="9"/>
      <c r="D90" s="9"/>
      <c r="E90" s="9"/>
      <c r="F90" s="8" t="s">
        <v>63</v>
      </c>
      <c r="G90" s="17" t="s">
        <v>39</v>
      </c>
      <c r="H90" s="20" t="str">
        <f t="shared" si="54"/>
        <v>Distribution system assetsAugmentation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>
        <f t="shared" si="60"/>
        <v>0</v>
      </c>
      <c r="AH90" s="6">
        <f t="shared" si="55"/>
        <v>0</v>
      </c>
      <c r="AI90" s="6">
        <f t="shared" si="56"/>
        <v>0</v>
      </c>
      <c r="AJ90" s="6">
        <f t="shared" si="57"/>
        <v>0</v>
      </c>
      <c r="AK90" s="6">
        <f t="shared" si="58"/>
        <v>0</v>
      </c>
      <c r="AM90" s="14">
        <f t="shared" si="59"/>
        <v>0</v>
      </c>
      <c r="AN90" s="6">
        <f>AM90-'Direct $ Inputs'!H98</f>
        <v>0</v>
      </c>
    </row>
    <row r="91" spans="2:40" x14ac:dyDescent="0.3">
      <c r="B91" s="182" t="s">
        <v>17</v>
      </c>
      <c r="C91" s="9">
        <v>42887</v>
      </c>
      <c r="D91" s="9">
        <v>43009</v>
      </c>
      <c r="E91" s="9">
        <v>43252</v>
      </c>
      <c r="F91" s="8" t="s">
        <v>63</v>
      </c>
      <c r="G91" s="17" t="s">
        <v>39</v>
      </c>
      <c r="H91" s="20" t="str">
        <f t="shared" si="54"/>
        <v>Distribution system assetsAugmentation</v>
      </c>
      <c r="I91" s="6"/>
      <c r="J91" s="6">
        <f>'Direct $ Inputs'!C99</f>
        <v>384.14478564677762</v>
      </c>
      <c r="K91" s="6"/>
      <c r="L91" s="6"/>
      <c r="M91" s="6"/>
      <c r="N91" s="6"/>
      <c r="O91" s="6"/>
      <c r="P91" s="6">
        <f>0.5*'Direct $ Inputs'!D99</f>
        <v>62.612843220478361</v>
      </c>
      <c r="Q91" s="6">
        <f>0.5*'Direct $ Inputs'!D99</f>
        <v>62.612843220478361</v>
      </c>
      <c r="R91" s="6"/>
      <c r="S91" s="6"/>
      <c r="T91" s="6"/>
      <c r="U91" s="6"/>
      <c r="V91" s="6">
        <f>'Direct $ Inputs'!E99+0.5*'Direct $ Inputs'!F99</f>
        <v>337.29915238334848</v>
      </c>
      <c r="W91" s="6">
        <f>0.5*'Direct $ Inputs'!F99</f>
        <v>247.02832865420044</v>
      </c>
      <c r="X91" s="6"/>
      <c r="Y91" s="6"/>
      <c r="Z91" s="6"/>
      <c r="AA91" s="6"/>
      <c r="AB91" s="6">
        <f>0.5*'Direct $ Inputs'!$G99</f>
        <v>43.341659127812818</v>
      </c>
      <c r="AC91" s="6">
        <f>0.5*'Direct $ Inputs'!$G99</f>
        <v>43.341659127812818</v>
      </c>
      <c r="AD91" s="6"/>
      <c r="AE91" s="6"/>
      <c r="AF91" s="6"/>
      <c r="AG91" s="6">
        <f t="shared" si="60"/>
        <v>0</v>
      </c>
      <c r="AH91" s="6">
        <f t="shared" si="55"/>
        <v>827.39844037841726</v>
      </c>
      <c r="AI91" s="6">
        <f t="shared" si="56"/>
        <v>352.98283100249159</v>
      </c>
      <c r="AJ91" s="6">
        <f t="shared" si="57"/>
        <v>0</v>
      </c>
      <c r="AK91" s="6">
        <f t="shared" si="58"/>
        <v>0</v>
      </c>
      <c r="AM91" s="14">
        <f t="shared" si="59"/>
        <v>1180.3812713809089</v>
      </c>
      <c r="AN91" s="6">
        <f>AM91-'Direct $ Inputs'!H99</f>
        <v>0</v>
      </c>
    </row>
    <row r="92" spans="2:40" x14ac:dyDescent="0.3">
      <c r="E92" s="8"/>
      <c r="F92" s="8"/>
      <c r="G92" s="8"/>
      <c r="H92" s="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2:40" x14ac:dyDescent="0.3">
      <c r="B93" s="26" t="s">
        <v>191</v>
      </c>
      <c r="E93" s="8"/>
      <c r="F93" s="8"/>
      <c r="G93" s="8"/>
      <c r="H93" s="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2:40" x14ac:dyDescent="0.3">
      <c r="B94" s="182" t="s">
        <v>190</v>
      </c>
      <c r="E94" s="8"/>
      <c r="F94" s="8" t="s">
        <v>65</v>
      </c>
      <c r="G94" s="8" t="s">
        <v>42</v>
      </c>
      <c r="H94" s="20" t="str">
        <f t="shared" ref="H94:H95" si="61">G94&amp;F94</f>
        <v>SCADA/Network controlReplacement</v>
      </c>
      <c r="I94" s="6">
        <v>0</v>
      </c>
      <c r="J94" s="6">
        <v>1199.3767499999999</v>
      </c>
      <c r="K94" s="6">
        <v>3598.1302500000002</v>
      </c>
      <c r="L94" s="6">
        <v>0</v>
      </c>
      <c r="M94" s="6">
        <v>0</v>
      </c>
      <c r="N94" s="6"/>
      <c r="O94" s="6">
        <v>0</v>
      </c>
      <c r="P94" s="6">
        <v>298.79149999999998</v>
      </c>
      <c r="Q94" s="6">
        <v>554.89850000000001</v>
      </c>
      <c r="R94" s="6">
        <v>0</v>
      </c>
      <c r="S94" s="6">
        <v>0</v>
      </c>
      <c r="T94" s="6"/>
      <c r="U94" s="6">
        <v>0</v>
      </c>
      <c r="V94" s="6">
        <v>638.98400000000004</v>
      </c>
      <c r="W94" s="6">
        <v>1016.9519999999999</v>
      </c>
      <c r="X94" s="6">
        <v>0</v>
      </c>
      <c r="Y94" s="6">
        <v>0</v>
      </c>
      <c r="Z94" s="6"/>
      <c r="AA94" s="6">
        <v>0</v>
      </c>
      <c r="AB94" s="6">
        <v>152.40919375000001</v>
      </c>
      <c r="AC94" s="6">
        <v>457.22758125000007</v>
      </c>
      <c r="AD94" s="6">
        <v>0</v>
      </c>
      <c r="AE94" s="6">
        <v>0</v>
      </c>
      <c r="AF94" s="6"/>
      <c r="AG94" s="6">
        <f t="shared" ref="AG94" si="62">I94+O94+U94+AA94</f>
        <v>0</v>
      </c>
      <c r="AH94" s="6">
        <f t="shared" ref="AH94" si="63">J94+P94+V94+AB94</f>
        <v>2289.5614437500003</v>
      </c>
      <c r="AI94" s="6">
        <f t="shared" ref="AI94" si="64">K94+Q94+W94+AC94</f>
        <v>5627.2083312500008</v>
      </c>
      <c r="AJ94" s="6">
        <f t="shared" ref="AJ94" si="65">L94+R94+X94+AD94</f>
        <v>0</v>
      </c>
      <c r="AK94" s="6">
        <f t="shared" ref="AK94" si="66">M94+S94+Y94+AE94</f>
        <v>0</v>
      </c>
      <c r="AM94" s="14">
        <f t="shared" ref="AM94:AM95" si="67">SUM(AG94:AK94)</f>
        <v>7916.7697750000007</v>
      </c>
      <c r="AN94" s="19">
        <f>AM94-'Direct $ Inputs'!H105</f>
        <v>0</v>
      </c>
    </row>
    <row r="95" spans="2:40" x14ac:dyDescent="0.3">
      <c r="B95" s="182" t="s">
        <v>153</v>
      </c>
      <c r="E95" s="8"/>
      <c r="F95" s="20" t="s">
        <v>103</v>
      </c>
      <c r="G95" s="20" t="s">
        <v>93</v>
      </c>
      <c r="H95" s="20" t="str">
        <f t="shared" si="61"/>
        <v>OtherNon-Network</v>
      </c>
      <c r="I95" s="39">
        <v>0</v>
      </c>
      <c r="J95" s="39">
        <v>225.01</v>
      </c>
      <c r="K95" s="39">
        <v>370.02</v>
      </c>
      <c r="L95" s="39">
        <v>0</v>
      </c>
      <c r="M95" s="39">
        <v>0</v>
      </c>
      <c r="N95" s="39"/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/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/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6"/>
      <c r="AG95" s="6">
        <f t="shared" ref="AG95" si="68">I95+O95+U95+AA95</f>
        <v>0</v>
      </c>
      <c r="AH95" s="6">
        <f t="shared" ref="AH95" si="69">J95+P95+V95+AB95</f>
        <v>225.01</v>
      </c>
      <c r="AI95" s="6">
        <f t="shared" ref="AI95" si="70">K95+Q95+W95+AC95</f>
        <v>370.02</v>
      </c>
      <c r="AJ95" s="6">
        <f t="shared" ref="AJ95" si="71">L95+R95+X95+AD95</f>
        <v>0</v>
      </c>
      <c r="AK95" s="6">
        <f t="shared" ref="AK95" si="72">M95+S95+Y95+AE95</f>
        <v>0</v>
      </c>
      <c r="AM95" s="14">
        <f t="shared" si="67"/>
        <v>595.03</v>
      </c>
      <c r="AN95" s="19">
        <f>AM95-'Direct $ Inputs'!H106</f>
        <v>0</v>
      </c>
    </row>
    <row r="96" spans="2:40" x14ac:dyDescent="0.3">
      <c r="B96" s="182" t="s">
        <v>197</v>
      </c>
      <c r="E96" s="8"/>
      <c r="F96" s="20"/>
      <c r="G96" s="20"/>
      <c r="H96" s="20"/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/>
      <c r="O96" s="39">
        <v>0</v>
      </c>
      <c r="P96" s="39">
        <v>316.60000000000002</v>
      </c>
      <c r="Q96" s="39">
        <v>0</v>
      </c>
      <c r="R96" s="39">
        <v>0</v>
      </c>
      <c r="S96" s="39">
        <v>0</v>
      </c>
      <c r="T96" s="39"/>
      <c r="U96" s="39">
        <v>0</v>
      </c>
      <c r="V96" s="39">
        <v>160</v>
      </c>
      <c r="W96" s="39">
        <v>0</v>
      </c>
      <c r="X96" s="39">
        <v>0</v>
      </c>
      <c r="Y96" s="39">
        <v>0</v>
      </c>
      <c r="Z96" s="39"/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6"/>
      <c r="AG96" s="6">
        <f>I96+O96+U96+AA96</f>
        <v>0</v>
      </c>
      <c r="AH96" s="6">
        <f>J96+P96+V96+AB96</f>
        <v>476.6</v>
      </c>
      <c r="AI96" s="6">
        <f>K96+Q96+W96+AC96</f>
        <v>0</v>
      </c>
      <c r="AJ96" s="6">
        <f>L96+R96+X96+AD96</f>
        <v>0</v>
      </c>
      <c r="AK96" s="6">
        <f>M96+S96+Y96+AE96</f>
        <v>0</v>
      </c>
      <c r="AM96" s="14">
        <f>SUM(AG96:AK96)</f>
        <v>476.6</v>
      </c>
      <c r="AN96" s="19">
        <f>AM96-'Direct $ Inputs'!H107</f>
        <v>0</v>
      </c>
    </row>
    <row r="97" spans="2:41" x14ac:dyDescent="0.3">
      <c r="E97" s="8"/>
      <c r="F97" s="8"/>
      <c r="G97" s="8"/>
      <c r="H97" s="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41" x14ac:dyDescent="0.3">
      <c r="B98" s="26" t="s">
        <v>5</v>
      </c>
      <c r="E98" s="8"/>
      <c r="F98" s="8"/>
      <c r="G98" s="8"/>
      <c r="H98" s="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41" x14ac:dyDescent="0.3">
      <c r="B99" s="182" t="s">
        <v>9</v>
      </c>
      <c r="E99" s="8"/>
      <c r="F99" s="8"/>
      <c r="G99" s="8"/>
      <c r="H99" s="8"/>
      <c r="I99" s="6">
        <f t="shared" ref="I99:M107" si="73">SUMIF($B$7:$B$91,$B99,I$7:I$91)</f>
        <v>25.804477611940296</v>
      </c>
      <c r="J99" s="6">
        <f t="shared" si="73"/>
        <v>3503.1272796228764</v>
      </c>
      <c r="K99" s="6">
        <f t="shared" si="73"/>
        <v>800.62501589082888</v>
      </c>
      <c r="L99" s="6">
        <f t="shared" si="73"/>
        <v>0</v>
      </c>
      <c r="M99" s="6">
        <f t="shared" si="73"/>
        <v>0</v>
      </c>
      <c r="N99" s="6"/>
      <c r="O99" s="6">
        <f t="shared" ref="O99:S107" si="74">SUMIF($B$7:$B$91,$B99,O$7:O$91)</f>
        <v>45.439338712686578</v>
      </c>
      <c r="P99" s="6">
        <f t="shared" si="74"/>
        <v>976.77561849221865</v>
      </c>
      <c r="Q99" s="6">
        <f t="shared" si="74"/>
        <v>161.49999841907774</v>
      </c>
      <c r="R99" s="6">
        <f t="shared" si="74"/>
        <v>0</v>
      </c>
      <c r="S99" s="6">
        <f t="shared" si="74"/>
        <v>0</v>
      </c>
      <c r="T99" s="6"/>
      <c r="U99" s="6">
        <f t="shared" ref="U99:Y107" si="75">SUMIF($B$7:$B$91,$B99,U$7:U$91)</f>
        <v>46.549253731343271</v>
      </c>
      <c r="V99" s="6">
        <f t="shared" si="75"/>
        <v>2109.1792803708527</v>
      </c>
      <c r="W99" s="6">
        <f t="shared" si="75"/>
        <v>28.840298507462677</v>
      </c>
      <c r="X99" s="6">
        <f t="shared" si="75"/>
        <v>0</v>
      </c>
      <c r="Y99" s="6">
        <f t="shared" si="75"/>
        <v>0</v>
      </c>
      <c r="Z99" s="6"/>
      <c r="AA99" s="6">
        <f t="shared" ref="AA99:AE107" si="76">SUMIF($B$7:$B$91,$B99,AA$7:AA$91)</f>
        <v>7.5895522388059682</v>
      </c>
      <c r="AB99" s="6">
        <f t="shared" si="76"/>
        <v>496.43704077620856</v>
      </c>
      <c r="AC99" s="6">
        <f t="shared" si="76"/>
        <v>7.5895522388059682</v>
      </c>
      <c r="AD99" s="6">
        <f t="shared" si="76"/>
        <v>0</v>
      </c>
      <c r="AE99" s="6">
        <f t="shared" si="76"/>
        <v>0</v>
      </c>
      <c r="AF99" s="6"/>
      <c r="AG99" s="6">
        <f>I99+O99+U99+AA99</f>
        <v>125.38262229477611</v>
      </c>
      <c r="AH99" s="6">
        <f t="shared" ref="AH99:AH107" si="77">J99+P99+V99+AB99</f>
        <v>7085.5192192621562</v>
      </c>
      <c r="AI99" s="6">
        <f t="shared" ref="AI99:AI107" si="78">K99+Q99+W99+AC99</f>
        <v>998.55486505617523</v>
      </c>
      <c r="AJ99" s="6">
        <f t="shared" ref="AJ99:AJ107" si="79">L99+R99+X99+AD99</f>
        <v>0</v>
      </c>
      <c r="AK99" s="6">
        <f t="shared" ref="AK99:AK107" si="80">M99+S99+Y99+AE99</f>
        <v>0</v>
      </c>
      <c r="AM99" s="14">
        <f t="shared" ref="AM99:AM108" si="81">SUM(AG99:AK99)</f>
        <v>8209.4567066131076</v>
      </c>
      <c r="AN99" s="19">
        <f>AM99-'Direct $ Inputs'!H112</f>
        <v>0</v>
      </c>
    </row>
    <row r="100" spans="2:41" x14ac:dyDescent="0.3">
      <c r="B100" s="182" t="s">
        <v>10</v>
      </c>
      <c r="E100" s="8"/>
      <c r="F100" s="8"/>
      <c r="G100" s="8"/>
      <c r="H100" s="8"/>
      <c r="I100" s="6">
        <f t="shared" si="73"/>
        <v>297.20870630974377</v>
      </c>
      <c r="J100" s="6">
        <f t="shared" si="73"/>
        <v>4261.7371750685443</v>
      </c>
      <c r="K100" s="6">
        <f t="shared" si="73"/>
        <v>844.43648734122996</v>
      </c>
      <c r="L100" s="6">
        <f t="shared" si="73"/>
        <v>0</v>
      </c>
      <c r="M100" s="6">
        <f t="shared" si="73"/>
        <v>0</v>
      </c>
      <c r="N100" s="6"/>
      <c r="O100" s="6">
        <f t="shared" si="74"/>
        <v>85.371573694029834</v>
      </c>
      <c r="P100" s="6">
        <f t="shared" si="74"/>
        <v>1223.597614781909</v>
      </c>
      <c r="Q100" s="6">
        <f t="shared" si="74"/>
        <v>154.9402675445285</v>
      </c>
      <c r="R100" s="6">
        <f t="shared" si="74"/>
        <v>0</v>
      </c>
      <c r="S100" s="6">
        <f t="shared" si="74"/>
        <v>0</v>
      </c>
      <c r="T100" s="6"/>
      <c r="U100" s="6">
        <f t="shared" si="75"/>
        <v>296.48692226368161</v>
      </c>
      <c r="V100" s="6">
        <f t="shared" si="75"/>
        <v>3199.5301547895715</v>
      </c>
      <c r="W100" s="6">
        <f t="shared" si="75"/>
        <v>43.260447761194015</v>
      </c>
      <c r="X100" s="6">
        <f t="shared" si="75"/>
        <v>0</v>
      </c>
      <c r="Y100" s="6">
        <f t="shared" si="75"/>
        <v>0</v>
      </c>
      <c r="Z100" s="6"/>
      <c r="AA100" s="6">
        <f t="shared" si="76"/>
        <v>11.384328358208952</v>
      </c>
      <c r="AB100" s="6">
        <f t="shared" si="76"/>
        <v>796.71298574841751</v>
      </c>
      <c r="AC100" s="6">
        <f t="shared" si="76"/>
        <v>11.384328358208952</v>
      </c>
      <c r="AD100" s="6">
        <f t="shared" si="76"/>
        <v>0</v>
      </c>
      <c r="AE100" s="6">
        <f t="shared" si="76"/>
        <v>0</v>
      </c>
      <c r="AF100" s="6"/>
      <c r="AG100" s="6">
        <f t="shared" ref="AG100:AG107" si="82">I100+O100+U100+AA100</f>
        <v>690.45153062566419</v>
      </c>
      <c r="AH100" s="6">
        <f t="shared" si="77"/>
        <v>9481.5779303884428</v>
      </c>
      <c r="AI100" s="6">
        <f t="shared" si="78"/>
        <v>1054.0215310051615</v>
      </c>
      <c r="AJ100" s="6">
        <f t="shared" si="79"/>
        <v>0</v>
      </c>
      <c r="AK100" s="6">
        <f t="shared" si="80"/>
        <v>0</v>
      </c>
      <c r="AM100" s="14">
        <f t="shared" si="81"/>
        <v>11226.050992019267</v>
      </c>
      <c r="AN100" s="19">
        <f>AM100-'Direct $ Inputs'!H113</f>
        <v>0</v>
      </c>
    </row>
    <row r="101" spans="2:41" x14ac:dyDescent="0.3">
      <c r="B101" s="182" t="s">
        <v>11</v>
      </c>
      <c r="E101" s="8"/>
      <c r="F101" s="8"/>
      <c r="G101" s="8"/>
      <c r="H101" s="8"/>
      <c r="I101" s="6">
        <f t="shared" si="73"/>
        <v>220.178933422125</v>
      </c>
      <c r="J101" s="6">
        <f t="shared" si="73"/>
        <v>2898.2231420669577</v>
      </c>
      <c r="K101" s="6">
        <f t="shared" si="73"/>
        <v>226.34986444127827</v>
      </c>
      <c r="L101" s="6">
        <f t="shared" si="73"/>
        <v>0</v>
      </c>
      <c r="M101" s="6">
        <f t="shared" si="73"/>
        <v>0</v>
      </c>
      <c r="N101" s="6"/>
      <c r="O101" s="6">
        <f t="shared" si="74"/>
        <v>61.671912500000005</v>
      </c>
      <c r="P101" s="6">
        <f t="shared" si="74"/>
        <v>823.42101563747008</v>
      </c>
      <c r="Q101" s="6">
        <f t="shared" si="74"/>
        <v>39.378112354976587</v>
      </c>
      <c r="R101" s="6">
        <f t="shared" si="74"/>
        <v>0</v>
      </c>
      <c r="S101" s="6">
        <f t="shared" si="74"/>
        <v>0</v>
      </c>
      <c r="T101" s="6"/>
      <c r="U101" s="6">
        <f t="shared" si="75"/>
        <v>180</v>
      </c>
      <c r="V101" s="6">
        <f t="shared" si="75"/>
        <v>2454.7803287106208</v>
      </c>
      <c r="W101" s="6">
        <f t="shared" si="75"/>
        <v>0</v>
      </c>
      <c r="X101" s="6">
        <f t="shared" si="75"/>
        <v>0</v>
      </c>
      <c r="Y101" s="6">
        <f t="shared" si="75"/>
        <v>0</v>
      </c>
      <c r="Z101" s="6"/>
      <c r="AA101" s="6">
        <f t="shared" si="76"/>
        <v>0</v>
      </c>
      <c r="AB101" s="6">
        <f t="shared" si="76"/>
        <v>565.85417259857627</v>
      </c>
      <c r="AC101" s="6">
        <f t="shared" si="76"/>
        <v>0</v>
      </c>
      <c r="AD101" s="6">
        <f t="shared" si="76"/>
        <v>0</v>
      </c>
      <c r="AE101" s="6">
        <f t="shared" si="76"/>
        <v>0</v>
      </c>
      <c r="AF101" s="6"/>
      <c r="AG101" s="6">
        <f t="shared" si="82"/>
        <v>461.85084592212502</v>
      </c>
      <c r="AH101" s="6">
        <f t="shared" si="77"/>
        <v>6742.2786590136247</v>
      </c>
      <c r="AI101" s="6">
        <f t="shared" si="78"/>
        <v>265.72797679625484</v>
      </c>
      <c r="AJ101" s="6">
        <f t="shared" si="79"/>
        <v>0</v>
      </c>
      <c r="AK101" s="6">
        <f t="shared" si="80"/>
        <v>0</v>
      </c>
      <c r="AM101" s="14">
        <f t="shared" si="81"/>
        <v>7469.8574817320041</v>
      </c>
      <c r="AN101" s="19">
        <f>AM101-'Direct $ Inputs'!H114</f>
        <v>0</v>
      </c>
    </row>
    <row r="102" spans="2:41" x14ac:dyDescent="0.3">
      <c r="B102" s="182" t="s">
        <v>12</v>
      </c>
      <c r="E102" s="8"/>
      <c r="F102" s="8"/>
      <c r="G102" s="8"/>
      <c r="H102" s="8"/>
      <c r="I102" s="6">
        <f t="shared" si="73"/>
        <v>140.82417628826042</v>
      </c>
      <c r="J102" s="6">
        <f t="shared" si="73"/>
        <v>3204.7234398276755</v>
      </c>
      <c r="K102" s="6">
        <f t="shared" si="73"/>
        <v>1617.6536490642027</v>
      </c>
      <c r="L102" s="6">
        <f t="shared" si="73"/>
        <v>0</v>
      </c>
      <c r="M102" s="6">
        <f t="shared" si="73"/>
        <v>0</v>
      </c>
      <c r="N102" s="6"/>
      <c r="O102" s="6">
        <f t="shared" si="74"/>
        <v>84.784392444029862</v>
      </c>
      <c r="P102" s="6">
        <f t="shared" si="74"/>
        <v>435.38846767663716</v>
      </c>
      <c r="Q102" s="6">
        <f t="shared" si="74"/>
        <v>340.13304247092583</v>
      </c>
      <c r="R102" s="6">
        <f t="shared" si="74"/>
        <v>0</v>
      </c>
      <c r="S102" s="6">
        <f t="shared" si="74"/>
        <v>0</v>
      </c>
      <c r="T102" s="6"/>
      <c r="U102" s="6">
        <f t="shared" si="75"/>
        <v>69.823880597014906</v>
      </c>
      <c r="V102" s="6">
        <f t="shared" si="75"/>
        <v>1481.1231632731251</v>
      </c>
      <c r="W102" s="6">
        <f t="shared" si="75"/>
        <v>681.06923774999382</v>
      </c>
      <c r="X102" s="6">
        <f t="shared" si="75"/>
        <v>0</v>
      </c>
      <c r="Y102" s="6">
        <f t="shared" si="75"/>
        <v>0</v>
      </c>
      <c r="Z102" s="6"/>
      <c r="AA102" s="6">
        <f t="shared" si="76"/>
        <v>11.384328358208952</v>
      </c>
      <c r="AB102" s="6">
        <f t="shared" si="76"/>
        <v>314.88214468275925</v>
      </c>
      <c r="AC102" s="6">
        <f t="shared" si="76"/>
        <v>288.58854618601617</v>
      </c>
      <c r="AD102" s="6">
        <f t="shared" si="76"/>
        <v>0</v>
      </c>
      <c r="AE102" s="6">
        <f t="shared" si="76"/>
        <v>0</v>
      </c>
      <c r="AF102" s="6"/>
      <c r="AG102" s="6">
        <f t="shared" si="82"/>
        <v>306.81677768751416</v>
      </c>
      <c r="AH102" s="6">
        <f t="shared" si="77"/>
        <v>5436.1172154601973</v>
      </c>
      <c r="AI102" s="6">
        <f t="shared" si="78"/>
        <v>2927.4444754711385</v>
      </c>
      <c r="AJ102" s="6">
        <f t="shared" si="79"/>
        <v>0</v>
      </c>
      <c r="AK102" s="6">
        <f t="shared" si="80"/>
        <v>0</v>
      </c>
      <c r="AM102" s="14">
        <f t="shared" si="81"/>
        <v>8670.3784686188501</v>
      </c>
      <c r="AN102" s="19">
        <f>AM102-'Direct $ Inputs'!H115</f>
        <v>0</v>
      </c>
    </row>
    <row r="103" spans="2:41" x14ac:dyDescent="0.3">
      <c r="B103" s="182" t="s">
        <v>13</v>
      </c>
      <c r="E103" s="8"/>
      <c r="F103" s="8"/>
      <c r="G103" s="8"/>
      <c r="H103" s="8"/>
      <c r="I103" s="6">
        <f t="shared" si="73"/>
        <v>867.60185551588052</v>
      </c>
      <c r="J103" s="6">
        <f t="shared" si="73"/>
        <v>4768.156663048524</v>
      </c>
      <c r="K103" s="6">
        <f t="shared" si="73"/>
        <v>5132.4463194300051</v>
      </c>
      <c r="L103" s="6">
        <f t="shared" si="73"/>
        <v>0</v>
      </c>
      <c r="M103" s="6">
        <f t="shared" si="73"/>
        <v>0</v>
      </c>
      <c r="N103" s="6"/>
      <c r="O103" s="6">
        <f t="shared" si="74"/>
        <v>126.58386492537313</v>
      </c>
      <c r="P103" s="6">
        <f t="shared" si="74"/>
        <v>738.85027143740024</v>
      </c>
      <c r="Q103" s="6">
        <f t="shared" si="74"/>
        <v>1107.4925771352491</v>
      </c>
      <c r="R103" s="6">
        <f t="shared" si="74"/>
        <v>25.082662499999998</v>
      </c>
      <c r="S103" s="6">
        <f t="shared" si="74"/>
        <v>0</v>
      </c>
      <c r="T103" s="6"/>
      <c r="U103" s="6">
        <f t="shared" si="75"/>
        <v>548.08763246268643</v>
      </c>
      <c r="V103" s="6">
        <f t="shared" si="75"/>
        <v>1748.3278008348643</v>
      </c>
      <c r="W103" s="6">
        <f t="shared" si="75"/>
        <v>1788.2602127707262</v>
      </c>
      <c r="X103" s="6">
        <f t="shared" si="75"/>
        <v>0</v>
      </c>
      <c r="Y103" s="6">
        <f t="shared" si="75"/>
        <v>0</v>
      </c>
      <c r="Z103" s="6"/>
      <c r="AA103" s="6">
        <f t="shared" si="76"/>
        <v>15.179104477611936</v>
      </c>
      <c r="AB103" s="6">
        <f t="shared" si="76"/>
        <v>487.58514453522059</v>
      </c>
      <c r="AC103" s="6">
        <f t="shared" si="76"/>
        <v>811.59993933128874</v>
      </c>
      <c r="AD103" s="6">
        <f t="shared" si="76"/>
        <v>0</v>
      </c>
      <c r="AE103" s="6">
        <f t="shared" si="76"/>
        <v>0</v>
      </c>
      <c r="AF103" s="6"/>
      <c r="AG103" s="6">
        <f t="shared" si="82"/>
        <v>1557.452457381552</v>
      </c>
      <c r="AH103" s="6">
        <f t="shared" si="77"/>
        <v>7742.9198798560092</v>
      </c>
      <c r="AI103" s="6">
        <f t="shared" si="78"/>
        <v>8839.7990486672697</v>
      </c>
      <c r="AJ103" s="6">
        <f t="shared" si="79"/>
        <v>25.082662499999998</v>
      </c>
      <c r="AK103" s="6">
        <f t="shared" si="80"/>
        <v>0</v>
      </c>
      <c r="AM103" s="14">
        <f t="shared" si="81"/>
        <v>18165.254048404833</v>
      </c>
      <c r="AN103" s="19">
        <f>AM103-'Direct $ Inputs'!H116</f>
        <v>0</v>
      </c>
    </row>
    <row r="104" spans="2:41" x14ac:dyDescent="0.3">
      <c r="B104" s="182" t="s">
        <v>14</v>
      </c>
      <c r="E104" s="8"/>
      <c r="F104" s="8"/>
      <c r="G104" s="8"/>
      <c r="H104" s="8"/>
      <c r="I104" s="6">
        <f t="shared" si="73"/>
        <v>122.5712686567164</v>
      </c>
      <c r="J104" s="6">
        <f t="shared" si="73"/>
        <v>4094.2802200858637</v>
      </c>
      <c r="K104" s="6">
        <f t="shared" si="73"/>
        <v>5441.4342132336733</v>
      </c>
      <c r="L104" s="6">
        <f t="shared" si="73"/>
        <v>0</v>
      </c>
      <c r="M104" s="6">
        <f t="shared" si="73"/>
        <v>0</v>
      </c>
      <c r="N104" s="6"/>
      <c r="O104" s="6">
        <f t="shared" si="74"/>
        <v>83.003097947761177</v>
      </c>
      <c r="P104" s="6">
        <f t="shared" si="74"/>
        <v>790.58807164183088</v>
      </c>
      <c r="Q104" s="6">
        <f t="shared" si="74"/>
        <v>1320.4078013687545</v>
      </c>
      <c r="R104" s="6">
        <f t="shared" si="74"/>
        <v>0</v>
      </c>
      <c r="S104" s="6">
        <f t="shared" si="74"/>
        <v>0</v>
      </c>
      <c r="T104" s="6"/>
      <c r="U104" s="6">
        <f t="shared" si="75"/>
        <v>221.10895522388054</v>
      </c>
      <c r="V104" s="6">
        <f t="shared" si="75"/>
        <v>2120.120480166745</v>
      </c>
      <c r="W104" s="6">
        <f t="shared" si="75"/>
        <v>2410.8533118307996</v>
      </c>
      <c r="X104" s="6">
        <f t="shared" si="75"/>
        <v>0</v>
      </c>
      <c r="Y104" s="6">
        <f t="shared" si="75"/>
        <v>0</v>
      </c>
      <c r="Z104" s="6"/>
      <c r="AA104" s="6">
        <f t="shared" si="76"/>
        <v>36.050373134328353</v>
      </c>
      <c r="AB104" s="6">
        <f t="shared" si="76"/>
        <v>424.09320749388547</v>
      </c>
      <c r="AC104" s="6">
        <f t="shared" si="76"/>
        <v>868.89716459854776</v>
      </c>
      <c r="AD104" s="6">
        <f t="shared" si="76"/>
        <v>0</v>
      </c>
      <c r="AE104" s="6">
        <f t="shared" si="76"/>
        <v>0</v>
      </c>
      <c r="AF104" s="6"/>
      <c r="AG104" s="6">
        <f t="shared" si="82"/>
        <v>462.73369496268646</v>
      </c>
      <c r="AH104" s="6">
        <f t="shared" si="77"/>
        <v>7429.0819793883247</v>
      </c>
      <c r="AI104" s="6">
        <f t="shared" si="78"/>
        <v>10041.592491031774</v>
      </c>
      <c r="AJ104" s="6">
        <f t="shared" si="79"/>
        <v>0</v>
      </c>
      <c r="AK104" s="6">
        <f t="shared" si="80"/>
        <v>0</v>
      </c>
      <c r="AM104" s="14">
        <f t="shared" si="81"/>
        <v>17933.408165382785</v>
      </c>
      <c r="AN104" s="19">
        <f>AM104-'Direct $ Inputs'!H117</f>
        <v>0</v>
      </c>
    </row>
    <row r="105" spans="2:41" x14ac:dyDescent="0.3">
      <c r="B105" s="182" t="s">
        <v>15</v>
      </c>
      <c r="E105" s="8"/>
      <c r="F105" s="8"/>
      <c r="G105" s="8"/>
      <c r="H105" s="8"/>
      <c r="I105" s="6">
        <f t="shared" si="73"/>
        <v>1371.2145105561397</v>
      </c>
      <c r="J105" s="6">
        <f t="shared" si="73"/>
        <v>2457.1704965578429</v>
      </c>
      <c r="K105" s="6">
        <f t="shared" si="73"/>
        <v>1910.00138163881</v>
      </c>
      <c r="L105" s="6">
        <f t="shared" si="73"/>
        <v>0</v>
      </c>
      <c r="M105" s="6">
        <f t="shared" si="73"/>
        <v>0</v>
      </c>
      <c r="N105" s="6"/>
      <c r="O105" s="6">
        <f t="shared" si="74"/>
        <v>281.85780550373136</v>
      </c>
      <c r="P105" s="6">
        <f t="shared" si="74"/>
        <v>810.95900655263517</v>
      </c>
      <c r="Q105" s="6">
        <f t="shared" si="74"/>
        <v>594.06814591423006</v>
      </c>
      <c r="R105" s="6">
        <f t="shared" si="74"/>
        <v>0</v>
      </c>
      <c r="S105" s="6">
        <f t="shared" si="74"/>
        <v>0</v>
      </c>
      <c r="T105" s="6"/>
      <c r="U105" s="6">
        <f t="shared" si="75"/>
        <v>975.87686630619919</v>
      </c>
      <c r="V105" s="6">
        <f t="shared" si="75"/>
        <v>1091.4708281585545</v>
      </c>
      <c r="W105" s="6">
        <f t="shared" si="75"/>
        <v>455.73625416665516</v>
      </c>
      <c r="X105" s="6">
        <f t="shared" si="75"/>
        <v>0</v>
      </c>
      <c r="Y105" s="6">
        <f t="shared" si="75"/>
        <v>0</v>
      </c>
      <c r="Z105" s="6"/>
      <c r="AA105" s="6">
        <f t="shared" si="76"/>
        <v>174.88624245162993</v>
      </c>
      <c r="AB105" s="6">
        <f t="shared" si="76"/>
        <v>296.31007772525356</v>
      </c>
      <c r="AC105" s="6">
        <f t="shared" si="76"/>
        <v>406.2559968961271</v>
      </c>
      <c r="AD105" s="6">
        <f t="shared" si="76"/>
        <v>0</v>
      </c>
      <c r="AE105" s="6">
        <f t="shared" si="76"/>
        <v>0</v>
      </c>
      <c r="AF105" s="6"/>
      <c r="AG105" s="6">
        <f t="shared" si="82"/>
        <v>2803.8354248177002</v>
      </c>
      <c r="AH105" s="6">
        <f t="shared" si="77"/>
        <v>4655.9104089942866</v>
      </c>
      <c r="AI105" s="6">
        <f t="shared" si="78"/>
        <v>3366.0617786158227</v>
      </c>
      <c r="AJ105" s="6">
        <f t="shared" si="79"/>
        <v>0</v>
      </c>
      <c r="AK105" s="6">
        <f t="shared" si="80"/>
        <v>0</v>
      </c>
      <c r="AM105" s="14">
        <f t="shared" si="81"/>
        <v>10825.807612427809</v>
      </c>
      <c r="AN105" s="19">
        <f>AM105-'Direct $ Inputs'!H118</f>
        <v>-60.064537499998551</v>
      </c>
    </row>
    <row r="106" spans="2:41" x14ac:dyDescent="0.3">
      <c r="B106" s="182" t="s">
        <v>16</v>
      </c>
      <c r="E106" s="8"/>
      <c r="F106" s="8"/>
      <c r="G106" s="8"/>
      <c r="H106" s="8"/>
      <c r="I106" s="6">
        <f t="shared" si="73"/>
        <v>38.706716417910435</v>
      </c>
      <c r="J106" s="6">
        <f t="shared" si="73"/>
        <v>1715.9008607480725</v>
      </c>
      <c r="K106" s="6">
        <f t="shared" si="73"/>
        <v>1587.8829177684725</v>
      </c>
      <c r="L106" s="6">
        <f t="shared" si="73"/>
        <v>0</v>
      </c>
      <c r="M106" s="6">
        <f t="shared" si="73"/>
        <v>0</v>
      </c>
      <c r="N106" s="6"/>
      <c r="O106" s="6">
        <f t="shared" si="74"/>
        <v>40.473761194029848</v>
      </c>
      <c r="P106" s="6">
        <f t="shared" si="74"/>
        <v>251.05477796980222</v>
      </c>
      <c r="Q106" s="6">
        <f t="shared" si="74"/>
        <v>473.06830576067352</v>
      </c>
      <c r="R106" s="6">
        <f t="shared" si="74"/>
        <v>86.648099999999999</v>
      </c>
      <c r="S106" s="6">
        <f t="shared" si="74"/>
        <v>0</v>
      </c>
      <c r="T106" s="6"/>
      <c r="U106" s="6">
        <f t="shared" si="75"/>
        <v>69.823880597014906</v>
      </c>
      <c r="V106" s="6">
        <f t="shared" si="75"/>
        <v>594.4794341698921</v>
      </c>
      <c r="W106" s="6">
        <f t="shared" si="75"/>
        <v>691.82364205222757</v>
      </c>
      <c r="X106" s="6">
        <f t="shared" si="75"/>
        <v>0</v>
      </c>
      <c r="Y106" s="6">
        <f t="shared" si="75"/>
        <v>0</v>
      </c>
      <c r="Z106" s="6"/>
      <c r="AA106" s="6">
        <f t="shared" si="76"/>
        <v>11.384328358208952</v>
      </c>
      <c r="AB106" s="6">
        <f t="shared" si="76"/>
        <v>122.31779593059242</v>
      </c>
      <c r="AC106" s="6">
        <f t="shared" si="76"/>
        <v>294.90328291408827</v>
      </c>
      <c r="AD106" s="6">
        <f t="shared" si="76"/>
        <v>0</v>
      </c>
      <c r="AE106" s="6">
        <f t="shared" si="76"/>
        <v>0</v>
      </c>
      <c r="AF106" s="6"/>
      <c r="AG106" s="6">
        <f t="shared" si="82"/>
        <v>160.38868656716414</v>
      </c>
      <c r="AH106" s="6">
        <f t="shared" si="77"/>
        <v>2683.7528688183597</v>
      </c>
      <c r="AI106" s="6">
        <f t="shared" si="78"/>
        <v>3047.6781484954618</v>
      </c>
      <c r="AJ106" s="6">
        <f t="shared" si="79"/>
        <v>86.648099999999999</v>
      </c>
      <c r="AK106" s="6">
        <f t="shared" si="80"/>
        <v>0</v>
      </c>
      <c r="AM106" s="14">
        <f t="shared" si="81"/>
        <v>5978.4678038809861</v>
      </c>
      <c r="AN106" s="19">
        <f>AM106-'Direct $ Inputs'!H119</f>
        <v>0</v>
      </c>
    </row>
    <row r="107" spans="2:41" x14ac:dyDescent="0.3">
      <c r="B107" s="182" t="s">
        <v>17</v>
      </c>
      <c r="E107" s="8"/>
      <c r="F107" s="8"/>
      <c r="G107" s="8"/>
      <c r="H107" s="8"/>
      <c r="I107" s="6">
        <f t="shared" si="73"/>
        <v>198.24377333333334</v>
      </c>
      <c r="J107" s="6">
        <f t="shared" si="73"/>
        <v>1780.3766925627692</v>
      </c>
      <c r="K107" s="6">
        <f t="shared" si="73"/>
        <v>902.53072333374894</v>
      </c>
      <c r="L107" s="6">
        <f t="shared" si="73"/>
        <v>0</v>
      </c>
      <c r="M107" s="6">
        <f t="shared" si="73"/>
        <v>0</v>
      </c>
      <c r="N107" s="6"/>
      <c r="O107" s="6">
        <f t="shared" si="74"/>
        <v>88.491106250000016</v>
      </c>
      <c r="P107" s="6">
        <f t="shared" si="74"/>
        <v>794.41814671557961</v>
      </c>
      <c r="Q107" s="6">
        <f t="shared" si="74"/>
        <v>328.65862313512162</v>
      </c>
      <c r="R107" s="6">
        <f t="shared" si="74"/>
        <v>0</v>
      </c>
      <c r="S107" s="6">
        <f t="shared" si="74"/>
        <v>0</v>
      </c>
      <c r="T107" s="6"/>
      <c r="U107" s="6">
        <f t="shared" si="75"/>
        <v>3.2914166666666675</v>
      </c>
      <c r="V107" s="6">
        <f t="shared" si="75"/>
        <v>2014.4749555491524</v>
      </c>
      <c r="W107" s="6">
        <f t="shared" si="75"/>
        <v>333.43393430700439</v>
      </c>
      <c r="X107" s="6">
        <f t="shared" si="75"/>
        <v>0</v>
      </c>
      <c r="Y107" s="6">
        <f t="shared" si="75"/>
        <v>0</v>
      </c>
      <c r="Z107" s="6"/>
      <c r="AA107" s="6">
        <f t="shared" si="76"/>
        <v>0</v>
      </c>
      <c r="AB107" s="6">
        <f t="shared" si="76"/>
        <v>333.8988561334528</v>
      </c>
      <c r="AC107" s="6">
        <f t="shared" si="76"/>
        <v>247.78734230149388</v>
      </c>
      <c r="AD107" s="6">
        <f t="shared" si="76"/>
        <v>0</v>
      </c>
      <c r="AE107" s="6">
        <f t="shared" si="76"/>
        <v>0</v>
      </c>
      <c r="AF107" s="6"/>
      <c r="AG107" s="6">
        <f t="shared" si="82"/>
        <v>290.02629625000003</v>
      </c>
      <c r="AH107" s="6">
        <f t="shared" si="77"/>
        <v>4923.1686509609535</v>
      </c>
      <c r="AI107" s="6">
        <f t="shared" si="78"/>
        <v>1812.4106230773689</v>
      </c>
      <c r="AJ107" s="6">
        <f t="shared" si="79"/>
        <v>0</v>
      </c>
      <c r="AK107" s="6">
        <f t="shared" si="80"/>
        <v>0</v>
      </c>
      <c r="AM107" s="14">
        <f t="shared" si="81"/>
        <v>7025.6055702883223</v>
      </c>
      <c r="AN107" s="19">
        <f>AM107-'Direct $ Inputs'!H120</f>
        <v>0</v>
      </c>
    </row>
    <row r="108" spans="2:41" x14ac:dyDescent="0.3">
      <c r="B108" s="182" t="s">
        <v>191</v>
      </c>
      <c r="E108" s="8"/>
      <c r="F108" s="8"/>
      <c r="G108" s="8"/>
      <c r="H108" s="8"/>
      <c r="I108" s="6">
        <f>I94+I96+I95</f>
        <v>0</v>
      </c>
      <c r="J108" s="6">
        <f>J94+J96+J95</f>
        <v>1424.3867499999999</v>
      </c>
      <c r="K108" s="6">
        <f>K94+K96+K95</f>
        <v>3968.1502500000001</v>
      </c>
      <c r="L108" s="6">
        <f>L94+L96+L95</f>
        <v>0</v>
      </c>
      <c r="M108" s="6">
        <f>M94+M96+M95</f>
        <v>0</v>
      </c>
      <c r="N108" s="6"/>
      <c r="O108" s="6">
        <f>O94+O96+O95</f>
        <v>0</v>
      </c>
      <c r="P108" s="6">
        <f>P94+P96+P95</f>
        <v>615.39149999999995</v>
      </c>
      <c r="Q108" s="6">
        <f>Q94+Q96+Q95</f>
        <v>554.89850000000001</v>
      </c>
      <c r="R108" s="6">
        <f>R94+R96+R95</f>
        <v>0</v>
      </c>
      <c r="S108" s="6">
        <f>S94+S96+S95</f>
        <v>0</v>
      </c>
      <c r="T108" s="6"/>
      <c r="U108" s="6">
        <f>U94+U96+U95</f>
        <v>0</v>
      </c>
      <c r="V108" s="6">
        <f>V94+V96+V95</f>
        <v>798.98400000000004</v>
      </c>
      <c r="W108" s="6">
        <f>W94+W96+W95</f>
        <v>1016.9519999999999</v>
      </c>
      <c r="X108" s="6">
        <f>X94+X96+X95</f>
        <v>0</v>
      </c>
      <c r="Y108" s="6">
        <f>Y94+Y96+Y95</f>
        <v>0</v>
      </c>
      <c r="Z108" s="6"/>
      <c r="AA108" s="6">
        <f>AA94+AA96+AA95</f>
        <v>0</v>
      </c>
      <c r="AB108" s="6">
        <f>AB94+AB96+AB95</f>
        <v>152.40919375000001</v>
      </c>
      <c r="AC108" s="6">
        <f>AC94+AC96+AC95</f>
        <v>457.22758125000007</v>
      </c>
      <c r="AD108" s="6">
        <f>AD94+AD96+AD95</f>
        <v>0</v>
      </c>
      <c r="AE108" s="6">
        <f>AE94+AE96+AE95</f>
        <v>0</v>
      </c>
      <c r="AF108" s="6"/>
      <c r="AG108" s="6">
        <f t="shared" ref="AG108" si="83">I108+O108+U108+AA108</f>
        <v>0</v>
      </c>
      <c r="AH108" s="6">
        <f t="shared" ref="AH108" si="84">J108+P108+V108+AB108</f>
        <v>2991.17144375</v>
      </c>
      <c r="AI108" s="6">
        <f t="shared" ref="AI108" si="85">K108+Q108+W108+AC108</f>
        <v>5997.2283312500003</v>
      </c>
      <c r="AJ108" s="6">
        <f t="shared" ref="AJ108" si="86">L108+R108+X108+AD108</f>
        <v>0</v>
      </c>
      <c r="AK108" s="6">
        <f t="shared" ref="AK108" si="87">M108+S108+Y108+AE108</f>
        <v>0</v>
      </c>
      <c r="AM108" s="14">
        <f t="shared" si="81"/>
        <v>8988.3997749999999</v>
      </c>
      <c r="AN108" s="19">
        <f>AM108-'Direct $ Inputs'!H121</f>
        <v>0</v>
      </c>
    </row>
    <row r="109" spans="2:41" s="26" customFormat="1" x14ac:dyDescent="0.3">
      <c r="B109" s="26" t="s">
        <v>101</v>
      </c>
      <c r="E109" s="42"/>
      <c r="F109" s="42"/>
      <c r="G109" s="42"/>
      <c r="H109" s="42"/>
      <c r="I109" s="133">
        <f t="shared" ref="I109" si="88">SUM(I99:I108)</f>
        <v>3282.3544181120496</v>
      </c>
      <c r="J109" s="133">
        <f t="shared" ref="J109" si="89">SUM(J99:J108)</f>
        <v>30108.082719589125</v>
      </c>
      <c r="K109" s="133">
        <f t="shared" ref="K109" si="90">SUM(K99:K108)</f>
        <v>22431.510822142245</v>
      </c>
      <c r="L109" s="133">
        <f t="shared" ref="L109" si="91">SUM(L99:L108)</f>
        <v>0</v>
      </c>
      <c r="M109" s="133">
        <f>SUM(M99:M108)</f>
        <v>0</v>
      </c>
      <c r="N109" s="142"/>
      <c r="O109" s="133">
        <f t="shared" ref="O109" si="92">SUM(O99:O108)</f>
        <v>897.67685317164182</v>
      </c>
      <c r="P109" s="133">
        <f t="shared" ref="P109" si="93">SUM(P99:P108)</f>
        <v>7460.4444909054819</v>
      </c>
      <c r="Q109" s="133">
        <f t="shared" ref="Q109" si="94">SUM(Q99:Q108)</f>
        <v>5074.5453741035371</v>
      </c>
      <c r="R109" s="133">
        <f t="shared" ref="R109" si="95">SUM(R99:R108)</f>
        <v>111.7307625</v>
      </c>
      <c r="S109" s="133">
        <f>SUM(S99:S108)</f>
        <v>0</v>
      </c>
      <c r="T109" s="142"/>
      <c r="U109" s="133">
        <f t="shared" ref="U109" si="96">SUM(U99:U108)</f>
        <v>2411.0488078484873</v>
      </c>
      <c r="V109" s="133">
        <f t="shared" ref="V109" si="97">SUM(V99:V108)</f>
        <v>17612.470426023381</v>
      </c>
      <c r="W109" s="133">
        <f t="shared" ref="W109" si="98">SUM(W99:W108)</f>
        <v>7450.2293391460635</v>
      </c>
      <c r="X109" s="133">
        <f t="shared" ref="X109" si="99">SUM(X99:X108)</f>
        <v>0</v>
      </c>
      <c r="Y109" s="133">
        <f>SUM(Y99:Y108)</f>
        <v>0</v>
      </c>
      <c r="Z109" s="142"/>
      <c r="AA109" s="133">
        <f t="shared" ref="AA109" si="100">SUM(AA99:AA108)</f>
        <v>267.85825737700304</v>
      </c>
      <c r="AB109" s="133">
        <f t="shared" ref="AB109" si="101">SUM(AB99:AB108)</f>
        <v>3990.5006193743666</v>
      </c>
      <c r="AC109" s="133">
        <f t="shared" ref="AC109" si="102">SUM(AC99:AC108)</f>
        <v>3394.2337340745771</v>
      </c>
      <c r="AD109" s="133">
        <f t="shared" ref="AD109" si="103">SUM(AD99:AD108)</f>
        <v>0</v>
      </c>
      <c r="AE109" s="133">
        <f>SUM(AE99:AE108)</f>
        <v>0</v>
      </c>
      <c r="AF109" s="142"/>
      <c r="AG109" s="133">
        <f t="shared" ref="AG109:AJ109" si="104">SUM(AG99:AG108)</f>
        <v>6858.9383365091826</v>
      </c>
      <c r="AH109" s="133">
        <f t="shared" si="104"/>
        <v>59171.498255892358</v>
      </c>
      <c r="AI109" s="133">
        <f t="shared" si="104"/>
        <v>38350.519269466429</v>
      </c>
      <c r="AJ109" s="133">
        <f t="shared" si="104"/>
        <v>111.7307625</v>
      </c>
      <c r="AK109" s="133">
        <f>SUM(AK99:AK108)</f>
        <v>0</v>
      </c>
      <c r="AL109" s="143"/>
      <c r="AM109" s="133">
        <f>SUM(AM99:AM108)</f>
        <v>104492.68662436795</v>
      </c>
      <c r="AN109" s="144">
        <f>AM109-'Direct $ Inputs'!H122</f>
        <v>-60.064537499987637</v>
      </c>
      <c r="AO109" s="88"/>
    </row>
    <row r="110" spans="2:41" x14ac:dyDescent="0.3">
      <c r="B110" s="221" t="s">
        <v>83</v>
      </c>
      <c r="E110" s="8"/>
      <c r="F110" s="8"/>
      <c r="G110" s="8"/>
      <c r="H110" s="8"/>
      <c r="I110" s="6"/>
      <c r="J110" s="6"/>
      <c r="K110" s="6"/>
      <c r="L110" s="6"/>
      <c r="M110" s="222">
        <f>SUM(I109:M109)-'Direct $ Inputs'!C122</f>
        <v>0</v>
      </c>
      <c r="N110" s="222"/>
      <c r="O110" s="222"/>
      <c r="P110" s="222"/>
      <c r="Q110" s="222"/>
      <c r="R110" s="222"/>
      <c r="S110" s="222">
        <f>SUM(O109:S109)-'Direct $ Inputs'!D122</f>
        <v>-60.064537499998551</v>
      </c>
      <c r="T110" s="222"/>
      <c r="U110" s="222"/>
      <c r="V110" s="222"/>
      <c r="W110" s="222"/>
      <c r="X110" s="222"/>
      <c r="Y110" s="222">
        <f>SUM(U109:Y109)-'Direct $ Inputs'!E122-'Direct $ Inputs'!F122</f>
        <v>0</v>
      </c>
      <c r="Z110" s="222"/>
      <c r="AA110" s="222"/>
      <c r="AB110" s="222"/>
      <c r="AC110" s="222"/>
      <c r="AD110" s="222"/>
      <c r="AE110" s="222">
        <f>SUM(AA109:AE109)-'Direct $ Inputs'!G122</f>
        <v>0</v>
      </c>
      <c r="AF110" s="6"/>
      <c r="AG110" s="6"/>
      <c r="AH110" s="6"/>
      <c r="AI110" s="6"/>
      <c r="AJ110" s="6"/>
      <c r="AK110" s="6"/>
    </row>
    <row r="111" spans="2:41" x14ac:dyDescent="0.3">
      <c r="B111" s="179"/>
      <c r="E111" s="8"/>
      <c r="F111" s="8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41" x14ac:dyDescent="0.3">
      <c r="B112" s="24" t="s">
        <v>144</v>
      </c>
      <c r="E112" s="8"/>
      <c r="F112" s="8"/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2:39" x14ac:dyDescent="0.3">
      <c r="B113" s="143" t="s">
        <v>79</v>
      </c>
      <c r="E113" s="8"/>
      <c r="F113" s="8"/>
      <c r="G113" s="8"/>
      <c r="H113" s="8"/>
      <c r="I113" s="165">
        <v>2016</v>
      </c>
      <c r="J113" s="165">
        <v>2017</v>
      </c>
      <c r="K113" s="165">
        <v>2018</v>
      </c>
      <c r="L113" s="165">
        <v>2019</v>
      </c>
      <c r="M113" s="165">
        <v>2020</v>
      </c>
      <c r="N113" s="6"/>
      <c r="O113" s="165">
        <v>2016</v>
      </c>
      <c r="P113" s="165">
        <v>2017</v>
      </c>
      <c r="Q113" s="165">
        <v>2018</v>
      </c>
      <c r="R113" s="165">
        <v>2019</v>
      </c>
      <c r="S113" s="165">
        <v>2020</v>
      </c>
      <c r="T113" s="6"/>
      <c r="U113" s="165">
        <v>2016</v>
      </c>
      <c r="V113" s="165">
        <v>2017</v>
      </c>
      <c r="W113" s="165">
        <v>2018</v>
      </c>
      <c r="X113" s="165">
        <v>2019</v>
      </c>
      <c r="Y113" s="165">
        <v>2020</v>
      </c>
      <c r="Z113" s="6"/>
      <c r="AA113" s="165">
        <v>2016</v>
      </c>
      <c r="AB113" s="165">
        <v>2017</v>
      </c>
      <c r="AC113" s="165">
        <v>2018</v>
      </c>
      <c r="AD113" s="165">
        <v>2019</v>
      </c>
      <c r="AE113" s="165">
        <v>2020</v>
      </c>
      <c r="AF113" s="6"/>
      <c r="AG113" s="165">
        <v>2016</v>
      </c>
      <c r="AH113" s="165">
        <v>2017</v>
      </c>
      <c r="AI113" s="165">
        <v>2018</v>
      </c>
      <c r="AJ113" s="165">
        <v>2019</v>
      </c>
      <c r="AK113" s="165">
        <v>2020</v>
      </c>
      <c r="AM113" s="4" t="s">
        <v>25</v>
      </c>
    </row>
    <row r="114" spans="2:39" x14ac:dyDescent="0.3">
      <c r="B114" s="8" t="s">
        <v>38</v>
      </c>
      <c r="E114" s="8"/>
      <c r="F114" s="8"/>
      <c r="G114" s="8"/>
      <c r="H114" s="8"/>
      <c r="N114" s="6"/>
    </row>
    <row r="115" spans="2:39" x14ac:dyDescent="0.3">
      <c r="B115" s="160" t="s">
        <v>63</v>
      </c>
      <c r="E115" s="8"/>
      <c r="F115" s="160"/>
      <c r="G115" s="8"/>
      <c r="H115" s="8" t="s">
        <v>269</v>
      </c>
      <c r="I115" s="6">
        <f>SUMIF($H$7:$H$95,$H115,I$7:I$95)+INDEX('Other Tables'!$L$36:$L$41,MATCH('Direct $ Composition'!$H115,'Other Tables'!$B$36:$B$41,0),)*I$96</f>
        <v>1423.2710996570299</v>
      </c>
      <c r="J115" s="6">
        <f>SUMIF($H$7:$H$95,$H115,J$7:J$95)+INDEX('Other Tables'!$L$36:$L$41,MATCH('Direct $ Composition'!$H115,'Other Tables'!$B$36:$B$41,0),)*J$96</f>
        <v>8528.3555833378377</v>
      </c>
      <c r="K115" s="6">
        <f>SUMIF($H$7:$H$95,$H115,K$7:K$95)+INDEX('Other Tables'!$L$36:$L$41,MATCH('Direct $ Composition'!$H115,'Other Tables'!$B$36:$B$41,0),)*K$96</f>
        <v>4973.055211881031</v>
      </c>
      <c r="L115" s="6">
        <f>SUMIF($H$7:$H$95,$H115,L$7:L$95)+INDEX('Other Tables'!$L$36:$L$41,MATCH('Direct $ Composition'!$H115,'Other Tables'!$B$36:$B$41,0),)*L$96</f>
        <v>0</v>
      </c>
      <c r="M115" s="6">
        <f>SUMIF($H$7:$H$95,$H115,M$7:M$95)+INDEX('Other Tables'!$L$36:$L$41,MATCH('Direct $ Composition'!$H115,'Other Tables'!$B$36:$B$41,0),)*M$96</f>
        <v>0</v>
      </c>
      <c r="N115" s="6"/>
      <c r="O115" s="6">
        <f>SUMIF($H$7:$H$95,$H115,O$7:O$95)+INDEX('Other Tables'!$L$36:$L$41,MATCH('Direct $ Composition'!$H115,'Other Tables'!$B$36:$B$41,0),)*O$96</f>
        <v>401.91417768050957</v>
      </c>
      <c r="P115" s="6">
        <f>SUMIF($H$7:$H$95,$H115,P$7:P$95)+INDEX('Other Tables'!$L$36:$L$41,MATCH('Direct $ Composition'!$H115,'Other Tables'!$B$36:$B$41,0),)*P$96</f>
        <v>1655.6959123866341</v>
      </c>
      <c r="Q115" s="6">
        <f>SUMIF($H$7:$H$95,$H115,Q$7:Q$95)+INDEX('Other Tables'!$L$36:$L$41,MATCH('Direct $ Composition'!$H115,'Other Tables'!$B$36:$B$41,0),)*Q$96</f>
        <v>857.51959024903692</v>
      </c>
      <c r="R115" s="6">
        <f>SUMIF($H$7:$H$95,$H115,R$7:R$95)+INDEX('Other Tables'!$L$36:$L$41,MATCH('Direct $ Composition'!$H115,'Other Tables'!$B$36:$B$41,0),)*R$96</f>
        <v>62.046031131792361</v>
      </c>
      <c r="S115" s="6">
        <f>SUMIF($H$7:$H$95,$H115,S$7:S$95)+INDEX('Other Tables'!$L$36:$L$41,MATCH('Direct $ Composition'!$H115,'Other Tables'!$B$36:$B$41,0),)*S$96</f>
        <v>0</v>
      </c>
      <c r="T115" s="6"/>
      <c r="U115" s="6">
        <f>SUMIF($H$7:$H$95,$H115,U$7:U$95)+INDEX('Other Tables'!$L$36:$L$41,MATCH('Direct $ Composition'!$H115,'Other Tables'!$B$36:$B$41,0),)*U$96</f>
        <v>969.83212360185701</v>
      </c>
      <c r="V115" s="6">
        <f>SUMIF($H$7:$H$95,$H115,V$7:V$95)+INDEX('Other Tables'!$L$36:$L$41,MATCH('Direct $ Composition'!$H115,'Other Tables'!$B$36:$B$41,0),)*V$96</f>
        <v>5262.8605529373599</v>
      </c>
      <c r="W115" s="6">
        <f>SUMIF($H$7:$H$95,$H115,W$7:W$95)+INDEX('Other Tables'!$L$36:$L$41,MATCH('Direct $ Composition'!$H115,'Other Tables'!$B$36:$B$41,0),)*W$96</f>
        <v>2524.0230443248038</v>
      </c>
      <c r="X115" s="6">
        <f>SUMIF($H$7:$H$95,$H115,X$7:X$95)+INDEX('Other Tables'!$L$36:$L$41,MATCH('Direct $ Composition'!$H115,'Other Tables'!$B$36:$B$41,0),)*X$96</f>
        <v>0</v>
      </c>
      <c r="Y115" s="6">
        <f>SUMIF($H$7:$H$95,$H115,Y$7:Y$95)+INDEX('Other Tables'!$L$36:$L$41,MATCH('Direct $ Composition'!$H115,'Other Tables'!$B$36:$B$41,0),)*Y$96</f>
        <v>0</v>
      </c>
      <c r="Z115" s="6"/>
      <c r="AA115" s="6">
        <f>SUMIF($H$7:$H$95,$H115,AA$7:AA$95)+INDEX('Other Tables'!$L$36:$L$41,MATCH('Direct $ Composition'!$H115,'Other Tables'!$B$36:$B$41,0),)*AA$96</f>
        <v>79.021802764810531</v>
      </c>
      <c r="AB115" s="6">
        <f>SUMIF($H$7:$H$95,$H115,AB$7:AB$95)+INDEX('Other Tables'!$L$36:$L$41,MATCH('Direct $ Composition'!$H115,'Other Tables'!$B$36:$B$41,0),)*AB$96</f>
        <v>1016.9486233014634</v>
      </c>
      <c r="AC115" s="6">
        <f>SUMIF($H$7:$H$95,$H115,AC$7:AC$95)+INDEX('Other Tables'!$L$36:$L$41,MATCH('Direct $ Composition'!$H115,'Other Tables'!$B$36:$B$41,0),)*AC$96</f>
        <v>622.38046122023547</v>
      </c>
      <c r="AD115" s="6">
        <f>SUMIF($H$7:$H$95,$H115,AD$7:AD$95)+INDEX('Other Tables'!$L$36:$L$41,MATCH('Direct $ Composition'!$H115,'Other Tables'!$B$36:$B$41,0),)*AD$96</f>
        <v>0</v>
      </c>
      <c r="AE115" s="6">
        <f>SUMIF($H$7:$H$95,$H115,AE$7:AE$95)+INDEX('Other Tables'!$L$36:$L$41,MATCH('Direct $ Composition'!$H115,'Other Tables'!$B$36:$B$41,0),)*AE$96</f>
        <v>0</v>
      </c>
      <c r="AF115" s="6"/>
      <c r="AG115" s="6">
        <f t="shared" ref="AG115:AG123" si="105">I115+O115+U115+AA115</f>
        <v>2874.039203704207</v>
      </c>
      <c r="AH115" s="6">
        <f t="shared" ref="AH115:AH123" si="106">J115+P115+V115+AB115</f>
        <v>16463.860671963295</v>
      </c>
      <c r="AI115" s="6">
        <f t="shared" ref="AI115:AI123" si="107">K115+Q115+W115+AC115</f>
        <v>8976.9783076751064</v>
      </c>
      <c r="AJ115" s="6">
        <f t="shared" ref="AJ115:AJ123" si="108">L115+R115+X115+AD115</f>
        <v>62.046031131792361</v>
      </c>
      <c r="AK115" s="6">
        <f t="shared" ref="AK115:AK123" si="109">M115+S115+Y115+AE115</f>
        <v>0</v>
      </c>
      <c r="AM115" s="14">
        <f t="shared" ref="AM115:AM124" si="110">SUM(AG115:AK115)</f>
        <v>28376.924214474402</v>
      </c>
    </row>
    <row r="116" spans="2:39" x14ac:dyDescent="0.3">
      <c r="B116" s="160" t="s">
        <v>65</v>
      </c>
      <c r="E116" s="8"/>
      <c r="F116" s="160"/>
      <c r="G116" s="8"/>
      <c r="H116" s="8" t="s">
        <v>272</v>
      </c>
      <c r="I116" s="6">
        <f>SUMIF($H$7:$H$95,$H116,I$7:I$95)+INDEX('Other Tables'!$L$36:$L$41,MATCH('Direct $ Composition'!$H116,'Other Tables'!$B$36:$B$41,0),)*I$96</f>
        <v>0</v>
      </c>
      <c r="J116" s="6">
        <f>SUMIF($H$7:$H$95,$H116,J$7:J$95)+INDEX('Other Tables'!$L$36:$L$41,MATCH('Direct $ Composition'!$H116,'Other Tables'!$B$36:$B$41,0),)*J$96</f>
        <v>0</v>
      </c>
      <c r="K116" s="6">
        <f>SUMIF($H$7:$H$95,$H116,K$7:K$95)+INDEX('Other Tables'!$L$36:$L$41,MATCH('Direct $ Composition'!$H116,'Other Tables'!$B$36:$B$41,0),)*K$96</f>
        <v>0</v>
      </c>
      <c r="L116" s="6">
        <f>SUMIF($H$7:$H$95,$H116,L$7:L$95)+INDEX('Other Tables'!$L$36:$L$41,MATCH('Direct $ Composition'!$H116,'Other Tables'!$B$36:$B$41,0),)*L$96</f>
        <v>0</v>
      </c>
      <c r="M116" s="6">
        <f>SUMIF($H$7:$H$95,$H116,M$7:M$95)+INDEX('Other Tables'!$L$36:$L$41,MATCH('Direct $ Composition'!$H116,'Other Tables'!$B$36:$B$41,0),)*M$96</f>
        <v>0</v>
      </c>
      <c r="N116" s="6"/>
      <c r="O116" s="6">
        <f>SUMIF($H$7:$H$95,$H116,O$7:O$95)+INDEX('Other Tables'!$L$36:$L$41,MATCH('Direct $ Composition'!$H116,'Other Tables'!$B$36:$B$41,0),)*O$96</f>
        <v>0</v>
      </c>
      <c r="P116" s="6">
        <f>SUMIF($H$7:$H$95,$H116,P$7:P$95)+INDEX('Other Tables'!$L$36:$L$41,MATCH('Direct $ Composition'!$H116,'Other Tables'!$B$36:$B$41,0),)*P$96</f>
        <v>0</v>
      </c>
      <c r="Q116" s="6">
        <f>SUMIF($H$7:$H$95,$H116,Q$7:Q$95)+INDEX('Other Tables'!$L$36:$L$41,MATCH('Direct $ Composition'!$H116,'Other Tables'!$B$36:$B$41,0),)*Q$96</f>
        <v>0</v>
      </c>
      <c r="R116" s="6">
        <f>SUMIF($H$7:$H$95,$H116,R$7:R$95)+INDEX('Other Tables'!$L$36:$L$41,MATCH('Direct $ Composition'!$H116,'Other Tables'!$B$36:$B$41,0),)*R$96</f>
        <v>0</v>
      </c>
      <c r="S116" s="6">
        <f>SUMIF($H$7:$H$95,$H116,S$7:S$95)+INDEX('Other Tables'!$L$36:$L$41,MATCH('Direct $ Composition'!$H116,'Other Tables'!$B$36:$B$41,0),)*S$96</f>
        <v>0</v>
      </c>
      <c r="T116" s="6"/>
      <c r="U116" s="6">
        <f>SUMIF($H$7:$H$95,$H116,U$7:U$95)+INDEX('Other Tables'!$L$36:$L$41,MATCH('Direct $ Composition'!$H116,'Other Tables'!$B$36:$B$41,0),)*U$96</f>
        <v>0</v>
      </c>
      <c r="V116" s="6">
        <f>SUMIF($H$7:$H$95,$H116,V$7:V$95)+INDEX('Other Tables'!$L$36:$L$41,MATCH('Direct $ Composition'!$H116,'Other Tables'!$B$36:$B$41,0),)*V$96</f>
        <v>0</v>
      </c>
      <c r="W116" s="6">
        <f>SUMIF($H$7:$H$95,$H116,W$7:W$95)+INDEX('Other Tables'!$L$36:$L$41,MATCH('Direct $ Composition'!$H116,'Other Tables'!$B$36:$B$41,0),)*W$96</f>
        <v>0</v>
      </c>
      <c r="X116" s="6">
        <f>SUMIF($H$7:$H$95,$H116,X$7:X$95)+INDEX('Other Tables'!$L$36:$L$41,MATCH('Direct $ Composition'!$H116,'Other Tables'!$B$36:$B$41,0),)*X$96</f>
        <v>0</v>
      </c>
      <c r="Y116" s="6">
        <f>SUMIF($H$7:$H$95,$H116,Y$7:Y$95)+INDEX('Other Tables'!$L$36:$L$41,MATCH('Direct $ Composition'!$H116,'Other Tables'!$B$36:$B$41,0),)*Y$96</f>
        <v>0</v>
      </c>
      <c r="Z116" s="6"/>
      <c r="AA116" s="6">
        <f>SUMIF($H$7:$H$95,$H116,AA$7:AA$95)+INDEX('Other Tables'!$L$36:$L$41,MATCH('Direct $ Composition'!$H116,'Other Tables'!$B$36:$B$41,0),)*AA$96</f>
        <v>0</v>
      </c>
      <c r="AB116" s="6">
        <f>SUMIF($H$7:$H$95,$H116,AB$7:AB$95)+INDEX('Other Tables'!$L$36:$L$41,MATCH('Direct $ Composition'!$H116,'Other Tables'!$B$36:$B$41,0),)*AB$96</f>
        <v>0</v>
      </c>
      <c r="AC116" s="6">
        <f>SUMIF($H$7:$H$95,$H116,AC$7:AC$95)+INDEX('Other Tables'!$L$36:$L$41,MATCH('Direct $ Composition'!$H116,'Other Tables'!$B$36:$B$41,0),)*AC$96</f>
        <v>0</v>
      </c>
      <c r="AD116" s="6">
        <f>SUMIF($H$7:$H$95,$H116,AD$7:AD$95)+INDEX('Other Tables'!$L$36:$L$41,MATCH('Direct $ Composition'!$H116,'Other Tables'!$B$36:$B$41,0),)*AD$96</f>
        <v>0</v>
      </c>
      <c r="AE116" s="6">
        <f>SUMIF($H$7:$H$95,$H116,AE$7:AE$95)+INDEX('Other Tables'!$L$36:$L$41,MATCH('Direct $ Composition'!$H116,'Other Tables'!$B$36:$B$41,0),)*AE$96</f>
        <v>0</v>
      </c>
      <c r="AF116" s="6"/>
      <c r="AG116" s="6">
        <f t="shared" si="105"/>
        <v>0</v>
      </c>
      <c r="AH116" s="6">
        <f t="shared" si="106"/>
        <v>0</v>
      </c>
      <c r="AI116" s="6">
        <f t="shared" si="107"/>
        <v>0</v>
      </c>
      <c r="AJ116" s="6">
        <f t="shared" si="108"/>
        <v>0</v>
      </c>
      <c r="AK116" s="6">
        <f t="shared" si="109"/>
        <v>0</v>
      </c>
      <c r="AM116" s="14">
        <f t="shared" si="110"/>
        <v>0</v>
      </c>
    </row>
    <row r="117" spans="2:39" x14ac:dyDescent="0.3">
      <c r="B117" s="160" t="s">
        <v>146</v>
      </c>
      <c r="E117" s="8"/>
      <c r="F117" s="160"/>
      <c r="G117" s="8"/>
      <c r="H117" s="8"/>
      <c r="I117" s="25">
        <f>SUM(I115:I116)</f>
        <v>1423.2710996570299</v>
      </c>
      <c r="J117" s="25">
        <f>SUM(J115:J116)</f>
        <v>8528.3555833378377</v>
      </c>
      <c r="K117" s="25">
        <f>SUM(K115:K116)</f>
        <v>4973.055211881031</v>
      </c>
      <c r="L117" s="25">
        <f>SUM(L115:L116)</f>
        <v>0</v>
      </c>
      <c r="M117" s="25">
        <f>SUM(M115:M116)</f>
        <v>0</v>
      </c>
      <c r="N117" s="6"/>
      <c r="O117" s="25">
        <f>SUM(O115:O116)</f>
        <v>401.91417768050957</v>
      </c>
      <c r="P117" s="25">
        <f>SUM(P115:P116)</f>
        <v>1655.6959123866341</v>
      </c>
      <c r="Q117" s="25">
        <f>SUM(Q115:Q116)</f>
        <v>857.51959024903692</v>
      </c>
      <c r="R117" s="25">
        <f>SUM(R115:R116)</f>
        <v>62.046031131792361</v>
      </c>
      <c r="S117" s="25">
        <f>SUM(S115:S116)</f>
        <v>0</v>
      </c>
      <c r="T117" s="6"/>
      <c r="U117" s="25">
        <f>SUM(U115:U116)</f>
        <v>969.83212360185701</v>
      </c>
      <c r="V117" s="25">
        <f>SUM(V115:V116)</f>
        <v>5262.8605529373599</v>
      </c>
      <c r="W117" s="25">
        <f>SUM(W115:W116)</f>
        <v>2524.0230443248038</v>
      </c>
      <c r="X117" s="25">
        <f>SUM(X115:X116)</f>
        <v>0</v>
      </c>
      <c r="Y117" s="25">
        <f>SUM(Y115:Y116)</f>
        <v>0</v>
      </c>
      <c r="Z117" s="6"/>
      <c r="AA117" s="25">
        <f>SUM(AA115:AA116)</f>
        <v>79.021802764810531</v>
      </c>
      <c r="AB117" s="25">
        <f>SUM(AB115:AB116)</f>
        <v>1016.9486233014634</v>
      </c>
      <c r="AC117" s="25">
        <f>SUM(AC115:AC116)</f>
        <v>622.38046122023547</v>
      </c>
      <c r="AD117" s="25">
        <f>SUM(AD115:AD116)</f>
        <v>0</v>
      </c>
      <c r="AE117" s="25">
        <f>SUM(AE115:AE116)</f>
        <v>0</v>
      </c>
      <c r="AF117" s="6"/>
      <c r="AG117" s="25">
        <f>I117+O117+U117+AA117</f>
        <v>2874.039203704207</v>
      </c>
      <c r="AH117" s="25">
        <f>J117+P117+V117+AB117</f>
        <v>16463.860671963295</v>
      </c>
      <c r="AI117" s="25">
        <f>K117+Q117+W117+AC117</f>
        <v>8976.9783076751064</v>
      </c>
      <c r="AJ117" s="25">
        <f>L117+R117+X117+AD117</f>
        <v>62.046031131792361</v>
      </c>
      <c r="AK117" s="25">
        <f>M117+S117+Y117+AE117</f>
        <v>0</v>
      </c>
      <c r="AM117" s="21">
        <f>SUM(AM115:AM116)</f>
        <v>28376.924214474402</v>
      </c>
    </row>
    <row r="118" spans="2:39" x14ac:dyDescent="0.3">
      <c r="B118" s="8" t="s">
        <v>39</v>
      </c>
      <c r="E118" s="8"/>
      <c r="F118" s="8"/>
      <c r="G118" s="8"/>
      <c r="H118" s="8"/>
      <c r="N118" s="6"/>
    </row>
    <row r="119" spans="2:39" x14ac:dyDescent="0.3">
      <c r="B119" s="160" t="s">
        <v>63</v>
      </c>
      <c r="E119" s="8"/>
      <c r="F119" s="160"/>
      <c r="G119" s="8"/>
      <c r="H119" s="8" t="s">
        <v>267</v>
      </c>
      <c r="I119" s="6">
        <f>SUMIF($H$7:$H$95,$H119,I$7:I$95)+INDEX('Other Tables'!$L$36:$L$41,MATCH('Direct $ Composition'!$H119,'Other Tables'!$B$36:$B$41,0),)*I$96</f>
        <v>0</v>
      </c>
      <c r="J119" s="6">
        <f>SUMIF($H$7:$H$95,$H119,J$7:J$95)+INDEX('Other Tables'!$L$36:$L$41,MATCH('Direct $ Composition'!$H119,'Other Tables'!$B$36:$B$41,0),)*J$96</f>
        <v>9375.0903858333331</v>
      </c>
      <c r="K119" s="6">
        <f>SUMIF($H$7:$H$95,$H119,K$7:K$95)+INDEX('Other Tables'!$L$36:$L$41,MATCH('Direct $ Composition'!$H119,'Other Tables'!$B$36:$B$41,0),)*K$96</f>
        <v>4301.8715060999994</v>
      </c>
      <c r="L119" s="6">
        <f>SUMIF($H$7:$H$95,$H119,L$7:L$95)+INDEX('Other Tables'!$L$36:$L$41,MATCH('Direct $ Composition'!$H119,'Other Tables'!$B$36:$B$41,0),)*L$96</f>
        <v>0</v>
      </c>
      <c r="M119" s="6">
        <f>SUMIF($H$7:$H$95,$H119,M$7:M$95)+INDEX('Other Tables'!$L$36:$L$41,MATCH('Direct $ Composition'!$H119,'Other Tables'!$B$36:$B$41,0),)*M$96</f>
        <v>0</v>
      </c>
      <c r="N119" s="6"/>
      <c r="O119" s="6">
        <f>SUMIF($H$7:$H$95,$H119,O$7:O$95)+INDEX('Other Tables'!$L$36:$L$41,MATCH('Direct $ Composition'!$H119,'Other Tables'!$B$36:$B$41,0),)*O$96</f>
        <v>0</v>
      </c>
      <c r="P119" s="6">
        <f>SUMIF($H$7:$H$95,$H119,P$7:P$95)+INDEX('Other Tables'!$L$36:$L$41,MATCH('Direct $ Composition'!$H119,'Other Tables'!$B$36:$B$41,0),)*P$96</f>
        <v>2959.2397470711271</v>
      </c>
      <c r="Q119" s="6">
        <f>SUMIF($H$7:$H$95,$H119,Q$7:Q$95)+INDEX('Other Tables'!$L$36:$L$41,MATCH('Direct $ Composition'!$H119,'Other Tables'!$B$36:$B$41,0),)*Q$96</f>
        <v>1938.0759793228699</v>
      </c>
      <c r="R119" s="6">
        <f>SUMIF($H$7:$H$95,$H119,R$7:R$95)+INDEX('Other Tables'!$L$36:$L$41,MATCH('Direct $ Composition'!$H119,'Other Tables'!$B$36:$B$41,0),)*R$96</f>
        <v>0</v>
      </c>
      <c r="S119" s="6">
        <f>SUMIF($H$7:$H$95,$H119,S$7:S$95)+INDEX('Other Tables'!$L$36:$L$41,MATCH('Direct $ Composition'!$H119,'Other Tables'!$B$36:$B$41,0),)*S$96</f>
        <v>0</v>
      </c>
      <c r="T119" s="6"/>
      <c r="U119" s="6">
        <f>SUMIF($H$7:$H$95,$H119,U$7:U$95)+INDEX('Other Tables'!$L$36:$L$41,MATCH('Direct $ Composition'!$H119,'Other Tables'!$B$36:$B$41,0),)*U$96</f>
        <v>0</v>
      </c>
      <c r="V119" s="6">
        <f>SUMIF($H$7:$H$95,$H119,V$7:V$95)+INDEX('Other Tables'!$L$36:$L$41,MATCH('Direct $ Composition'!$H119,'Other Tables'!$B$36:$B$41,0),)*V$96</f>
        <v>7059.0002505671619</v>
      </c>
      <c r="W119" s="6">
        <f>SUMIF($H$7:$H$95,$H119,W$7:W$95)+INDEX('Other Tables'!$L$36:$L$41,MATCH('Direct $ Composition'!$H119,'Other Tables'!$B$36:$B$41,0),)*W$96</f>
        <v>1989.1173686852026</v>
      </c>
      <c r="X119" s="6">
        <f>SUMIF($H$7:$H$95,$H119,X$7:X$95)+INDEX('Other Tables'!$L$36:$L$41,MATCH('Direct $ Composition'!$H119,'Other Tables'!$B$36:$B$41,0),)*X$96</f>
        <v>0</v>
      </c>
      <c r="Y119" s="6">
        <f>SUMIF($H$7:$H$95,$H119,Y$7:Y$95)+INDEX('Other Tables'!$L$36:$L$41,MATCH('Direct $ Composition'!$H119,'Other Tables'!$B$36:$B$41,0),)*Y$96</f>
        <v>0</v>
      </c>
      <c r="Z119" s="6"/>
      <c r="AA119" s="6">
        <f>SUMIF($H$7:$H$95,$H119,AA$7:AA$95)+INDEX('Other Tables'!$L$36:$L$41,MATCH('Direct $ Composition'!$H119,'Other Tables'!$B$36:$B$41,0),)*AA$96</f>
        <v>0</v>
      </c>
      <c r="AB119" s="6">
        <f>SUMIF($H$7:$H$95,$H119,AB$7:AB$95)+INDEX('Other Tables'!$L$36:$L$41,MATCH('Direct $ Composition'!$H119,'Other Tables'!$B$36:$B$41,0),)*AB$96</f>
        <v>1955.7851378744585</v>
      </c>
      <c r="AC119" s="6">
        <f>SUMIF($H$7:$H$95,$H119,AC$7:AC$95)+INDEX('Other Tables'!$L$36:$L$41,MATCH('Direct $ Composition'!$H119,'Other Tables'!$B$36:$B$41,0),)*AC$96</f>
        <v>1841.232204793049</v>
      </c>
      <c r="AD119" s="6">
        <f>SUMIF($H$7:$H$95,$H119,AD$7:AD$95)+INDEX('Other Tables'!$L$36:$L$41,MATCH('Direct $ Composition'!$H119,'Other Tables'!$B$36:$B$41,0),)*AD$96</f>
        <v>0</v>
      </c>
      <c r="AE119" s="6">
        <f>SUMIF($H$7:$H$95,$H119,AE$7:AE$95)+INDEX('Other Tables'!$L$36:$L$41,MATCH('Direct $ Composition'!$H119,'Other Tables'!$B$36:$B$41,0),)*AE$96</f>
        <v>0</v>
      </c>
      <c r="AF119" s="6"/>
      <c r="AG119" s="6">
        <f t="shared" si="105"/>
        <v>0</v>
      </c>
      <c r="AH119" s="6">
        <f t="shared" si="106"/>
        <v>21349.115521346081</v>
      </c>
      <c r="AI119" s="6">
        <f t="shared" si="107"/>
        <v>10070.29705890112</v>
      </c>
      <c r="AJ119" s="6">
        <f t="shared" si="108"/>
        <v>0</v>
      </c>
      <c r="AK119" s="6">
        <f t="shared" si="109"/>
        <v>0</v>
      </c>
      <c r="AM119" s="14">
        <f t="shared" si="110"/>
        <v>31419.412580247201</v>
      </c>
    </row>
    <row r="120" spans="2:39" x14ac:dyDescent="0.3">
      <c r="B120" s="160" t="s">
        <v>65</v>
      </c>
      <c r="E120" s="8"/>
      <c r="F120" s="160"/>
      <c r="G120" s="8"/>
      <c r="H120" s="8" t="s">
        <v>268</v>
      </c>
      <c r="I120" s="6">
        <f>SUMIF($H$7:$H$95,$H120,I$7:I$95)+INDEX('Other Tables'!$L$36:$L$41,MATCH('Direct $ Composition'!$H120,'Other Tables'!$B$36:$B$41,0),)*I$96</f>
        <v>854.1302829850747</v>
      </c>
      <c r="J120" s="6">
        <f>SUMIF($H$7:$H$95,$H120,J$7:J$95)+INDEX('Other Tables'!$L$36:$L$41,MATCH('Direct $ Composition'!$H120,'Other Tables'!$B$36:$B$41,0),)*J$96</f>
        <v>5169.0445164283783</v>
      </c>
      <c r="K120" s="6">
        <f>SUMIF($H$7:$H$95,$H120,K$7:K$95)+INDEX('Other Tables'!$L$36:$L$41,MATCH('Direct $ Composition'!$H120,'Other Tables'!$B$36:$B$41,0),)*K$96</f>
        <v>6444.7400686567162</v>
      </c>
      <c r="L120" s="6">
        <f>SUMIF($H$7:$H$95,$H120,L$7:L$95)+INDEX('Other Tables'!$L$36:$L$41,MATCH('Direct $ Composition'!$H120,'Other Tables'!$B$36:$B$41,0),)*L$96</f>
        <v>0</v>
      </c>
      <c r="M120" s="6">
        <f>SUMIF($H$7:$H$95,$H120,M$7:M$95)+INDEX('Other Tables'!$L$36:$L$41,MATCH('Direct $ Composition'!$H120,'Other Tables'!$B$36:$B$41,0),)*M$96</f>
        <v>0</v>
      </c>
      <c r="N120" s="6"/>
      <c r="O120" s="6">
        <f>SUMIF($H$7:$H$95,$H120,O$7:O$95)+INDEX('Other Tables'!$L$36:$L$41,MATCH('Direct $ Composition'!$H120,'Other Tables'!$B$36:$B$41,0),)*O$96</f>
        <v>204.44666567164174</v>
      </c>
      <c r="P120" s="6">
        <f>SUMIF($H$7:$H$95,$H120,P$7:P$95)+INDEX('Other Tables'!$L$36:$L$41,MATCH('Direct $ Composition'!$H120,'Other Tables'!$B$36:$B$41,0),)*P$96</f>
        <v>1338.5989767279184</v>
      </c>
      <c r="Q120" s="6">
        <f>SUMIF($H$7:$H$95,$H120,Q$7:Q$95)+INDEX('Other Tables'!$L$36:$L$41,MATCH('Direct $ Composition'!$H120,'Other Tables'!$B$36:$B$41,0),)*Q$96</f>
        <v>1223.625569780668</v>
      </c>
      <c r="R120" s="6">
        <f>SUMIF($H$7:$H$95,$H120,R$7:R$95)+INDEX('Other Tables'!$L$36:$L$41,MATCH('Direct $ Composition'!$H120,'Other Tables'!$B$36:$B$41,0),)*R$96</f>
        <v>0</v>
      </c>
      <c r="S120" s="6">
        <f>SUMIF($H$7:$H$95,$H120,S$7:S$95)+INDEX('Other Tables'!$L$36:$L$41,MATCH('Direct $ Composition'!$H120,'Other Tables'!$B$36:$B$41,0),)*S$96</f>
        <v>0</v>
      </c>
      <c r="T120" s="6"/>
      <c r="U120" s="6">
        <f>SUMIF($H$7:$H$95,$H120,U$7:U$95)+INDEX('Other Tables'!$L$36:$L$41,MATCH('Direct $ Composition'!$H120,'Other Tables'!$B$36:$B$41,0),)*U$96</f>
        <v>734.74843283582072</v>
      </c>
      <c r="V120" s="6">
        <f>SUMIF($H$7:$H$95,$H120,V$7:V$95)+INDEX('Other Tables'!$L$36:$L$41,MATCH('Direct $ Composition'!$H120,'Other Tables'!$B$36:$B$41,0),)*V$96</f>
        <v>911.73666395995701</v>
      </c>
      <c r="W120" s="6">
        <f>SUMIF($H$7:$H$95,$H120,W$7:W$95)+INDEX('Other Tables'!$L$36:$L$41,MATCH('Direct $ Composition'!$H120,'Other Tables'!$B$36:$B$41,0),)*W$96</f>
        <v>479.03149746487753</v>
      </c>
      <c r="X120" s="6">
        <f>SUMIF($H$7:$H$95,$H120,X$7:X$95)+INDEX('Other Tables'!$L$36:$L$41,MATCH('Direct $ Composition'!$H120,'Other Tables'!$B$36:$B$41,0),)*X$96</f>
        <v>0</v>
      </c>
      <c r="Y120" s="6">
        <f>SUMIF($H$7:$H$95,$H120,Y$7:Y$95)+INDEX('Other Tables'!$L$36:$L$41,MATCH('Direct $ Composition'!$H120,'Other Tables'!$B$36:$B$41,0),)*Y$96</f>
        <v>0</v>
      </c>
      <c r="Z120" s="6"/>
      <c r="AA120" s="6">
        <f>SUMIF($H$7:$H$95,$H120,AA$7:AA$95)+INDEX('Other Tables'!$L$36:$L$41,MATCH('Direct $ Composition'!$H120,'Other Tables'!$B$36:$B$41,0),)*AA$96</f>
        <v>117.63805970149251</v>
      </c>
      <c r="AB120" s="6">
        <f>SUMIF($H$7:$H$95,$H120,AB$7:AB$95)+INDEX('Other Tables'!$L$36:$L$41,MATCH('Direct $ Composition'!$H120,'Other Tables'!$B$36:$B$41,0),)*AB$96</f>
        <v>163.48049243430842</v>
      </c>
      <c r="AC120" s="6">
        <f>SUMIF($H$7:$H$95,$H120,AC$7:AC$95)+INDEX('Other Tables'!$L$36:$L$41,MATCH('Direct $ Composition'!$H120,'Other Tables'!$B$36:$B$41,0),)*AC$96</f>
        <v>117.70847184764177</v>
      </c>
      <c r="AD120" s="6">
        <f>SUMIF($H$7:$H$95,$H120,AD$7:AD$95)+INDEX('Other Tables'!$L$36:$L$41,MATCH('Direct $ Composition'!$H120,'Other Tables'!$B$36:$B$41,0),)*AD$96</f>
        <v>0</v>
      </c>
      <c r="AE120" s="6">
        <f>SUMIF($H$7:$H$95,$H120,AE$7:AE$95)+INDEX('Other Tables'!$L$36:$L$41,MATCH('Direct $ Composition'!$H120,'Other Tables'!$B$36:$B$41,0),)*AE$96</f>
        <v>0</v>
      </c>
      <c r="AF120" s="6"/>
      <c r="AG120" s="6">
        <f t="shared" si="105"/>
        <v>1910.9634411940297</v>
      </c>
      <c r="AH120" s="6">
        <f t="shared" si="106"/>
        <v>7582.860649550561</v>
      </c>
      <c r="AI120" s="6">
        <f t="shared" si="107"/>
        <v>8265.1056077499034</v>
      </c>
      <c r="AJ120" s="6">
        <f t="shared" si="108"/>
        <v>0</v>
      </c>
      <c r="AK120" s="6">
        <f t="shared" si="109"/>
        <v>0</v>
      </c>
      <c r="AM120" s="14">
        <f t="shared" si="110"/>
        <v>17758.929698494496</v>
      </c>
    </row>
    <row r="121" spans="2:39" x14ac:dyDescent="0.3">
      <c r="B121" s="160" t="s">
        <v>146</v>
      </c>
      <c r="E121" s="8"/>
      <c r="F121" s="160"/>
      <c r="G121" s="8"/>
      <c r="H121" s="8"/>
      <c r="I121" s="25">
        <f>SUM(I119:I120)</f>
        <v>854.1302829850747</v>
      </c>
      <c r="J121" s="25">
        <f>SUM(J119:J120)</f>
        <v>14544.134902261711</v>
      </c>
      <c r="K121" s="25">
        <f>SUM(K119:K120)</f>
        <v>10746.611574756716</v>
      </c>
      <c r="L121" s="25">
        <f>SUM(L119:L120)</f>
        <v>0</v>
      </c>
      <c r="M121" s="25">
        <f>SUM(M119:M120)</f>
        <v>0</v>
      </c>
      <c r="N121" s="6"/>
      <c r="O121" s="25">
        <f>SUM(O119:O120)</f>
        <v>204.44666567164174</v>
      </c>
      <c r="P121" s="25">
        <f>SUM(P119:P120)</f>
        <v>4297.8387237990455</v>
      </c>
      <c r="Q121" s="25">
        <f>SUM(Q119:Q120)</f>
        <v>3161.7015491035381</v>
      </c>
      <c r="R121" s="25">
        <f>SUM(R119:R120)</f>
        <v>0</v>
      </c>
      <c r="S121" s="25">
        <f>SUM(S119:S120)</f>
        <v>0</v>
      </c>
      <c r="T121" s="6"/>
      <c r="U121" s="25">
        <f>SUM(U119:U120)</f>
        <v>734.74843283582072</v>
      </c>
      <c r="V121" s="25">
        <f>SUM(V119:V120)</f>
        <v>7970.7369145271186</v>
      </c>
      <c r="W121" s="25">
        <f>SUM(W119:W120)</f>
        <v>2468.1488661500803</v>
      </c>
      <c r="X121" s="25">
        <f>SUM(X119:X120)</f>
        <v>0</v>
      </c>
      <c r="Y121" s="25">
        <f>SUM(Y119:Y120)</f>
        <v>0</v>
      </c>
      <c r="Z121" s="6"/>
      <c r="AA121" s="25">
        <f>SUM(AA119:AA120)</f>
        <v>117.63805970149251</v>
      </c>
      <c r="AB121" s="25">
        <f>SUM(AB119:AB120)</f>
        <v>2119.265630308767</v>
      </c>
      <c r="AC121" s="25">
        <f>SUM(AC119:AC120)</f>
        <v>1958.9406766406908</v>
      </c>
      <c r="AD121" s="25">
        <f>SUM(AD119:AD120)</f>
        <v>0</v>
      </c>
      <c r="AE121" s="25">
        <f>SUM(AE119:AE120)</f>
        <v>0</v>
      </c>
      <c r="AF121" s="6"/>
      <c r="AG121" s="25">
        <f>I121+O121+U121+AA121</f>
        <v>1910.9634411940297</v>
      </c>
      <c r="AH121" s="25">
        <f>J121+P121+V121+AB121</f>
        <v>28931.976170896643</v>
      </c>
      <c r="AI121" s="25">
        <f>K121+Q121+W121+AC121</f>
        <v>18335.402666651025</v>
      </c>
      <c r="AJ121" s="25">
        <f>L121+R121+X121+AD121</f>
        <v>0</v>
      </c>
      <c r="AK121" s="25">
        <f>M121+S121+Y121+AE121</f>
        <v>0</v>
      </c>
      <c r="AM121" s="21">
        <f>SUM(AM119:AM120)</f>
        <v>49178.342278741693</v>
      </c>
    </row>
    <row r="122" spans="2:39" x14ac:dyDescent="0.3">
      <c r="B122" s="8" t="s">
        <v>42</v>
      </c>
      <c r="E122" s="8"/>
      <c r="F122" s="8"/>
      <c r="G122" s="8"/>
      <c r="H122" s="8"/>
      <c r="N122" s="6"/>
    </row>
    <row r="123" spans="2:39" x14ac:dyDescent="0.3">
      <c r="B123" s="160" t="s">
        <v>63</v>
      </c>
      <c r="E123" s="8"/>
      <c r="F123" s="160"/>
      <c r="G123" s="8"/>
      <c r="H123" s="8" t="s">
        <v>271</v>
      </c>
      <c r="I123" s="6">
        <f>SUMIF($H$7:$H$95,$H123,I$7:I$95)+INDEX('Other Tables'!$L$36:$L$41,MATCH('Direct $ Composition'!$H123,'Other Tables'!$B$36:$B$41,0),)*I$96</f>
        <v>1004.9530354699455</v>
      </c>
      <c r="J123" s="6">
        <f>SUMIF($H$7:$H$95,$H123,J$7:J$95)+INDEX('Other Tables'!$L$36:$L$41,MATCH('Direct $ Composition'!$H123,'Other Tables'!$B$36:$B$41,0),)*J$96</f>
        <v>5611.2054839895773</v>
      </c>
      <c r="K123" s="6">
        <f>SUMIF($H$7:$H$95,$H123,K$7:K$95)+INDEX('Other Tables'!$L$36:$L$41,MATCH('Direct $ Composition'!$H123,'Other Tables'!$B$36:$B$41,0),)*K$96</f>
        <v>2743.6937855045021</v>
      </c>
      <c r="L123" s="6">
        <f>SUMIF($H$7:$H$95,$H123,L$7:L$95)+INDEX('Other Tables'!$L$36:$L$41,MATCH('Direct $ Composition'!$H123,'Other Tables'!$B$36:$B$41,0),)*L$96</f>
        <v>0</v>
      </c>
      <c r="M123" s="6">
        <f>SUMIF($H$7:$H$95,$H123,M$7:M$95)+INDEX('Other Tables'!$L$36:$L$41,MATCH('Direct $ Composition'!$H123,'Other Tables'!$B$36:$B$41,0),)*M$96</f>
        <v>0</v>
      </c>
      <c r="N123" s="6"/>
      <c r="O123" s="6">
        <f>SUMIF($H$7:$H$95,$H123,O$7:O$95)+INDEX('Other Tables'!$L$36:$L$41,MATCH('Direct $ Composition'!$H123,'Other Tables'!$B$36:$B$41,0),)*O$96</f>
        <v>291.31600981949043</v>
      </c>
      <c r="P123" s="6">
        <f>SUMIF($H$7:$H$95,$H123,P$7:P$95)+INDEX('Other Tables'!$L$36:$L$41,MATCH('Direct $ Composition'!$H123,'Other Tables'!$B$36:$B$41,0),)*P$96</f>
        <v>1207.956065251564</v>
      </c>
      <c r="Q123" s="6">
        <f>SUMIF($H$7:$H$95,$H123,Q$7:Q$95)+INDEX('Other Tables'!$L$36:$L$41,MATCH('Direct $ Composition'!$H123,'Other Tables'!$B$36:$B$41,0),)*Q$96</f>
        <v>500.42573475096304</v>
      </c>
      <c r="R123" s="6">
        <f>SUMIF($H$7:$H$95,$H123,R$7:R$95)+INDEX('Other Tables'!$L$36:$L$41,MATCH('Direct $ Composition'!$H123,'Other Tables'!$B$36:$B$41,0),)*R$96</f>
        <v>49.684731368207643</v>
      </c>
      <c r="S123" s="6">
        <f>SUMIF($H$7:$H$95,$H123,S$7:S$95)+INDEX('Other Tables'!$L$36:$L$41,MATCH('Direct $ Composition'!$H123,'Other Tables'!$B$36:$B$41,0),)*S$96</f>
        <v>0</v>
      </c>
      <c r="T123" s="6"/>
      <c r="U123" s="6">
        <f>SUMIF($H$7:$H$95,$H123,U$7:U$95)+INDEX('Other Tables'!$L$36:$L$41,MATCH('Direct $ Composition'!$H123,'Other Tables'!$B$36:$B$41,0),)*U$96</f>
        <v>706.4682514108099</v>
      </c>
      <c r="V123" s="6">
        <f>SUMIF($H$7:$H$95,$H123,V$7:V$95)+INDEX('Other Tables'!$L$36:$L$41,MATCH('Direct $ Composition'!$H123,'Other Tables'!$B$36:$B$41,0),)*V$96</f>
        <v>3699.8069424031232</v>
      </c>
      <c r="W123" s="6">
        <f>SUMIF($H$7:$H$95,$H123,W$7:W$95)+INDEX('Other Tables'!$L$36:$L$41,MATCH('Direct $ Composition'!$H123,'Other Tables'!$B$36:$B$41,0),)*W$96</f>
        <v>1441.1054286711792</v>
      </c>
      <c r="X123" s="6">
        <f>SUMIF($H$7:$H$95,$H123,X$7:X$95)+INDEX('Other Tables'!$L$36:$L$41,MATCH('Direct $ Composition'!$H123,'Other Tables'!$B$36:$B$41,0),)*X$96</f>
        <v>0</v>
      </c>
      <c r="Y123" s="6">
        <f>SUMIF($H$7:$H$95,$H123,Y$7:Y$95)+INDEX('Other Tables'!$L$36:$L$41,MATCH('Direct $ Composition'!$H123,'Other Tables'!$B$36:$B$41,0),)*Y$96</f>
        <v>0</v>
      </c>
      <c r="Z123" s="6"/>
      <c r="AA123" s="6">
        <f>SUMIF($H$7:$H$95,$H123,AA$7:AA$95)+INDEX('Other Tables'!$L$36:$L$41,MATCH('Direct $ Composition'!$H123,'Other Tables'!$B$36:$B$41,0),)*AA$96</f>
        <v>71.198394910699989</v>
      </c>
      <c r="AB123" s="6">
        <f>SUMIF($H$7:$H$95,$H123,AB$7:AB$95)+INDEX('Other Tables'!$L$36:$L$41,MATCH('Direct $ Composition'!$H123,'Other Tables'!$B$36:$B$41,0),)*AB$96</f>
        <v>701.87717201413602</v>
      </c>
      <c r="AC123" s="6">
        <f>SUMIF($H$7:$H$95,$H123,AC$7:AC$95)+INDEX('Other Tables'!$L$36:$L$41,MATCH('Direct $ Composition'!$H123,'Other Tables'!$B$36:$B$41,0),)*AC$96</f>
        <v>355.68501496365059</v>
      </c>
      <c r="AD123" s="6">
        <f>SUMIF($H$7:$H$95,$H123,AD$7:AD$95)+INDEX('Other Tables'!$L$36:$L$41,MATCH('Direct $ Composition'!$H123,'Other Tables'!$B$36:$B$41,0),)*AD$96</f>
        <v>0</v>
      </c>
      <c r="AE123" s="6">
        <f>SUMIF($H$7:$H$95,$H123,AE$7:AE$95)+INDEX('Other Tables'!$L$36:$L$41,MATCH('Direct $ Composition'!$H123,'Other Tables'!$B$36:$B$41,0),)*AE$96</f>
        <v>0</v>
      </c>
      <c r="AF123" s="6"/>
      <c r="AG123" s="6">
        <f t="shared" si="105"/>
        <v>2073.9356916109455</v>
      </c>
      <c r="AH123" s="6">
        <f t="shared" si="106"/>
        <v>11220.8456636584</v>
      </c>
      <c r="AI123" s="6">
        <f t="shared" si="107"/>
        <v>5040.9099638902944</v>
      </c>
      <c r="AJ123" s="6">
        <f t="shared" si="108"/>
        <v>49.684731368207643</v>
      </c>
      <c r="AK123" s="6">
        <f t="shared" si="109"/>
        <v>0</v>
      </c>
      <c r="AM123" s="14">
        <f t="shared" si="110"/>
        <v>18385.376050527848</v>
      </c>
    </row>
    <row r="124" spans="2:39" x14ac:dyDescent="0.3">
      <c r="B124" s="160" t="s">
        <v>65</v>
      </c>
      <c r="E124" s="8"/>
      <c r="F124" s="160"/>
      <c r="G124" s="8"/>
      <c r="H124" s="8" t="s">
        <v>270</v>
      </c>
      <c r="I124" s="6">
        <f>SUMIF($H$7:$H$95,$H124,I$7:I$95)+INDEX('Other Tables'!$L$36:$L$41,MATCH('Direct $ Composition'!$H124,'Other Tables'!$B$36:$B$41,0),)*I$96</f>
        <v>0</v>
      </c>
      <c r="J124" s="6">
        <f>SUMIF($H$7:$H$95,$H124,J$7:J$95)+INDEX('Other Tables'!$L$36:$L$41,MATCH('Direct $ Composition'!$H124,'Other Tables'!$B$36:$B$41,0),)*J$96</f>
        <v>1199.3767499999999</v>
      </c>
      <c r="K124" s="6">
        <f>SUMIF($H$7:$H$95,$H124,K$7:K$95)+INDEX('Other Tables'!$L$36:$L$41,MATCH('Direct $ Composition'!$H124,'Other Tables'!$B$36:$B$41,0),)*K$96</f>
        <v>3598.1302500000002</v>
      </c>
      <c r="L124" s="6">
        <f>SUMIF($H$7:$H$95,$H124,L$7:L$95)+INDEX('Other Tables'!$L$36:$L$41,MATCH('Direct $ Composition'!$H124,'Other Tables'!$B$36:$B$41,0),)*L$96</f>
        <v>0</v>
      </c>
      <c r="M124" s="6">
        <f>SUMIF($H$7:$H$95,$H124,M$7:M$95)+INDEX('Other Tables'!$L$36:$L$41,MATCH('Direct $ Composition'!$H124,'Other Tables'!$B$36:$B$41,0),)*M$96</f>
        <v>0</v>
      </c>
      <c r="N124" s="6"/>
      <c r="O124" s="6">
        <f>SUMIF($H$7:$H$95,$H124,O$7:O$95)+INDEX('Other Tables'!$L$36:$L$41,MATCH('Direct $ Composition'!$H124,'Other Tables'!$B$36:$B$41,0),)*O$96</f>
        <v>0</v>
      </c>
      <c r="P124" s="6">
        <f>SUMIF($H$7:$H$95,$H124,P$7:P$95)+INDEX('Other Tables'!$L$36:$L$41,MATCH('Direct $ Composition'!$H124,'Other Tables'!$B$36:$B$41,0),)*P$96</f>
        <v>298.79149999999998</v>
      </c>
      <c r="Q124" s="6">
        <f>SUMIF($H$7:$H$95,$H124,Q$7:Q$95)+INDEX('Other Tables'!$L$36:$L$41,MATCH('Direct $ Composition'!$H124,'Other Tables'!$B$36:$B$41,0),)*Q$96</f>
        <v>554.89850000000001</v>
      </c>
      <c r="R124" s="6">
        <f>SUMIF($H$7:$H$95,$H124,R$7:R$95)+INDEX('Other Tables'!$L$36:$L$41,MATCH('Direct $ Composition'!$H124,'Other Tables'!$B$36:$B$41,0),)*R$96</f>
        <v>0</v>
      </c>
      <c r="S124" s="6">
        <f>SUMIF($H$7:$H$95,$H124,S$7:S$95)+INDEX('Other Tables'!$L$36:$L$41,MATCH('Direct $ Composition'!$H124,'Other Tables'!$B$36:$B$41,0),)*S$96</f>
        <v>0</v>
      </c>
      <c r="T124" s="6"/>
      <c r="U124" s="6">
        <f>SUMIF($H$7:$H$95,$H124,U$7:U$95)+INDEX('Other Tables'!$L$36:$L$41,MATCH('Direct $ Composition'!$H124,'Other Tables'!$B$36:$B$41,0),)*U$96</f>
        <v>0</v>
      </c>
      <c r="V124" s="6">
        <f>SUMIF($H$7:$H$95,$H124,V$7:V$95)+INDEX('Other Tables'!$L$36:$L$41,MATCH('Direct $ Composition'!$H124,'Other Tables'!$B$36:$B$41,0),)*V$96</f>
        <v>638.98400000000004</v>
      </c>
      <c r="W124" s="6">
        <f>SUMIF($H$7:$H$95,$H124,W$7:W$95)+INDEX('Other Tables'!$L$36:$L$41,MATCH('Direct $ Composition'!$H124,'Other Tables'!$B$36:$B$41,0),)*W$96</f>
        <v>1016.9519999999999</v>
      </c>
      <c r="X124" s="6">
        <f>SUMIF($H$7:$H$95,$H124,X$7:X$95)+INDEX('Other Tables'!$L$36:$L$41,MATCH('Direct $ Composition'!$H124,'Other Tables'!$B$36:$B$41,0),)*X$96</f>
        <v>0</v>
      </c>
      <c r="Y124" s="6">
        <f>SUMIF($H$7:$H$95,$H124,Y$7:Y$95)+INDEX('Other Tables'!$L$36:$L$41,MATCH('Direct $ Composition'!$H124,'Other Tables'!$B$36:$B$41,0),)*Y$96</f>
        <v>0</v>
      </c>
      <c r="Z124" s="6"/>
      <c r="AA124" s="6">
        <f>SUMIF($H$7:$H$95,$H124,AA$7:AA$95)+INDEX('Other Tables'!$L$36:$L$41,MATCH('Direct $ Composition'!$H124,'Other Tables'!$B$36:$B$41,0),)*AA$96</f>
        <v>0</v>
      </c>
      <c r="AB124" s="6">
        <f>SUMIF($H$7:$H$95,$H124,AB$7:AB$95)+INDEX('Other Tables'!$L$36:$L$41,MATCH('Direct $ Composition'!$H124,'Other Tables'!$B$36:$B$41,0),)*AB$96</f>
        <v>152.40919375000001</v>
      </c>
      <c r="AC124" s="6">
        <f>SUMIF($H$7:$H$95,$H124,AC$7:AC$95)+INDEX('Other Tables'!$L$36:$L$41,MATCH('Direct $ Composition'!$H124,'Other Tables'!$B$36:$B$41,0),)*AC$96</f>
        <v>457.22758125000007</v>
      </c>
      <c r="AD124" s="6">
        <f>SUMIF($H$7:$H$95,$H124,AD$7:AD$95)+INDEX('Other Tables'!$L$36:$L$41,MATCH('Direct $ Composition'!$H124,'Other Tables'!$B$36:$B$41,0),)*AD$96</f>
        <v>0</v>
      </c>
      <c r="AE124" s="6">
        <f>SUMIF($H$7:$H$95,$H124,AE$7:AE$95)+INDEX('Other Tables'!$L$36:$L$41,MATCH('Direct $ Composition'!$H124,'Other Tables'!$B$36:$B$41,0),)*AE$96</f>
        <v>0</v>
      </c>
      <c r="AF124" s="6"/>
      <c r="AG124" s="6">
        <f t="shared" ref="AG124" si="111">I124+O124+U124+AA124</f>
        <v>0</v>
      </c>
      <c r="AH124" s="6">
        <f t="shared" ref="AH124" si="112">J124+P124+V124+AB124</f>
        <v>2289.5614437500003</v>
      </c>
      <c r="AI124" s="6">
        <f t="shared" ref="AI124" si="113">K124+Q124+W124+AC124</f>
        <v>5627.2083312500008</v>
      </c>
      <c r="AJ124" s="6">
        <f t="shared" ref="AJ124" si="114">L124+R124+X124+AD124</f>
        <v>0</v>
      </c>
      <c r="AK124" s="6">
        <f t="shared" ref="AK124" si="115">M124+S124+Y124+AE124</f>
        <v>0</v>
      </c>
      <c r="AM124" s="14">
        <f t="shared" si="110"/>
        <v>7916.7697750000007</v>
      </c>
    </row>
    <row r="125" spans="2:39" x14ac:dyDescent="0.3">
      <c r="B125" s="160" t="s">
        <v>146</v>
      </c>
      <c r="E125" s="8"/>
      <c r="F125" s="160"/>
      <c r="G125" s="8"/>
      <c r="H125" s="8"/>
      <c r="I125" s="25">
        <f>SUM(I123:I124)</f>
        <v>1004.9530354699455</v>
      </c>
      <c r="J125" s="25">
        <f>SUM(J123:J124)</f>
        <v>6810.5822339895767</v>
      </c>
      <c r="K125" s="25">
        <f>SUM(K123:K124)</f>
        <v>6341.8240355045018</v>
      </c>
      <c r="L125" s="25">
        <f>SUM(L123:L124)</f>
        <v>0</v>
      </c>
      <c r="M125" s="25">
        <f>SUM(M123:M124)</f>
        <v>0</v>
      </c>
      <c r="N125" s="6"/>
      <c r="O125" s="25">
        <f>SUM(O123:O124)</f>
        <v>291.31600981949043</v>
      </c>
      <c r="P125" s="25">
        <f>SUM(P123:P124)</f>
        <v>1506.7475652515641</v>
      </c>
      <c r="Q125" s="25">
        <f>SUM(Q123:Q124)</f>
        <v>1055.3242347509631</v>
      </c>
      <c r="R125" s="25">
        <f>SUM(R123:R124)</f>
        <v>49.684731368207643</v>
      </c>
      <c r="S125" s="25">
        <f>SUM(S123:S124)</f>
        <v>0</v>
      </c>
      <c r="T125" s="6"/>
      <c r="U125" s="25">
        <f>SUM(U123:U124)</f>
        <v>706.4682514108099</v>
      </c>
      <c r="V125" s="25">
        <f>SUM(V123:V124)</f>
        <v>4338.7909424031232</v>
      </c>
      <c r="W125" s="25">
        <f>SUM(W123:W124)</f>
        <v>2458.057428671179</v>
      </c>
      <c r="X125" s="25">
        <f>SUM(X123:X124)</f>
        <v>0</v>
      </c>
      <c r="Y125" s="25">
        <f>SUM(Y123:Y124)</f>
        <v>0</v>
      </c>
      <c r="Z125" s="6"/>
      <c r="AA125" s="25">
        <f>SUM(AA123:AA124)</f>
        <v>71.198394910699989</v>
      </c>
      <c r="AB125" s="25">
        <f>SUM(AB123:AB124)</f>
        <v>854.28636576413601</v>
      </c>
      <c r="AC125" s="25">
        <f>SUM(AC123:AC124)</f>
        <v>812.91259621365066</v>
      </c>
      <c r="AD125" s="25">
        <f>SUM(AD123:AD124)</f>
        <v>0</v>
      </c>
      <c r="AE125" s="25">
        <f>SUM(AE123:AE124)</f>
        <v>0</v>
      </c>
      <c r="AF125" s="6"/>
      <c r="AG125" s="25">
        <f>I125+O125+U125+AA125</f>
        <v>2073.9356916109455</v>
      </c>
      <c r="AH125" s="25">
        <f>J125+P125+V125+AB125</f>
        <v>13510.407107408399</v>
      </c>
      <c r="AI125" s="25">
        <f>K125+Q125+W125+AC125</f>
        <v>10668.118295140295</v>
      </c>
      <c r="AJ125" s="25">
        <f>L125+R125+X125+AD125</f>
        <v>49.684731368207643</v>
      </c>
      <c r="AK125" s="25">
        <f>M125+S125+Y125+AE125</f>
        <v>0</v>
      </c>
      <c r="AM125" s="21">
        <f>SUM(AM123:AM124)</f>
        <v>26302.145825527849</v>
      </c>
    </row>
    <row r="126" spans="2:39" x14ac:dyDescent="0.3">
      <c r="B126" s="192" t="s">
        <v>103</v>
      </c>
      <c r="E126" s="8"/>
      <c r="F126" s="160"/>
      <c r="G126" s="8"/>
      <c r="H126" s="8"/>
      <c r="I126" s="161"/>
      <c r="J126" s="161"/>
      <c r="K126" s="161"/>
      <c r="L126" s="161"/>
      <c r="M126" s="161"/>
      <c r="N126" s="6"/>
      <c r="O126" s="193"/>
      <c r="P126" s="193"/>
      <c r="Q126" s="193"/>
      <c r="R126" s="193"/>
      <c r="S126" s="193"/>
      <c r="T126" s="6"/>
      <c r="U126" s="193"/>
      <c r="V126" s="193"/>
      <c r="W126" s="193"/>
      <c r="X126" s="193"/>
      <c r="Y126" s="193"/>
      <c r="Z126" s="6"/>
      <c r="AA126" s="193"/>
      <c r="AB126" s="193"/>
      <c r="AC126" s="193"/>
      <c r="AD126" s="193"/>
      <c r="AE126" s="193"/>
      <c r="AF126" s="6"/>
      <c r="AG126" s="193"/>
      <c r="AH126" s="193"/>
      <c r="AI126" s="193"/>
      <c r="AJ126" s="193"/>
      <c r="AK126" s="193"/>
      <c r="AM126" s="194"/>
    </row>
    <row r="127" spans="2:39" x14ac:dyDescent="0.3">
      <c r="B127" s="160" t="s">
        <v>273</v>
      </c>
      <c r="E127" s="8"/>
      <c r="F127" s="160"/>
      <c r="G127" s="8"/>
      <c r="H127" s="8" t="s">
        <v>293</v>
      </c>
      <c r="I127" s="6">
        <f t="shared" ref="I127:M128" si="116">SUMIF($H$7:$H$95,$H127,I$7:I$95)</f>
        <v>0</v>
      </c>
      <c r="J127" s="6">
        <f t="shared" si="116"/>
        <v>0</v>
      </c>
      <c r="K127" s="6">
        <f t="shared" si="116"/>
        <v>0</v>
      </c>
      <c r="L127" s="6">
        <f t="shared" si="116"/>
        <v>0</v>
      </c>
      <c r="M127" s="6">
        <f t="shared" si="116"/>
        <v>0</v>
      </c>
      <c r="N127" s="161"/>
      <c r="O127" s="161">
        <f>SUMIF($H$7:$H$95,$H127,O$7:O$95)</f>
        <v>0</v>
      </c>
      <c r="P127" s="161">
        <f>SUMIF($H$7:$H$95,$H127,P$7:P$95)</f>
        <v>0</v>
      </c>
      <c r="Q127" s="161">
        <f>SUMIF($H$7:$H$95,$H127,Q$7:Q$95)</f>
        <v>0</v>
      </c>
      <c r="R127" s="161">
        <f>SUMIF($H$7:$H$95,$H127,R$7:R$95)</f>
        <v>0</v>
      </c>
      <c r="S127" s="161">
        <f>SUMIF($H$7:$H$95,$H127,S$7:S$95)</f>
        <v>0</v>
      </c>
      <c r="T127" s="161"/>
      <c r="U127" s="161">
        <f>SUMIF($H$7:$H$95,$H127,U$7:U$95)</f>
        <v>0</v>
      </c>
      <c r="V127" s="161">
        <f>SUMIF($H$7:$H$95,$H127,V$7:V$95)</f>
        <v>0</v>
      </c>
      <c r="W127" s="161">
        <f>SUMIF($H$7:$H$95,$H127,W$7:W$95)</f>
        <v>0</v>
      </c>
      <c r="X127" s="161">
        <f>SUMIF($H$7:$H$95,$H127,X$7:X$95)</f>
        <v>0</v>
      </c>
      <c r="Y127" s="161">
        <f>SUMIF($H$7:$H$95,$H127,Y$7:Y$95)</f>
        <v>0</v>
      </c>
      <c r="Z127" s="161"/>
      <c r="AA127" s="161">
        <f t="shared" ref="AA127:AE128" si="117">SUMIF($H$7:$H$95,$H127,AA$7:AA$95)</f>
        <v>0</v>
      </c>
      <c r="AB127" s="161">
        <f t="shared" si="117"/>
        <v>0</v>
      </c>
      <c r="AC127" s="161">
        <f t="shared" si="117"/>
        <v>0</v>
      </c>
      <c r="AD127" s="161">
        <f t="shared" si="117"/>
        <v>0</v>
      </c>
      <c r="AE127" s="161">
        <f t="shared" si="117"/>
        <v>0</v>
      </c>
      <c r="AF127" s="161"/>
      <c r="AG127" s="6">
        <f t="shared" ref="AG127" si="118">I127+O127+U127+AA127</f>
        <v>0</v>
      </c>
      <c r="AH127" s="6">
        <f t="shared" ref="AH127" si="119">J127+P127+V127+AB127</f>
        <v>0</v>
      </c>
      <c r="AI127" s="6">
        <f t="shared" ref="AI127" si="120">K127+Q127+W127+AC127</f>
        <v>0</v>
      </c>
      <c r="AJ127" s="6">
        <f t="shared" ref="AJ127" si="121">L127+R127+X127+AD127</f>
        <v>0</v>
      </c>
      <c r="AK127" s="6">
        <f t="shared" ref="AK127" si="122">M127+S127+Y127+AE127</f>
        <v>0</v>
      </c>
      <c r="AL127" s="175"/>
      <c r="AM127" s="174">
        <f t="shared" ref="AM127:AM128" si="123">SUM(AG127:AK127)</f>
        <v>0</v>
      </c>
    </row>
    <row r="128" spans="2:39" x14ac:dyDescent="0.3">
      <c r="B128" s="160" t="s">
        <v>93</v>
      </c>
      <c r="E128" s="8"/>
      <c r="F128" s="160"/>
      <c r="G128" s="8"/>
      <c r="H128" s="20" t="s">
        <v>292</v>
      </c>
      <c r="I128" s="6">
        <f t="shared" si="116"/>
        <v>0</v>
      </c>
      <c r="J128" s="6">
        <f t="shared" si="116"/>
        <v>225.01</v>
      </c>
      <c r="K128" s="6">
        <f t="shared" si="116"/>
        <v>370.02</v>
      </c>
      <c r="L128" s="6">
        <f t="shared" si="116"/>
        <v>0</v>
      </c>
      <c r="M128" s="6">
        <f t="shared" si="116"/>
        <v>0</v>
      </c>
      <c r="N128" s="6"/>
      <c r="O128" s="161">
        <f t="shared" ref="O128:U128" si="124">SUMIF($H$7:$H$95,$H128,O$7:O$95)</f>
        <v>0</v>
      </c>
      <c r="P128" s="161">
        <f>SUMIF($H$7:$H$95,$H128,P$7:P$95)</f>
        <v>0</v>
      </c>
      <c r="Q128" s="161">
        <f>SUMIF($H$7:$H$95,$H128,Q$7:Q$95)</f>
        <v>0</v>
      </c>
      <c r="R128" s="161">
        <f>SUMIF($H$7:$H$95,$H128,R$7:R$95)</f>
        <v>0</v>
      </c>
      <c r="S128" s="161">
        <f>SUMIF($H$7:$H$95,$H128,S$7:S$95)</f>
        <v>0</v>
      </c>
      <c r="T128" s="6"/>
      <c r="U128" s="161">
        <f t="shared" si="124"/>
        <v>0</v>
      </c>
      <c r="V128" s="161">
        <f>SUMIF($H$7:$H$95,$H128,V$7:V$95)</f>
        <v>0</v>
      </c>
      <c r="W128" s="161">
        <f>SUMIF($H$7:$H$95,$H128,W$7:W$95)</f>
        <v>0</v>
      </c>
      <c r="X128" s="161">
        <f>SUMIF($H$7:$H$95,$H128,X$7:X$95)</f>
        <v>0</v>
      </c>
      <c r="Y128" s="161">
        <f>SUMIF($H$7:$H$95,$H128,Y$7:Y$95)</f>
        <v>0</v>
      </c>
      <c r="Z128" s="6"/>
      <c r="AA128" s="161">
        <f t="shared" si="117"/>
        <v>0</v>
      </c>
      <c r="AB128" s="161">
        <f t="shared" si="117"/>
        <v>0</v>
      </c>
      <c r="AC128" s="161">
        <f t="shared" si="117"/>
        <v>0</v>
      </c>
      <c r="AD128" s="161">
        <f t="shared" si="117"/>
        <v>0</v>
      </c>
      <c r="AE128" s="161">
        <f t="shared" si="117"/>
        <v>0</v>
      </c>
      <c r="AF128" s="6"/>
      <c r="AG128" s="6">
        <f t="shared" ref="AG128" si="125">I128+O128+U128+AA128</f>
        <v>0</v>
      </c>
      <c r="AH128" s="6">
        <f t="shared" ref="AH128" si="126">J128+P128+V128+AB128</f>
        <v>225.01</v>
      </c>
      <c r="AI128" s="6">
        <f t="shared" ref="AI128" si="127">K128+Q128+W128+AC128</f>
        <v>370.02</v>
      </c>
      <c r="AJ128" s="6">
        <f t="shared" ref="AJ128" si="128">L128+R128+X128+AD128</f>
        <v>0</v>
      </c>
      <c r="AK128" s="6">
        <f t="shared" ref="AK128" si="129">M128+S128+Y128+AE128</f>
        <v>0</v>
      </c>
      <c r="AM128" s="14">
        <f t="shared" si="123"/>
        <v>595.03</v>
      </c>
    </row>
    <row r="129" spans="2:39" x14ac:dyDescent="0.3">
      <c r="B129" s="160" t="s">
        <v>291</v>
      </c>
      <c r="E129" s="8"/>
      <c r="F129" s="160"/>
      <c r="G129" s="8"/>
      <c r="H129" s="20" t="s">
        <v>294</v>
      </c>
      <c r="I129" s="161">
        <f>SUMIF($H$7:$H$95,$H129,I$7:I$95)+INDEX('Other Tables'!$L$36:$L$42,MATCH('Direct $ Composition'!$H129,'Other Tables'!$B$36:$B$42,0),)*I$96</f>
        <v>0</v>
      </c>
      <c r="J129" s="161">
        <f>SUMIF($H$7:$H$95,$H129,J$7:J$95)+INDEX('Other Tables'!$L$36:$L$42,MATCH('Direct $ Composition'!$H129,'Other Tables'!$B$36:$B$42,0),)*J$96</f>
        <v>0</v>
      </c>
      <c r="K129" s="161">
        <f>SUMIF($H$7:$H$95,$H129,K$7:K$95)+INDEX('Other Tables'!$L$36:$L$42,MATCH('Direct $ Composition'!$H129,'Other Tables'!$B$36:$B$42,0),)*K$96</f>
        <v>0</v>
      </c>
      <c r="L129" s="161">
        <f>SUMIF($H$7:$H$95,$H129,L$7:L$95)+INDEX('Other Tables'!$L$36:$L$42,MATCH('Direct $ Composition'!$H129,'Other Tables'!$B$36:$B$42,0),)*L$96</f>
        <v>0</v>
      </c>
      <c r="M129" s="161">
        <f>SUMIF($H$7:$H$95,$H129,M$7:M$95)+INDEX('Other Tables'!$L$36:$L$42,MATCH('Direct $ Composition'!$H129,'Other Tables'!$B$36:$B$42,0),)*M$96</f>
        <v>0</v>
      </c>
      <c r="N129" s="6"/>
      <c r="O129" s="161">
        <f>SUMIF($H$7:$H$95,$H129,O$7:O$95)+INDEX('Other Tables'!$L$36:$L$42,MATCH('Direct $ Composition'!$H129,'Other Tables'!$B$36:$B$42,0),)*O$96</f>
        <v>0</v>
      </c>
      <c r="P129" s="161">
        <f>SUMIF($H$7:$H$95,$H129,P$7:P$95)+INDEX('Other Tables'!$L$36:$L$42,MATCH('Direct $ Composition'!$H129,'Other Tables'!$B$36:$B$42,0),)*P$96</f>
        <v>0.16228946823993218</v>
      </c>
      <c r="Q129" s="161">
        <f>SUMIF($H$7:$H$95,$H129,Q$7:Q$95)+INDEX('Other Tables'!$L$36:$L$42,MATCH('Direct $ Composition'!$H129,'Other Tables'!$B$36:$B$42,0),)*Q$96</f>
        <v>0</v>
      </c>
      <c r="R129" s="161">
        <f>SUMIF($H$7:$H$95,$H129,R$7:R$95)+INDEX('Other Tables'!$L$36:$L$42,MATCH('Direct $ Composition'!$H129,'Other Tables'!$B$36:$B$42,0),)*R$96</f>
        <v>0</v>
      </c>
      <c r="S129" s="161">
        <f>SUMIF($H$7:$H$95,$H129,S$7:S$95)+INDEX('Other Tables'!$L$36:$L$42,MATCH('Direct $ Composition'!$H129,'Other Tables'!$B$36:$B$42,0),)*S$96</f>
        <v>0</v>
      </c>
      <c r="T129" s="6"/>
      <c r="U129" s="161">
        <f>SUMIF($H$7:$H$95,$H129,U$7:U$95)+INDEX('Other Tables'!$L$36:$L$42,MATCH('Direct $ Composition'!$H129,'Other Tables'!$B$36:$B$42,0),)*U$96</f>
        <v>0</v>
      </c>
      <c r="V129" s="161">
        <f>SUMIF($H$7:$H$95,$H129,V$7:V$95)+INDEX('Other Tables'!$L$36:$L$42,MATCH('Direct $ Composition'!$H129,'Other Tables'!$B$36:$B$42,0),)*V$96</f>
        <v>40.082016155775079</v>
      </c>
      <c r="W129" s="161">
        <f>SUMIF($H$7:$H$95,$H129,W$7:W$95)+INDEX('Other Tables'!$L$36:$L$42,MATCH('Direct $ Composition'!$H129,'Other Tables'!$B$36:$B$42,0),)*W$96</f>
        <v>0</v>
      </c>
      <c r="X129" s="161">
        <f>SUMIF($H$7:$H$95,$H129,X$7:X$95)+INDEX('Other Tables'!$L$36:$L$42,MATCH('Direct $ Composition'!$H129,'Other Tables'!$B$36:$B$42,0),)*X$96</f>
        <v>0</v>
      </c>
      <c r="Y129" s="161">
        <f>SUMIF($H$7:$H$95,$H129,Y$7:Y$95)+INDEX('Other Tables'!$L$36:$L$42,MATCH('Direct $ Composition'!$H129,'Other Tables'!$B$36:$B$42,0),)*Y$96</f>
        <v>0</v>
      </c>
      <c r="Z129" s="6"/>
      <c r="AA129" s="161">
        <f>SUMIF($H$7:$H$95,$H129,AA$7:AA$95)+INDEX('Other Tables'!$L$36:$L$42,MATCH('Direct $ Composition'!$H129,'Other Tables'!$B$36:$B$42,0),)*AA$96</f>
        <v>0</v>
      </c>
      <c r="AB129" s="161">
        <f>SUMIF($H$7:$H$95,$H129,AB$7:AB$95)+INDEX('Other Tables'!$L$36:$L$42,MATCH('Direct $ Composition'!$H129,'Other Tables'!$B$36:$B$42,0),)*AB$96</f>
        <v>0</v>
      </c>
      <c r="AC129" s="161">
        <f>SUMIF($H$7:$H$95,$H129,AC$7:AC$95)+INDEX('Other Tables'!$L$36:$L$42,MATCH('Direct $ Composition'!$H129,'Other Tables'!$B$36:$B$42,0),)*AC$96</f>
        <v>0</v>
      </c>
      <c r="AD129" s="161">
        <f>SUMIF($H$7:$H$95,$H129,AD$7:AD$95)+INDEX('Other Tables'!$L$36:$L$42,MATCH('Direct $ Composition'!$H129,'Other Tables'!$B$36:$B$42,0),)*AD$96</f>
        <v>0</v>
      </c>
      <c r="AE129" s="161">
        <f>SUMIF($H$7:$H$95,$H129,AE$7:AE$95)+INDEX('Other Tables'!$L$36:$L$42,MATCH('Direct $ Composition'!$H129,'Other Tables'!$B$36:$B$42,0),)*AE$96</f>
        <v>0</v>
      </c>
      <c r="AF129" s="6"/>
      <c r="AG129" s="6">
        <f t="shared" ref="AG129" si="130">I129+O129+U129+AA129</f>
        <v>0</v>
      </c>
      <c r="AH129" s="6">
        <f t="shared" ref="AH129" si="131">J129+P129+V129+AB129</f>
        <v>40.244305624015013</v>
      </c>
      <c r="AI129" s="6">
        <f t="shared" ref="AI129" si="132">K129+Q129+W129+AC129</f>
        <v>0</v>
      </c>
      <c r="AJ129" s="6">
        <f t="shared" ref="AJ129" si="133">L129+R129+X129+AD129</f>
        <v>0</v>
      </c>
      <c r="AK129" s="6">
        <f t="shared" ref="AK129" si="134">M129+S129+Y129+AE129</f>
        <v>0</v>
      </c>
      <c r="AM129" s="14">
        <f t="shared" ref="AM129" si="135">SUM(AG129:AK129)</f>
        <v>40.244305624015013</v>
      </c>
    </row>
    <row r="130" spans="2:39" x14ac:dyDescent="0.3">
      <c r="B130" s="160" t="s">
        <v>146</v>
      </c>
      <c r="E130" s="8"/>
      <c r="F130" s="160"/>
      <c r="G130" s="8"/>
      <c r="H130" s="8"/>
      <c r="I130" s="25">
        <f>SUM(I127:I129)</f>
        <v>0</v>
      </c>
      <c r="J130" s="25">
        <f t="shared" ref="J130:M130" si="136">SUM(J127:J129)</f>
        <v>225.01</v>
      </c>
      <c r="K130" s="25">
        <f t="shared" si="136"/>
        <v>370.02</v>
      </c>
      <c r="L130" s="25">
        <f t="shared" si="136"/>
        <v>0</v>
      </c>
      <c r="M130" s="25">
        <f t="shared" si="136"/>
        <v>0</v>
      </c>
      <c r="N130" s="6"/>
      <c r="O130" s="25">
        <f t="shared" ref="O130:S130" si="137">SUM(O127:O129)</f>
        <v>0</v>
      </c>
      <c r="P130" s="25">
        <f t="shared" si="137"/>
        <v>0.16228946823993218</v>
      </c>
      <c r="Q130" s="25">
        <f t="shared" si="137"/>
        <v>0</v>
      </c>
      <c r="R130" s="25">
        <f t="shared" si="137"/>
        <v>0</v>
      </c>
      <c r="S130" s="25">
        <f t="shared" si="137"/>
        <v>0</v>
      </c>
      <c r="T130" s="6"/>
      <c r="U130" s="25">
        <f t="shared" ref="U130:Y130" si="138">SUM(U127:U129)</f>
        <v>0</v>
      </c>
      <c r="V130" s="25">
        <f t="shared" si="138"/>
        <v>40.082016155775079</v>
      </c>
      <c r="W130" s="25">
        <f t="shared" si="138"/>
        <v>0</v>
      </c>
      <c r="X130" s="25">
        <f t="shared" si="138"/>
        <v>0</v>
      </c>
      <c r="Y130" s="25">
        <f t="shared" si="138"/>
        <v>0</v>
      </c>
      <c r="Z130" s="6"/>
      <c r="AA130" s="25">
        <f t="shared" ref="AA130:AE130" si="139">SUM(AA127:AA129)</f>
        <v>0</v>
      </c>
      <c r="AB130" s="25">
        <f t="shared" si="139"/>
        <v>0</v>
      </c>
      <c r="AC130" s="25">
        <f t="shared" si="139"/>
        <v>0</v>
      </c>
      <c r="AD130" s="25">
        <f t="shared" si="139"/>
        <v>0</v>
      </c>
      <c r="AE130" s="25">
        <f t="shared" si="139"/>
        <v>0</v>
      </c>
      <c r="AF130" s="6"/>
      <c r="AG130" s="25">
        <f t="shared" ref="AG130:AK130" si="140">SUM(AG127:AG129)</f>
        <v>0</v>
      </c>
      <c r="AH130" s="25">
        <f t="shared" si="140"/>
        <v>265.25430562401499</v>
      </c>
      <c r="AI130" s="25">
        <f t="shared" si="140"/>
        <v>370.02</v>
      </c>
      <c r="AJ130" s="25">
        <f t="shared" si="140"/>
        <v>0</v>
      </c>
      <c r="AK130" s="25">
        <f t="shared" si="140"/>
        <v>0</v>
      </c>
      <c r="AM130" s="25">
        <f>SUM(AM127:AM129)</f>
        <v>635.27430562401503</v>
      </c>
    </row>
    <row r="131" spans="2:39" x14ac:dyDescent="0.3">
      <c r="B131" s="42" t="s">
        <v>101</v>
      </c>
      <c r="E131" s="8"/>
      <c r="F131" s="8"/>
      <c r="I131" s="40">
        <f>I117+I121+I125+I130</f>
        <v>3282.3544181120501</v>
      </c>
      <c r="J131" s="40">
        <f t="shared" ref="J131:M131" si="141">J117+J121+J125+J130</f>
        <v>30108.082719589122</v>
      </c>
      <c r="K131" s="40">
        <f t="shared" si="141"/>
        <v>22431.510822142249</v>
      </c>
      <c r="L131" s="40">
        <f t="shared" si="141"/>
        <v>0</v>
      </c>
      <c r="M131" s="40">
        <f t="shared" si="141"/>
        <v>0</v>
      </c>
      <c r="N131" s="6"/>
      <c r="O131" s="40">
        <f t="shared" ref="O131:S131" si="142">O117+O121+O125+O130</f>
        <v>897.67685317164171</v>
      </c>
      <c r="P131" s="40">
        <f t="shared" si="142"/>
        <v>7460.4444909054828</v>
      </c>
      <c r="Q131" s="40">
        <f t="shared" si="142"/>
        <v>5074.5453741035381</v>
      </c>
      <c r="R131" s="40">
        <f t="shared" si="142"/>
        <v>111.7307625</v>
      </c>
      <c r="S131" s="40">
        <f t="shared" si="142"/>
        <v>0</v>
      </c>
      <c r="T131" s="6"/>
      <c r="U131" s="40">
        <f t="shared" ref="U131:Y131" si="143">U117+U121+U125+U130</f>
        <v>2411.0488078484877</v>
      </c>
      <c r="V131" s="40">
        <f t="shared" si="143"/>
        <v>17612.470426023378</v>
      </c>
      <c r="W131" s="40">
        <f t="shared" si="143"/>
        <v>7450.2293391460635</v>
      </c>
      <c r="X131" s="40">
        <f t="shared" si="143"/>
        <v>0</v>
      </c>
      <c r="Y131" s="40">
        <f t="shared" si="143"/>
        <v>0</v>
      </c>
      <c r="Z131" s="6"/>
      <c r="AA131" s="40">
        <f t="shared" ref="AA131:AE131" si="144">AA117+AA121+AA125+AA130</f>
        <v>267.85825737700304</v>
      </c>
      <c r="AB131" s="40">
        <f t="shared" si="144"/>
        <v>3990.5006193743661</v>
      </c>
      <c r="AC131" s="40">
        <f t="shared" si="144"/>
        <v>3394.2337340745771</v>
      </c>
      <c r="AD131" s="40">
        <f t="shared" si="144"/>
        <v>0</v>
      </c>
      <c r="AE131" s="40">
        <f t="shared" si="144"/>
        <v>0</v>
      </c>
      <c r="AF131" s="6"/>
      <c r="AG131" s="40">
        <f t="shared" ref="AG131:AK131" si="145">AG117+AG121+AG125+AG130</f>
        <v>6858.9383365091826</v>
      </c>
      <c r="AH131" s="40">
        <f t="shared" si="145"/>
        <v>59171.498255892351</v>
      </c>
      <c r="AI131" s="40">
        <f t="shared" si="145"/>
        <v>38350.519269466422</v>
      </c>
      <c r="AJ131" s="40">
        <f t="shared" si="145"/>
        <v>111.7307625</v>
      </c>
      <c r="AK131" s="40">
        <f t="shared" si="145"/>
        <v>0</v>
      </c>
      <c r="AM131" s="40">
        <f>AM117+AM121+AM125+AM130</f>
        <v>104492.68662436795</v>
      </c>
    </row>
    <row r="132" spans="2:39" x14ac:dyDescent="0.3">
      <c r="B132" s="221" t="s">
        <v>83</v>
      </c>
      <c r="E132" s="8"/>
      <c r="F132" s="8"/>
      <c r="I132" s="218">
        <f t="shared" ref="I132:M132" si="146">I131-I109</f>
        <v>0</v>
      </c>
      <c r="J132" s="218">
        <f t="shared" si="146"/>
        <v>0</v>
      </c>
      <c r="K132" s="218">
        <f t="shared" si="146"/>
        <v>0</v>
      </c>
      <c r="L132" s="218">
        <f t="shared" si="146"/>
        <v>0</v>
      </c>
      <c r="M132" s="218">
        <f t="shared" si="146"/>
        <v>0</v>
      </c>
      <c r="N132" s="222"/>
      <c r="O132" s="218">
        <f t="shared" ref="O132:S132" si="147">O131-O109</f>
        <v>0</v>
      </c>
      <c r="P132" s="218">
        <f t="shared" si="147"/>
        <v>0</v>
      </c>
      <c r="Q132" s="218">
        <f t="shared" si="147"/>
        <v>0</v>
      </c>
      <c r="R132" s="218">
        <f t="shared" si="147"/>
        <v>0</v>
      </c>
      <c r="S132" s="218">
        <f t="shared" si="147"/>
        <v>0</v>
      </c>
      <c r="T132" s="222"/>
      <c r="U132" s="218">
        <f t="shared" ref="U132:Y132" si="148">U131-U109</f>
        <v>0</v>
      </c>
      <c r="V132" s="218">
        <f t="shared" si="148"/>
        <v>0</v>
      </c>
      <c r="W132" s="218">
        <f t="shared" si="148"/>
        <v>0</v>
      </c>
      <c r="X132" s="218">
        <f t="shared" si="148"/>
        <v>0</v>
      </c>
      <c r="Y132" s="218">
        <f t="shared" si="148"/>
        <v>0</v>
      </c>
      <c r="Z132" s="222"/>
      <c r="AA132" s="218">
        <f t="shared" ref="AA132:AE132" si="149">AA131-AA109</f>
        <v>0</v>
      </c>
      <c r="AB132" s="218">
        <f t="shared" si="149"/>
        <v>0</v>
      </c>
      <c r="AC132" s="218">
        <f t="shared" si="149"/>
        <v>0</v>
      </c>
      <c r="AD132" s="218">
        <f t="shared" si="149"/>
        <v>0</v>
      </c>
      <c r="AE132" s="218">
        <f t="shared" si="149"/>
        <v>0</v>
      </c>
      <c r="AF132" s="222"/>
      <c r="AG132" s="218">
        <f>AG131-AG109</f>
        <v>0</v>
      </c>
      <c r="AH132" s="218">
        <f t="shared" ref="AH132:AK132" si="150">AH131-AH109</f>
        <v>0</v>
      </c>
      <c r="AI132" s="218">
        <f t="shared" si="150"/>
        <v>0</v>
      </c>
      <c r="AJ132" s="218">
        <f t="shared" si="150"/>
        <v>0</v>
      </c>
      <c r="AK132" s="218">
        <f t="shared" si="150"/>
        <v>0</v>
      </c>
      <c r="AL132" s="53"/>
      <c r="AM132" s="218">
        <f>AM131-AM109</f>
        <v>0</v>
      </c>
    </row>
    <row r="133" spans="2:39" x14ac:dyDescent="0.3">
      <c r="B133" s="179"/>
      <c r="E133" s="8"/>
      <c r="F133" s="8"/>
      <c r="I133" s="161"/>
      <c r="J133" s="161"/>
      <c r="K133" s="161"/>
      <c r="L133" s="161"/>
      <c r="M133" s="161"/>
      <c r="N133" s="6"/>
      <c r="O133" s="161"/>
      <c r="P133" s="161"/>
      <c r="Q133" s="161"/>
      <c r="R133" s="161"/>
      <c r="S133" s="161"/>
      <c r="T133" s="6"/>
      <c r="U133" s="161"/>
      <c r="V133" s="161"/>
      <c r="W133" s="161"/>
      <c r="X133" s="161"/>
      <c r="Y133" s="161"/>
      <c r="Z133" s="6"/>
      <c r="AA133" s="161"/>
      <c r="AB133" s="161"/>
      <c r="AC133" s="161"/>
      <c r="AD133" s="161"/>
      <c r="AE133" s="161"/>
      <c r="AF133" s="6"/>
      <c r="AG133" s="161"/>
      <c r="AH133" s="161"/>
      <c r="AI133" s="161"/>
      <c r="AJ133" s="161"/>
      <c r="AK133" s="161"/>
      <c r="AM133" s="161"/>
    </row>
    <row r="134" spans="2:39" x14ac:dyDescent="0.3">
      <c r="E134" s="8"/>
      <c r="F134" s="8"/>
      <c r="G134" s="8"/>
      <c r="H134" s="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2:39" x14ac:dyDescent="0.3">
      <c r="E135" s="8"/>
      <c r="F135" s="8"/>
      <c r="G135" s="8"/>
      <c r="H135" s="8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6"/>
      <c r="AG135" s="6"/>
      <c r="AH135" s="6"/>
      <c r="AI135" s="6"/>
      <c r="AJ135" s="6"/>
      <c r="AK135" s="6"/>
    </row>
    <row r="136" spans="2:39" x14ac:dyDescent="0.3">
      <c r="E136" s="8"/>
      <c r="F136" s="8"/>
      <c r="G136" s="8"/>
      <c r="H136" s="8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6"/>
      <c r="AG136" s="6"/>
      <c r="AH136" s="6"/>
      <c r="AI136" s="6"/>
      <c r="AJ136" s="6"/>
      <c r="AK136" s="6"/>
    </row>
    <row r="137" spans="2:39" x14ac:dyDescent="0.3">
      <c r="E137" s="8"/>
      <c r="F137" s="8"/>
      <c r="G137" s="8"/>
      <c r="H137" s="8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6"/>
      <c r="AG137" s="6"/>
      <c r="AH137" s="6"/>
      <c r="AI137" s="6"/>
      <c r="AJ137" s="6"/>
      <c r="AK137" s="6"/>
    </row>
    <row r="138" spans="2:39" x14ac:dyDescent="0.3">
      <c r="E138" s="8"/>
      <c r="F138" s="8"/>
      <c r="G138" s="8"/>
      <c r="H138" s="8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6"/>
      <c r="AG138" s="6"/>
      <c r="AH138" s="6"/>
      <c r="AI138" s="6"/>
      <c r="AJ138" s="6"/>
      <c r="AK138" s="6"/>
    </row>
    <row r="139" spans="2:39" x14ac:dyDescent="0.3">
      <c r="E139" s="8"/>
      <c r="F139" s="8"/>
      <c r="G139" s="8"/>
      <c r="H139" s="8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6"/>
      <c r="AG139" s="6"/>
      <c r="AH139" s="6"/>
      <c r="AI139" s="6"/>
      <c r="AJ139" s="6"/>
      <c r="AK139" s="6"/>
    </row>
    <row r="140" spans="2:39" x14ac:dyDescent="0.3">
      <c r="E140" s="8"/>
      <c r="F140" s="8"/>
      <c r="G140" s="8"/>
      <c r="H140" s="8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6"/>
      <c r="AG140" s="6"/>
      <c r="AH140" s="6"/>
      <c r="AI140" s="6"/>
      <c r="AJ140" s="6"/>
      <c r="AK140" s="6"/>
    </row>
    <row r="141" spans="2:39" x14ac:dyDescent="0.3">
      <c r="E141" s="8"/>
      <c r="F141" s="8"/>
      <c r="G141" s="8"/>
      <c r="H141" s="8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6"/>
      <c r="AG141" s="6"/>
      <c r="AH141" s="6"/>
      <c r="AI141" s="6"/>
      <c r="AJ141" s="6"/>
      <c r="AK141" s="6"/>
    </row>
    <row r="142" spans="2:39" x14ac:dyDescent="0.3">
      <c r="E142" s="8"/>
      <c r="F142" s="8"/>
      <c r="G142" s="8"/>
      <c r="H142" s="20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6"/>
      <c r="AG142" s="6"/>
      <c r="AH142" s="6"/>
      <c r="AI142" s="6"/>
      <c r="AJ142" s="6"/>
      <c r="AK142" s="6"/>
    </row>
    <row r="143" spans="2:39" x14ac:dyDescent="0.3">
      <c r="E143" s="8"/>
      <c r="F143" s="8"/>
      <c r="G143" s="8"/>
      <c r="H143" s="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2:39" x14ac:dyDescent="0.3">
      <c r="E144" s="8"/>
      <c r="F144" s="8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5:37" x14ac:dyDescent="0.3">
      <c r="E145" s="8"/>
      <c r="F145" s="8"/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5:37" x14ac:dyDescent="0.3">
      <c r="E146" s="8"/>
      <c r="F146" s="8"/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5:37" x14ac:dyDescent="0.3">
      <c r="E147" s="8"/>
      <c r="F147" s="8"/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5:37" x14ac:dyDescent="0.3">
      <c r="E148" s="8"/>
      <c r="F148" s="8"/>
      <c r="G148" s="8"/>
      <c r="H148" s="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5:37" x14ac:dyDescent="0.3">
      <c r="E149" s="8"/>
      <c r="F149" s="8"/>
      <c r="G149" s="8"/>
      <c r="H149" s="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5:37" x14ac:dyDescent="0.3">
      <c r="E150" s="8"/>
      <c r="F150" s="8"/>
      <c r="G150" s="8"/>
      <c r="H150" s="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5:37" x14ac:dyDescent="0.3">
      <c r="E151" s="8"/>
      <c r="F151" s="8"/>
      <c r="G151" s="8"/>
      <c r="H151" s="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5:37" x14ac:dyDescent="0.3">
      <c r="E152" s="8"/>
      <c r="F152" s="8"/>
      <c r="G152" s="8"/>
      <c r="H152" s="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5:37" x14ac:dyDescent="0.3">
      <c r="E153" s="8"/>
      <c r="F153" s="8"/>
      <c r="G153" s="8"/>
      <c r="H153" s="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5:37" x14ac:dyDescent="0.3">
      <c r="E154" s="8"/>
      <c r="F154" s="8"/>
      <c r="G154" s="8"/>
      <c r="H154" s="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5:37" x14ac:dyDescent="0.3">
      <c r="E155" s="8"/>
      <c r="F155" s="8"/>
      <c r="G155" s="8"/>
      <c r="H155" s="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5:37" x14ac:dyDescent="0.3">
      <c r="E156" s="8"/>
      <c r="F156" s="8"/>
      <c r="G156" s="8"/>
      <c r="H156" s="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5:37" x14ac:dyDescent="0.3">
      <c r="E157" s="8"/>
      <c r="F157" s="8"/>
      <c r="G157" s="8"/>
      <c r="H157" s="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5:37" x14ac:dyDescent="0.3">
      <c r="E158" s="8"/>
      <c r="F158" s="8"/>
      <c r="G158" s="8"/>
      <c r="H158" s="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5:37" x14ac:dyDescent="0.3">
      <c r="E159" s="8"/>
      <c r="F159" s="8"/>
      <c r="G159" s="8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5:37" x14ac:dyDescent="0.3">
      <c r="E160" s="8"/>
      <c r="F160" s="8"/>
      <c r="G160" s="8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5:37" x14ac:dyDescent="0.3">
      <c r="E161" s="8"/>
      <c r="F161" s="8"/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5:37" x14ac:dyDescent="0.3">
      <c r="E162" s="8"/>
      <c r="F162" s="8"/>
      <c r="G162" s="8"/>
      <c r="H162" s="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5:37" x14ac:dyDescent="0.3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5:37" x14ac:dyDescent="0.3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5:37" x14ac:dyDescent="0.3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5:37" x14ac:dyDescent="0.3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5:37" x14ac:dyDescent="0.3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5:37" x14ac:dyDescent="0.3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5:37" x14ac:dyDescent="0.3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5:37" x14ac:dyDescent="0.3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5:37" x14ac:dyDescent="0.3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5:37" x14ac:dyDescent="0.3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5:37" x14ac:dyDescent="0.3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5:37" x14ac:dyDescent="0.3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5:37" x14ac:dyDescent="0.3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5:37" x14ac:dyDescent="0.3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5:37" x14ac:dyDescent="0.3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5:37" x14ac:dyDescent="0.3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5:37" x14ac:dyDescent="0.3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5:37" x14ac:dyDescent="0.3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5:37" x14ac:dyDescent="0.3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5:37" x14ac:dyDescent="0.3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5:37" x14ac:dyDescent="0.3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5:37" x14ac:dyDescent="0.3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5:37" x14ac:dyDescent="0.3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5:37" x14ac:dyDescent="0.3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5:37" x14ac:dyDescent="0.3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5:37" x14ac:dyDescent="0.3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5:37" x14ac:dyDescent="0.3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5:37" x14ac:dyDescent="0.3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5:37" x14ac:dyDescent="0.3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5:37" x14ac:dyDescent="0.3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5:37" x14ac:dyDescent="0.3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5:37" x14ac:dyDescent="0.3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5:37" x14ac:dyDescent="0.3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5:37" x14ac:dyDescent="0.3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5:37" x14ac:dyDescent="0.3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5:37" x14ac:dyDescent="0.3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5:37" x14ac:dyDescent="0.3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5:37" x14ac:dyDescent="0.3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5:37" x14ac:dyDescent="0.3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5:37" x14ac:dyDescent="0.3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5:37" x14ac:dyDescent="0.3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5:37" x14ac:dyDescent="0.3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5:37" x14ac:dyDescent="0.3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5:37" x14ac:dyDescent="0.3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5:37" x14ac:dyDescent="0.3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5:37" x14ac:dyDescent="0.3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5:37" x14ac:dyDescent="0.3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5:37" x14ac:dyDescent="0.3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5:37" x14ac:dyDescent="0.3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5:37" x14ac:dyDescent="0.3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5:37" x14ac:dyDescent="0.3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5:37" x14ac:dyDescent="0.3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5:37" x14ac:dyDescent="0.3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5:37" x14ac:dyDescent="0.3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5:37" x14ac:dyDescent="0.3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5:37" x14ac:dyDescent="0.3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5:37" x14ac:dyDescent="0.3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5:37" x14ac:dyDescent="0.3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5:37" x14ac:dyDescent="0.3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5:37" x14ac:dyDescent="0.3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5:37" x14ac:dyDescent="0.3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5:37" x14ac:dyDescent="0.3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5:37" x14ac:dyDescent="0.3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5:37" x14ac:dyDescent="0.3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5:37" x14ac:dyDescent="0.3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5:37" x14ac:dyDescent="0.3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5:37" x14ac:dyDescent="0.3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5:37" x14ac:dyDescent="0.3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5:37" x14ac:dyDescent="0.3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5:37" x14ac:dyDescent="0.3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5:37" x14ac:dyDescent="0.3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5:37" x14ac:dyDescent="0.3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5:37" x14ac:dyDescent="0.3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5:37" x14ac:dyDescent="0.3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5:37" x14ac:dyDescent="0.3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5:37" x14ac:dyDescent="0.3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5:37" x14ac:dyDescent="0.3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5:37" x14ac:dyDescent="0.3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5:37" x14ac:dyDescent="0.3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5:37" x14ac:dyDescent="0.3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5:37" x14ac:dyDescent="0.3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5:37" x14ac:dyDescent="0.3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5:37" x14ac:dyDescent="0.3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5:37" x14ac:dyDescent="0.3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5:37" x14ac:dyDescent="0.3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5:37" x14ac:dyDescent="0.3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5:37" x14ac:dyDescent="0.3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5:37" x14ac:dyDescent="0.3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5:37" x14ac:dyDescent="0.3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5:37" x14ac:dyDescent="0.3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5:37" x14ac:dyDescent="0.3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5:37" x14ac:dyDescent="0.3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5:37" x14ac:dyDescent="0.3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5:37" x14ac:dyDescent="0.3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5:37" x14ac:dyDescent="0.3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5:37" x14ac:dyDescent="0.3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5:37" x14ac:dyDescent="0.3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5:37" x14ac:dyDescent="0.3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5:37" x14ac:dyDescent="0.3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5:37" x14ac:dyDescent="0.3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5:37" x14ac:dyDescent="0.3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5:37" x14ac:dyDescent="0.3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5:37" x14ac:dyDescent="0.3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5:37" x14ac:dyDescent="0.3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5:37" x14ac:dyDescent="0.3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5:37" x14ac:dyDescent="0.3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5:37" x14ac:dyDescent="0.3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5:37" x14ac:dyDescent="0.3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5:37" x14ac:dyDescent="0.3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5:37" x14ac:dyDescent="0.3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5:37" x14ac:dyDescent="0.3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5:37" x14ac:dyDescent="0.3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5:37" x14ac:dyDescent="0.3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5:37" x14ac:dyDescent="0.3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5:37" x14ac:dyDescent="0.3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5:37" x14ac:dyDescent="0.3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5:37" x14ac:dyDescent="0.3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5:37" x14ac:dyDescent="0.3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5:37" x14ac:dyDescent="0.3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5:37" x14ac:dyDescent="0.3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5:37" x14ac:dyDescent="0.3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5:37" x14ac:dyDescent="0.3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5:37" x14ac:dyDescent="0.3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5:37" x14ac:dyDescent="0.3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5:37" x14ac:dyDescent="0.3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5:37" x14ac:dyDescent="0.3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5:37" x14ac:dyDescent="0.3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5:37" x14ac:dyDescent="0.3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5:37" x14ac:dyDescent="0.3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5:37" x14ac:dyDescent="0.3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5:37" x14ac:dyDescent="0.3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5:37" x14ac:dyDescent="0.3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5:37" x14ac:dyDescent="0.3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5:37" x14ac:dyDescent="0.3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5:37" x14ac:dyDescent="0.3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5:37" x14ac:dyDescent="0.3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5:37" x14ac:dyDescent="0.3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5:37" x14ac:dyDescent="0.3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5:37" x14ac:dyDescent="0.3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5:37" x14ac:dyDescent="0.3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5:37" x14ac:dyDescent="0.3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5:37" x14ac:dyDescent="0.3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5:37" x14ac:dyDescent="0.3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5:37" x14ac:dyDescent="0.3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5:37" x14ac:dyDescent="0.3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5:37" x14ac:dyDescent="0.3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5:37" x14ac:dyDescent="0.3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5:37" x14ac:dyDescent="0.3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5:37" x14ac:dyDescent="0.3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5:37" x14ac:dyDescent="0.3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5:37" x14ac:dyDescent="0.3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5:37" x14ac:dyDescent="0.3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5:37" x14ac:dyDescent="0.3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5:37" x14ac:dyDescent="0.3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5:37" x14ac:dyDescent="0.3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5:37" x14ac:dyDescent="0.3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5:37" x14ac:dyDescent="0.3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5:37" x14ac:dyDescent="0.3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5:37" x14ac:dyDescent="0.3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5:37" x14ac:dyDescent="0.3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5:37" x14ac:dyDescent="0.3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5:37" x14ac:dyDescent="0.3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5:37" x14ac:dyDescent="0.3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5:37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5:37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5:37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5:37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5:37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5:37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5:37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5:37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5:37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5:37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spans="5:37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spans="5:37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spans="5:37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spans="5:37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spans="5:37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spans="5:37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5:37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spans="5:37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spans="5:37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spans="5:37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spans="5:37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spans="5:37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5:37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5:37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spans="5:37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spans="5:37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spans="5:37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spans="5:37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spans="5:37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5:37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spans="5:37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spans="5:37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spans="5:37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spans="5:37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spans="5:37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spans="5:37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5:37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spans="5:37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spans="5:37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spans="5:37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spans="5:37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spans="5:37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spans="5:37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5:37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spans="5:37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spans="5:37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spans="5:37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spans="5:37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spans="5:37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5:37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spans="5:37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spans="5:37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5:37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5:37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5:37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5:37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5:37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5:37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5:37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5:37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5:37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5:37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spans="5:37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</sheetData>
  <mergeCells count="5">
    <mergeCell ref="I3:M3"/>
    <mergeCell ref="O3:S3"/>
    <mergeCell ref="U3:Y3"/>
    <mergeCell ref="AA3:AE3"/>
    <mergeCell ref="AG3:AK3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zoomScale="85" zoomScaleNormal="85" workbookViewId="0">
      <selection activeCell="A16" sqref="A16"/>
    </sheetView>
  </sheetViews>
  <sheetFormatPr defaultRowHeight="14.4" x14ac:dyDescent="0.3"/>
  <cols>
    <col min="1" max="1" width="4" customWidth="1"/>
    <col min="2" max="2" width="3.33203125" customWidth="1"/>
    <col min="3" max="3" width="25.44140625" customWidth="1"/>
    <col min="4" max="4" width="9.33203125" bestFit="1" customWidth="1"/>
    <col min="5" max="5" width="10.33203125" customWidth="1"/>
    <col min="6" max="6" width="9.44140625" customWidth="1"/>
    <col min="7" max="8" width="9" bestFit="1" customWidth="1"/>
  </cols>
  <sheetData>
    <row r="1" spans="2:9" x14ac:dyDescent="0.3">
      <c r="B1" s="23" t="s">
        <v>297</v>
      </c>
    </row>
    <row r="3" spans="2:9" x14ac:dyDescent="0.3">
      <c r="B3" s="26" t="s">
        <v>148</v>
      </c>
    </row>
    <row r="5" spans="2:9" x14ac:dyDescent="0.3">
      <c r="B5" t="s">
        <v>145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 t="s">
        <v>6</v>
      </c>
    </row>
    <row r="6" spans="2:9" x14ac:dyDescent="0.3">
      <c r="B6" t="s">
        <v>38</v>
      </c>
    </row>
    <row r="7" spans="2:9" x14ac:dyDescent="0.3">
      <c r="C7" t="s">
        <v>63</v>
      </c>
      <c r="D7" s="28">
        <f>'Direct $ Composition'!AG115</f>
        <v>2874.039203704207</v>
      </c>
      <c r="E7" s="28">
        <f>'Direct $ Composition'!AH115</f>
        <v>16463.860671963295</v>
      </c>
      <c r="F7" s="28">
        <f>'Direct $ Composition'!AI115</f>
        <v>8976.9783076751064</v>
      </c>
      <c r="G7" s="28">
        <f>'Direct $ Composition'!AJ115</f>
        <v>62.046031131792361</v>
      </c>
      <c r="H7" s="28">
        <f>'Direct $ Composition'!AK115</f>
        <v>0</v>
      </c>
      <c r="I7" s="29">
        <f>SUM(D7:H7)</f>
        <v>28376.924214474402</v>
      </c>
    </row>
    <row r="8" spans="2:9" x14ac:dyDescent="0.3">
      <c r="C8" t="s">
        <v>65</v>
      </c>
      <c r="D8" s="28">
        <f>'Direct $ Composition'!AG116</f>
        <v>0</v>
      </c>
      <c r="E8" s="28">
        <f>'Direct $ Composition'!AH116</f>
        <v>0</v>
      </c>
      <c r="F8" s="28">
        <f>'Direct $ Composition'!AI116</f>
        <v>0</v>
      </c>
      <c r="G8" s="28">
        <f>'Direct $ Composition'!AJ116</f>
        <v>0</v>
      </c>
      <c r="H8" s="28">
        <f>'Direct $ Composition'!AK116</f>
        <v>0</v>
      </c>
      <c r="I8" s="29">
        <f>SUM(D8:H8)</f>
        <v>0</v>
      </c>
    </row>
    <row r="9" spans="2:9" x14ac:dyDescent="0.3">
      <c r="C9" t="s">
        <v>146</v>
      </c>
      <c r="D9" s="127">
        <f>SUM(D7:D8)</f>
        <v>2874.039203704207</v>
      </c>
      <c r="E9" s="127">
        <f t="shared" ref="E9:I9" si="0">SUM(E7:E8)</f>
        <v>16463.860671963295</v>
      </c>
      <c r="F9" s="127">
        <f t="shared" si="0"/>
        <v>8976.9783076751064</v>
      </c>
      <c r="G9" s="127">
        <f t="shared" si="0"/>
        <v>62.046031131792361</v>
      </c>
      <c r="H9" s="127">
        <f t="shared" si="0"/>
        <v>0</v>
      </c>
      <c r="I9" s="127">
        <f t="shared" si="0"/>
        <v>28376.924214474402</v>
      </c>
    </row>
    <row r="10" spans="2:9" x14ac:dyDescent="0.3">
      <c r="B10" s="8" t="s">
        <v>39</v>
      </c>
      <c r="D10" s="28"/>
      <c r="E10" s="28"/>
      <c r="F10" s="28"/>
      <c r="G10" s="28"/>
      <c r="H10" s="28"/>
    </row>
    <row r="11" spans="2:9" x14ac:dyDescent="0.3">
      <c r="C11" t="s">
        <v>63</v>
      </c>
      <c r="D11" s="28">
        <f>'Direct $ Composition'!AG119</f>
        <v>0</v>
      </c>
      <c r="E11" s="28">
        <f>'Direct $ Composition'!AH119</f>
        <v>21349.115521346081</v>
      </c>
      <c r="F11" s="28">
        <f>'Direct $ Composition'!AI119</f>
        <v>10070.29705890112</v>
      </c>
      <c r="G11" s="28">
        <f>'Direct $ Composition'!AJ119</f>
        <v>0</v>
      </c>
      <c r="H11" s="28">
        <f>'Direct $ Composition'!AK119</f>
        <v>0</v>
      </c>
      <c r="I11" s="29">
        <f t="shared" ref="I11:I12" si="1">SUM(D11:H11)</f>
        <v>31419.412580247201</v>
      </c>
    </row>
    <row r="12" spans="2:9" x14ac:dyDescent="0.3">
      <c r="C12" t="s">
        <v>65</v>
      </c>
      <c r="D12" s="28">
        <f>'Direct $ Composition'!AG120</f>
        <v>1910.9634411940297</v>
      </c>
      <c r="E12" s="28">
        <f>'Direct $ Composition'!AH120</f>
        <v>7582.860649550561</v>
      </c>
      <c r="F12" s="28">
        <f>'Direct $ Composition'!AI120</f>
        <v>8265.1056077499034</v>
      </c>
      <c r="G12" s="28">
        <f>'Direct $ Composition'!AJ120</f>
        <v>0</v>
      </c>
      <c r="H12" s="28">
        <f>'Direct $ Composition'!AK120</f>
        <v>0</v>
      </c>
      <c r="I12" s="29">
        <f t="shared" si="1"/>
        <v>17758.929698494496</v>
      </c>
    </row>
    <row r="13" spans="2:9" x14ac:dyDescent="0.3">
      <c r="C13" t="s">
        <v>146</v>
      </c>
      <c r="D13" s="127">
        <f>SUM(D11:D12)</f>
        <v>1910.9634411940297</v>
      </c>
      <c r="E13" s="127">
        <f t="shared" ref="E13" si="2">SUM(E11:E12)</f>
        <v>28931.97617089664</v>
      </c>
      <c r="F13" s="127">
        <f t="shared" ref="F13" si="3">SUM(F11:F12)</f>
        <v>18335.402666651025</v>
      </c>
      <c r="G13" s="127">
        <f t="shared" ref="G13" si="4">SUM(G11:G12)</f>
        <v>0</v>
      </c>
      <c r="H13" s="127">
        <f t="shared" ref="H13" si="5">SUM(H11:H12)</f>
        <v>0</v>
      </c>
      <c r="I13" s="127">
        <f t="shared" ref="I13" si="6">SUM(I11:I12)</f>
        <v>49178.342278741693</v>
      </c>
    </row>
    <row r="14" spans="2:9" x14ac:dyDescent="0.3">
      <c r="B14" s="8" t="s">
        <v>42</v>
      </c>
      <c r="D14" s="28"/>
      <c r="E14" s="28"/>
      <c r="F14" s="28"/>
      <c r="G14" s="28"/>
      <c r="H14" s="28"/>
    </row>
    <row r="15" spans="2:9" x14ac:dyDescent="0.3">
      <c r="C15" t="s">
        <v>63</v>
      </c>
      <c r="D15" s="28">
        <f>'Direct $ Composition'!AG123</f>
        <v>2073.9356916109455</v>
      </c>
      <c r="E15" s="28">
        <f>'Direct $ Composition'!AH123</f>
        <v>11220.8456636584</v>
      </c>
      <c r="F15" s="28">
        <f>'Direct $ Composition'!AI123</f>
        <v>5040.9099638902944</v>
      </c>
      <c r="G15" s="28">
        <f>'Direct $ Composition'!AJ123</f>
        <v>49.684731368207643</v>
      </c>
      <c r="H15" s="28">
        <f>'Direct $ Composition'!AK123</f>
        <v>0</v>
      </c>
      <c r="I15" s="29">
        <f t="shared" ref="I15:I16" si="7">SUM(D15:H15)</f>
        <v>18385.376050527848</v>
      </c>
    </row>
    <row r="16" spans="2:9" x14ac:dyDescent="0.3">
      <c r="C16" t="s">
        <v>65</v>
      </c>
      <c r="D16" s="28">
        <f>'Direct $ Composition'!AG124</f>
        <v>0</v>
      </c>
      <c r="E16" s="28">
        <f>'Direct $ Composition'!AH124</f>
        <v>2289.5614437500003</v>
      </c>
      <c r="F16" s="28">
        <f>'Direct $ Composition'!AI124</f>
        <v>5627.2083312500008</v>
      </c>
      <c r="G16" s="28">
        <f>'Direct $ Composition'!AJ124</f>
        <v>0</v>
      </c>
      <c r="H16" s="28">
        <f>'Direct $ Composition'!AK124</f>
        <v>0</v>
      </c>
      <c r="I16" s="29">
        <f t="shared" si="7"/>
        <v>7916.7697750000007</v>
      </c>
    </row>
    <row r="17" spans="2:9" x14ac:dyDescent="0.3">
      <c r="C17" t="s">
        <v>146</v>
      </c>
      <c r="D17" s="127">
        <f>SUM(D15:D16)</f>
        <v>2073.9356916109455</v>
      </c>
      <c r="E17" s="127">
        <f t="shared" ref="E17" si="8">SUM(E15:E16)</f>
        <v>13510.4071074084</v>
      </c>
      <c r="F17" s="127">
        <f t="shared" ref="F17" si="9">SUM(F15:F16)</f>
        <v>10668.118295140295</v>
      </c>
      <c r="G17" s="127">
        <f t="shared" ref="G17" si="10">SUM(G15:G16)</f>
        <v>49.684731368207643</v>
      </c>
      <c r="H17" s="127">
        <f t="shared" ref="H17" si="11">SUM(H15:H16)</f>
        <v>0</v>
      </c>
      <c r="I17" s="127">
        <f t="shared" ref="I17" si="12">SUM(I15:I16)</f>
        <v>26302.145825527849</v>
      </c>
    </row>
    <row r="18" spans="2:9" x14ac:dyDescent="0.3">
      <c r="B18" s="192" t="s">
        <v>103</v>
      </c>
      <c r="D18" s="195"/>
      <c r="E18" s="195"/>
      <c r="F18" s="195"/>
      <c r="G18" s="195"/>
      <c r="H18" s="195"/>
      <c r="I18" s="195"/>
    </row>
    <row r="19" spans="2:9" x14ac:dyDescent="0.3">
      <c r="C19" s="192" t="s">
        <v>232</v>
      </c>
      <c r="D19" s="164">
        <f>'Direct $ Composition'!AG127</f>
        <v>0</v>
      </c>
      <c r="E19" s="164">
        <f>'Direct $ Composition'!AH127</f>
        <v>0</v>
      </c>
      <c r="F19" s="164">
        <f>'Direct $ Composition'!AI127</f>
        <v>0</v>
      </c>
      <c r="G19" s="164">
        <f>'Direct $ Composition'!AJ127</f>
        <v>0</v>
      </c>
      <c r="H19" s="164">
        <f>'Direct $ Composition'!AK127</f>
        <v>0</v>
      </c>
      <c r="I19" s="29">
        <f t="shared" ref="I19:I20" si="13">SUM(D19:H19)</f>
        <v>0</v>
      </c>
    </row>
    <row r="20" spans="2:9" x14ac:dyDescent="0.3">
      <c r="C20" s="192" t="s">
        <v>231</v>
      </c>
      <c r="D20" s="164">
        <f>'Direct $ Composition'!AG128</f>
        <v>0</v>
      </c>
      <c r="E20" s="164">
        <f>'Direct $ Composition'!AH128</f>
        <v>225.01</v>
      </c>
      <c r="F20" s="164">
        <f>'Direct $ Composition'!AI128</f>
        <v>370.02</v>
      </c>
      <c r="G20" s="164">
        <f>'Direct $ Composition'!AJ128</f>
        <v>0</v>
      </c>
      <c r="H20" s="164">
        <f>'Direct $ Composition'!AK128</f>
        <v>0</v>
      </c>
      <c r="I20" s="29">
        <f t="shared" si="13"/>
        <v>595.03</v>
      </c>
    </row>
    <row r="21" spans="2:9" x14ac:dyDescent="0.3">
      <c r="C21" s="192" t="s">
        <v>291</v>
      </c>
      <c r="D21" s="164">
        <f>'Direct $ Composition'!AG129</f>
        <v>0</v>
      </c>
      <c r="E21" s="164">
        <f>'Direct $ Composition'!AH129</f>
        <v>40.244305624015013</v>
      </c>
      <c r="F21" s="164">
        <f>'Direct $ Composition'!AI129</f>
        <v>0</v>
      </c>
      <c r="G21" s="164">
        <f>'Direct $ Composition'!AJ129</f>
        <v>0</v>
      </c>
      <c r="H21" s="164">
        <f>'Direct $ Composition'!AK129</f>
        <v>0</v>
      </c>
      <c r="I21" s="29">
        <f t="shared" ref="I21" si="14">SUM(D21:H21)</f>
        <v>40.244305624015013</v>
      </c>
    </row>
    <row r="22" spans="2:9" x14ac:dyDescent="0.3">
      <c r="C22" s="192" t="s">
        <v>146</v>
      </c>
      <c r="D22" s="195">
        <f t="shared" ref="D22" si="15">SUM(D19:D21)</f>
        <v>0</v>
      </c>
      <c r="E22" s="195">
        <f>SUM(E19:E21)</f>
        <v>265.25430562401499</v>
      </c>
      <c r="F22" s="195">
        <f t="shared" ref="F22:I22" si="16">SUM(F19:F21)</f>
        <v>370.02</v>
      </c>
      <c r="G22" s="195">
        <f t="shared" si="16"/>
        <v>0</v>
      </c>
      <c r="H22" s="195">
        <f t="shared" si="16"/>
        <v>0</v>
      </c>
      <c r="I22" s="195">
        <f t="shared" si="16"/>
        <v>635.27430562401503</v>
      </c>
    </row>
    <row r="23" spans="2:9" ht="15" thickBot="1" x14ac:dyDescent="0.35">
      <c r="B23" s="26" t="s">
        <v>147</v>
      </c>
      <c r="D23" s="162">
        <f>D9+D13+D17+D22</f>
        <v>6858.9383365091826</v>
      </c>
      <c r="E23" s="162">
        <f t="shared" ref="E23:I23" si="17">E9+E13+E17+E22</f>
        <v>59171.498255892351</v>
      </c>
      <c r="F23" s="162">
        <f t="shared" si="17"/>
        <v>38350.519269466422</v>
      </c>
      <c r="G23" s="162">
        <f t="shared" si="17"/>
        <v>111.7307625</v>
      </c>
      <c r="H23" s="162">
        <f t="shared" si="17"/>
        <v>0</v>
      </c>
      <c r="I23" s="162">
        <f t="shared" si="17"/>
        <v>104492.68662436795</v>
      </c>
    </row>
    <row r="24" spans="2:9" x14ac:dyDescent="0.3">
      <c r="B24" s="220" t="s">
        <v>83</v>
      </c>
      <c r="D24" s="164">
        <f>D23-'Direct $ Composition'!AG131</f>
        <v>0</v>
      </c>
      <c r="E24" s="164">
        <f>E23-'Direct $ Composition'!AH131</f>
        <v>0</v>
      </c>
      <c r="F24" s="164">
        <f>F23-'Direct $ Composition'!AI131</f>
        <v>0</v>
      </c>
      <c r="G24" s="164">
        <f>G23-'Direct $ Composition'!AJ131</f>
        <v>0</v>
      </c>
      <c r="H24" s="164">
        <f>H23-'Direct $ Composition'!AK131</f>
        <v>0</v>
      </c>
      <c r="I24" s="164">
        <f>I23-'Direct $ Composition'!AM131</f>
        <v>0</v>
      </c>
    </row>
    <row r="25" spans="2:9" x14ac:dyDescent="0.3">
      <c r="B25" s="54"/>
      <c r="D25" s="164"/>
      <c r="E25" s="164"/>
      <c r="F25" s="164"/>
      <c r="G25" s="164"/>
      <c r="H25" s="164"/>
      <c r="I25" s="164"/>
    </row>
    <row r="26" spans="2:9" x14ac:dyDescent="0.3">
      <c r="B26" s="26" t="s">
        <v>149</v>
      </c>
      <c r="D26" s="28"/>
      <c r="E26" s="28"/>
      <c r="F26" s="28"/>
      <c r="G26" s="28"/>
      <c r="H26" s="28"/>
    </row>
    <row r="27" spans="2:9" x14ac:dyDescent="0.3">
      <c r="B27" s="26"/>
      <c r="D27" s="28"/>
      <c r="E27" s="28"/>
      <c r="F27" s="28"/>
      <c r="G27" s="28"/>
      <c r="H27" s="28"/>
    </row>
    <row r="28" spans="2:9" x14ac:dyDescent="0.3">
      <c r="B28" t="s">
        <v>145</v>
      </c>
      <c r="D28" s="4">
        <v>2016</v>
      </c>
      <c r="E28" s="4">
        <v>2017</v>
      </c>
      <c r="F28" s="4">
        <v>2018</v>
      </c>
      <c r="G28" s="4">
        <v>2019</v>
      </c>
      <c r="H28" s="4">
        <v>2020</v>
      </c>
      <c r="I28" s="4" t="s">
        <v>6</v>
      </c>
    </row>
    <row r="29" spans="2:9" x14ac:dyDescent="0.3">
      <c r="B29" t="s">
        <v>38</v>
      </c>
    </row>
    <row r="30" spans="2:9" x14ac:dyDescent="0.3">
      <c r="C30" t="s">
        <v>63</v>
      </c>
      <c r="D30" s="28">
        <f>'Direct $ Composition'!O115*(Escalators!D$30-1)+'Direct $ Composition'!U115*(Escalators!D$31-1)</f>
        <v>14.996040995416568</v>
      </c>
      <c r="E30" s="28">
        <f>'Direct $ Composition'!P115*(Escalators!E$30-1)+'Direct $ Composition'!V115*(Escalators!E$31-1)</f>
        <v>96.22197053354077</v>
      </c>
      <c r="F30" s="28">
        <f>'Direct $ Composition'!Q115*(Escalators!F$30-1)+'Direct $ Composition'!W115*(Escalators!F$31-1)</f>
        <v>79.525678918565589</v>
      </c>
      <c r="G30" s="28">
        <f>'Direct $ Composition'!R115*(Escalators!G$30-1)+'Direct $ Composition'!X115*(Escalators!G$31-1)</f>
        <v>2.7800209179044977</v>
      </c>
      <c r="H30" s="28">
        <f>'Direct $ Composition'!S115*(Escalators!H$30-1)+'Direct $ Composition'!Y115*(Escalators!H$31-1)</f>
        <v>0</v>
      </c>
      <c r="I30" s="29">
        <f>SUM(D30:H30)</f>
        <v>193.5237113654274</v>
      </c>
    </row>
    <row r="31" spans="2:9" x14ac:dyDescent="0.3">
      <c r="C31" t="s">
        <v>65</v>
      </c>
      <c r="D31" s="28">
        <f>'Direct $ Composition'!O116*(Escalators!D$30-1)+'Direct $ Composition'!U116*(Escalators!D$31-1)</f>
        <v>0</v>
      </c>
      <c r="E31" s="28">
        <f>'Direct $ Composition'!P116*(Escalators!E$30-1)+'Direct $ Composition'!V116*(Escalators!E$31-1)</f>
        <v>0</v>
      </c>
      <c r="F31" s="28">
        <f>'Direct $ Composition'!Q116*(Escalators!F$30-1)+'Direct $ Composition'!W116*(Escalators!F$31-1)</f>
        <v>0</v>
      </c>
      <c r="G31" s="28">
        <f>'Direct $ Composition'!R116*(Escalators!G$30-1)+'Direct $ Composition'!X116*(Escalators!G$31-1)</f>
        <v>0</v>
      </c>
      <c r="H31" s="28">
        <f>'Direct $ Composition'!S116*(Escalators!H$30-1)+'Direct $ Composition'!Y116*(Escalators!H$31-1)</f>
        <v>0</v>
      </c>
      <c r="I31" s="29">
        <f>SUM(D31:H31)</f>
        <v>0</v>
      </c>
    </row>
    <row r="32" spans="2:9" x14ac:dyDescent="0.3">
      <c r="C32" t="s">
        <v>146</v>
      </c>
      <c r="D32" s="127">
        <f>SUM(D30:D31)</f>
        <v>14.996040995416568</v>
      </c>
      <c r="E32" s="127">
        <f t="shared" ref="E32" si="18">SUM(E30:E31)</f>
        <v>96.22197053354077</v>
      </c>
      <c r="F32" s="127">
        <f t="shared" ref="F32" si="19">SUM(F30:F31)</f>
        <v>79.525678918565589</v>
      </c>
      <c r="G32" s="127">
        <f t="shared" ref="G32" si="20">SUM(G30:G31)</f>
        <v>2.7800209179044977</v>
      </c>
      <c r="H32" s="127">
        <f t="shared" ref="H32" si="21">SUM(H30:H31)</f>
        <v>0</v>
      </c>
      <c r="I32" s="127">
        <f t="shared" ref="I32" si="22">SUM(I30:I31)</f>
        <v>193.5237113654274</v>
      </c>
    </row>
    <row r="33" spans="2:10" x14ac:dyDescent="0.3">
      <c r="B33" s="8" t="s">
        <v>39</v>
      </c>
      <c r="D33" s="28"/>
      <c r="E33" s="28"/>
      <c r="F33" s="28"/>
      <c r="G33" s="28"/>
      <c r="H33" s="28"/>
    </row>
    <row r="34" spans="2:10" x14ac:dyDescent="0.3">
      <c r="C34" t="s">
        <v>63</v>
      </c>
      <c r="D34" s="28">
        <f>'Direct $ Composition'!O119*(Escalators!D$30-1)+'Direct $ Composition'!U119*(Escalators!D$31-1)</f>
        <v>0</v>
      </c>
      <c r="E34" s="28">
        <f>'Direct $ Composition'!P119*(Escalators!E$30-1)+'Direct $ Composition'!V119*(Escalators!E$31-1)</f>
        <v>148.82256255467257</v>
      </c>
      <c r="F34" s="28">
        <f>'Direct $ Composition'!Q119*(Escalators!F$30-1)+'Direct $ Composition'!W119*(Escalators!F$31-1)</f>
        <v>106.68936631247678</v>
      </c>
      <c r="G34" s="28">
        <f>'Direct $ Composition'!R119*(Escalators!G$30-1)+'Direct $ Composition'!X119*(Escalators!G$31-1)</f>
        <v>0</v>
      </c>
      <c r="H34" s="28">
        <f>'Direct $ Composition'!S119*(Escalators!H$30-1)+'Direct $ Composition'!Y119*(Escalators!H$31-1)</f>
        <v>0</v>
      </c>
      <c r="I34" s="29">
        <f t="shared" ref="I34:I35" si="23">SUM(D34:H34)</f>
        <v>255.51192886714935</v>
      </c>
    </row>
    <row r="35" spans="2:10" x14ac:dyDescent="0.3">
      <c r="C35" t="s">
        <v>65</v>
      </c>
      <c r="D35" s="28">
        <f>'Direct $ Composition'!O120*(Escalators!D$30-1)+'Direct $ Composition'!U120*(Escalators!D$31-1)</f>
        <v>9.0625611223244071</v>
      </c>
      <c r="E35" s="28">
        <f>'Direct $ Composition'!P120*(Escalators!E$30-1)+'Direct $ Composition'!V120*(Escalators!E$31-1)</f>
        <v>44.814344385408653</v>
      </c>
      <c r="F35" s="28">
        <f>'Direct $ Composition'!Q120*(Escalators!F$30-1)+'Direct $ Composition'!W120*(Escalators!F$31-1)</f>
        <v>52.086983135243052</v>
      </c>
      <c r="G35" s="28">
        <f>'Direct $ Composition'!R120*(Escalators!G$30-1)+'Direct $ Composition'!X120*(Escalators!G$31-1)</f>
        <v>0</v>
      </c>
      <c r="H35" s="28">
        <f>'Direct $ Composition'!S120*(Escalators!H$30-1)+'Direct $ Composition'!Y120*(Escalators!H$31-1)</f>
        <v>0</v>
      </c>
      <c r="I35" s="29">
        <f t="shared" si="23"/>
        <v>105.96388864297612</v>
      </c>
    </row>
    <row r="36" spans="2:10" x14ac:dyDescent="0.3">
      <c r="C36" t="s">
        <v>146</v>
      </c>
      <c r="D36" s="127">
        <f>SUM(D34:D35)</f>
        <v>9.0625611223244071</v>
      </c>
      <c r="E36" s="127">
        <f t="shared" ref="E36" si="24">SUM(E34:E35)</f>
        <v>193.63690694008122</v>
      </c>
      <c r="F36" s="127">
        <f t="shared" ref="F36" si="25">SUM(F34:F35)</f>
        <v>158.77634944771984</v>
      </c>
      <c r="G36" s="127">
        <f t="shared" ref="G36" si="26">SUM(G34:G35)</f>
        <v>0</v>
      </c>
      <c r="H36" s="127">
        <f t="shared" ref="H36" si="27">SUM(H34:H35)</f>
        <v>0</v>
      </c>
      <c r="I36" s="127">
        <f t="shared" ref="I36" si="28">SUM(I34:I35)</f>
        <v>361.47581751012547</v>
      </c>
    </row>
    <row r="37" spans="2:10" x14ac:dyDescent="0.3">
      <c r="B37" s="8" t="s">
        <v>42</v>
      </c>
      <c r="D37" s="28"/>
      <c r="E37" s="28"/>
      <c r="F37" s="28"/>
      <c r="G37" s="28"/>
      <c r="H37" s="28"/>
    </row>
    <row r="38" spans="2:10" x14ac:dyDescent="0.3">
      <c r="C38" t="s">
        <v>63</v>
      </c>
      <c r="D38" s="28">
        <f>'Direct $ Composition'!O123*(Escalators!D$30-1)+'Direct $ Composition'!U123*(Escalators!D$31-1)</f>
        <v>10.890325104940906</v>
      </c>
      <c r="E38" s="28">
        <f>'Direct $ Composition'!P123*(Escalators!E$30-1)+'Direct $ Composition'!V123*(Escalators!E$31-1)</f>
        <v>68.82167529302518</v>
      </c>
      <c r="F38" s="28">
        <f>'Direct $ Composition'!Q123*(Escalators!F$30-1)+'Direct $ Composition'!W123*(Escalators!F$31-1)</f>
        <v>45.7829470563493</v>
      </c>
      <c r="G38" s="28">
        <f>'Direct $ Composition'!R123*(Escalators!G$30-1)+'Direct $ Composition'!X123*(Escalators!G$31-1)</f>
        <v>2.2261632208302204</v>
      </c>
      <c r="H38" s="28">
        <f>'Direct $ Composition'!S123*(Escalators!H$30-1)+'Direct $ Composition'!Y123*(Escalators!H$31-1)</f>
        <v>0</v>
      </c>
      <c r="I38" s="29">
        <f t="shared" ref="I38:I39" si="29">SUM(D38:H38)</f>
        <v>127.7211106751456</v>
      </c>
    </row>
    <row r="39" spans="2:10" x14ac:dyDescent="0.3">
      <c r="C39" t="s">
        <v>65</v>
      </c>
      <c r="D39" s="28">
        <f>'Direct $ Composition'!O124*(Escalators!D$30-1)+'Direct $ Composition'!U124*(Escalators!D$31-1)</f>
        <v>0</v>
      </c>
      <c r="E39" s="28">
        <f>'Direct $ Composition'!P124*(Escalators!E$30-1)+'Direct $ Composition'!V124*(Escalators!E$31-1)</f>
        <v>14.298888221985958</v>
      </c>
      <c r="F39" s="28">
        <f>'Direct $ Composition'!Q124*(Escalators!F$30-1)+'Direct $ Composition'!W124*(Escalators!F$31-1)</f>
        <v>39.343476534888197</v>
      </c>
      <c r="G39" s="28">
        <f>'Direct $ Composition'!R124*(Escalators!G$30-1)+'Direct $ Composition'!X124*(Escalators!G$31-1)</f>
        <v>0</v>
      </c>
      <c r="H39" s="28">
        <f>'Direct $ Composition'!S124*(Escalators!H$30-1)+'Direct $ Composition'!Y124*(Escalators!H$31-1)</f>
        <v>0</v>
      </c>
      <c r="I39" s="29">
        <f t="shared" si="29"/>
        <v>53.642364756874159</v>
      </c>
    </row>
    <row r="40" spans="2:10" x14ac:dyDescent="0.3">
      <c r="C40" t="s">
        <v>146</v>
      </c>
      <c r="D40" s="127">
        <f>SUM(D38:D39)</f>
        <v>10.890325104940906</v>
      </c>
      <c r="E40" s="127">
        <f t="shared" ref="E40" si="30">SUM(E38:E39)</f>
        <v>83.120563515011142</v>
      </c>
      <c r="F40" s="127">
        <f t="shared" ref="F40" si="31">SUM(F38:F39)</f>
        <v>85.126423591237497</v>
      </c>
      <c r="G40" s="127">
        <f t="shared" ref="G40" si="32">SUM(G38:G39)</f>
        <v>2.2261632208302204</v>
      </c>
      <c r="H40" s="127">
        <f t="shared" ref="H40" si="33">SUM(H38:H39)</f>
        <v>0</v>
      </c>
      <c r="I40" s="127">
        <f t="shared" ref="I40" si="34">SUM(I38:I39)</f>
        <v>181.36347543201975</v>
      </c>
    </row>
    <row r="41" spans="2:10" x14ac:dyDescent="0.3">
      <c r="B41" s="192" t="s">
        <v>103</v>
      </c>
      <c r="D41" s="195"/>
      <c r="E41" s="195"/>
      <c r="F41" s="195"/>
      <c r="G41" s="195"/>
      <c r="H41" s="195"/>
      <c r="I41" s="195"/>
    </row>
    <row r="42" spans="2:10" x14ac:dyDescent="0.3">
      <c r="C42" s="192" t="s">
        <v>232</v>
      </c>
      <c r="D42" s="28">
        <f>'Direct $ Composition'!O127*(Escalators!D$30-1)+'Direct $ Composition'!U127*(Escalators!D$31-1)</f>
        <v>0</v>
      </c>
      <c r="E42" s="28">
        <f>'Direct $ Composition'!P127*(Escalators!E$30-1)+'Direct $ Composition'!V127*(Escalators!E$31-1)</f>
        <v>0</v>
      </c>
      <c r="F42" s="28">
        <f>'Direct $ Composition'!Q127*(Escalators!F$30-1)+'Direct $ Composition'!W127*(Escalators!F$31-1)</f>
        <v>0</v>
      </c>
      <c r="G42" s="28">
        <f>'Direct $ Composition'!R127*(Escalators!G$30-1)+'Direct $ Composition'!X127*(Escalators!G$31-1)</f>
        <v>0</v>
      </c>
      <c r="H42" s="28">
        <f>'Direct $ Composition'!S127*(Escalators!H$30-1)+'Direct $ Composition'!Y127*(Escalators!H$31-1)</f>
        <v>0</v>
      </c>
      <c r="I42" s="29">
        <f t="shared" ref="I42:I43" si="35">SUM(D42:H42)</f>
        <v>0</v>
      </c>
    </row>
    <row r="43" spans="2:10" x14ac:dyDescent="0.3">
      <c r="C43" s="192" t="s">
        <v>231</v>
      </c>
      <c r="D43" s="28">
        <f>'Direct $ Composition'!O128*(Escalators!D$30-1)+'Direct $ Composition'!U128*(Escalators!D$31-1)</f>
        <v>0</v>
      </c>
      <c r="E43" s="28">
        <f>'Direct $ Composition'!P128*(Escalators!E$30-1)+'Direct $ Composition'!V128*(Escalators!E$31-1)</f>
        <v>0</v>
      </c>
      <c r="F43" s="28">
        <f>'Direct $ Composition'!Q128*(Escalators!F$30-1)+'Direct $ Composition'!W128*(Escalators!F$31-1)</f>
        <v>0</v>
      </c>
      <c r="G43" s="28">
        <f>'Direct $ Composition'!R128*(Escalators!G$30-1)+'Direct $ Composition'!X128*(Escalators!G$31-1)</f>
        <v>0</v>
      </c>
      <c r="H43" s="28">
        <f>'Direct $ Composition'!S128*(Escalators!H$30-1)+'Direct $ Composition'!Y128*(Escalators!H$31-1)</f>
        <v>0</v>
      </c>
      <c r="I43" s="29">
        <f t="shared" si="35"/>
        <v>0</v>
      </c>
    </row>
    <row r="44" spans="2:10" x14ac:dyDescent="0.3">
      <c r="C44" s="192" t="s">
        <v>291</v>
      </c>
      <c r="D44" s="28">
        <f>'Direct $ Composition'!O129*(Escalators!D$30-1)+'Direct $ Composition'!U129*(Escalators!D$31-1)</f>
        <v>0</v>
      </c>
      <c r="E44" s="28">
        <f>'Direct $ Composition'!P129*(Escalators!E$30-1)+'Direct $ Composition'!V129*(Escalators!E$31-1)</f>
        <v>0.39973711660029748</v>
      </c>
      <c r="F44" s="28">
        <f>'Direct $ Composition'!Q129*(Escalators!F$30-1)+'Direct $ Composition'!W129*(Escalators!F$31-1)</f>
        <v>0</v>
      </c>
      <c r="G44" s="28">
        <f>'Direct $ Composition'!R129*(Escalators!G$30-1)+'Direct $ Composition'!X129*(Escalators!G$31-1)</f>
        <v>0</v>
      </c>
      <c r="H44" s="28">
        <f>'Direct $ Composition'!S129*(Escalators!H$30-1)+'Direct $ Composition'!Y129*(Escalators!H$31-1)</f>
        <v>0</v>
      </c>
      <c r="I44" s="29">
        <f t="shared" ref="I44" si="36">SUM(D44:H44)</f>
        <v>0.39973711660029748</v>
      </c>
    </row>
    <row r="45" spans="2:10" x14ac:dyDescent="0.3">
      <c r="C45" s="192" t="s">
        <v>146</v>
      </c>
      <c r="D45" s="195">
        <f t="shared" ref="D45" si="37">SUM(D42:D44)</f>
        <v>0</v>
      </c>
      <c r="E45" s="195">
        <f>SUM(E42:E44)</f>
        <v>0.39973711660029748</v>
      </c>
      <c r="F45" s="195">
        <f t="shared" ref="F45:I45" si="38">SUM(F42:F44)</f>
        <v>0</v>
      </c>
      <c r="G45" s="195">
        <f t="shared" si="38"/>
        <v>0</v>
      </c>
      <c r="H45" s="195">
        <f t="shared" si="38"/>
        <v>0</v>
      </c>
      <c r="I45" s="195">
        <f t="shared" si="38"/>
        <v>0.39973711660029748</v>
      </c>
    </row>
    <row r="46" spans="2:10" ht="15" thickBot="1" x14ac:dyDescent="0.35">
      <c r="B46" s="26" t="s">
        <v>147</v>
      </c>
      <c r="D46" s="162">
        <f>D32+D36+D40+D45</f>
        <v>34.948927222681881</v>
      </c>
      <c r="E46" s="162">
        <f t="shared" ref="E46:I46" si="39">E32+E36+E40+E45</f>
        <v>373.37917810523345</v>
      </c>
      <c r="F46" s="162">
        <f t="shared" si="39"/>
        <v>323.4284519575229</v>
      </c>
      <c r="G46" s="162">
        <f t="shared" si="39"/>
        <v>5.0061841387347181</v>
      </c>
      <c r="H46" s="162">
        <f t="shared" si="39"/>
        <v>0</v>
      </c>
      <c r="I46" s="162">
        <f t="shared" si="39"/>
        <v>736.76274142417287</v>
      </c>
      <c r="J46" s="163">
        <f>I46/I23</f>
        <v>7.0508546121768297E-3</v>
      </c>
    </row>
    <row r="47" spans="2:10" x14ac:dyDescent="0.3">
      <c r="B47" s="220" t="s">
        <v>83</v>
      </c>
      <c r="D47" s="164">
        <f>D46-('Direct $ Composition'!O131*(Escalators!D30-1)+'Direct $ Composition'!U131*(Escalators!D31-1))</f>
        <v>0</v>
      </c>
      <c r="E47" s="164">
        <f>E46-('Direct $ Composition'!P131*(Escalators!E30-1)+'Direct $ Composition'!V131*(Escalators!E31-1))</f>
        <v>0</v>
      </c>
      <c r="F47" s="164">
        <f>F46-('Direct $ Composition'!Q131*(Escalators!F30-1)+'Direct $ Composition'!W131*(Escalators!F31-1))</f>
        <v>0</v>
      </c>
      <c r="G47" s="164">
        <f>G46-('Direct $ Composition'!R131*(Escalators!G30-1)+'Direct $ Composition'!X131*(Escalators!G31-1))</f>
        <v>0</v>
      </c>
      <c r="H47" s="164">
        <f>H46-('Direct $ Composition'!S131*(Escalators!H30-1)+'Direct $ Composition'!Y131*(Escalators!H31-1))</f>
        <v>0</v>
      </c>
      <c r="I47" s="164">
        <f>SUM(D47:H47)</f>
        <v>0</v>
      </c>
      <c r="J47" s="163"/>
    </row>
    <row r="49" spans="2:9" x14ac:dyDescent="0.3">
      <c r="B49" s="26" t="s">
        <v>150</v>
      </c>
    </row>
    <row r="51" spans="2:9" x14ac:dyDescent="0.3">
      <c r="B51" t="s">
        <v>145</v>
      </c>
      <c r="D51" s="4">
        <v>2016</v>
      </c>
      <c r="E51" s="4">
        <v>2017</v>
      </c>
      <c r="F51" s="4">
        <v>2018</v>
      </c>
      <c r="G51" s="4">
        <v>2019</v>
      </c>
      <c r="H51" s="4">
        <v>2020</v>
      </c>
      <c r="I51" s="4" t="s">
        <v>6</v>
      </c>
    </row>
    <row r="52" spans="2:9" x14ac:dyDescent="0.3">
      <c r="B52" t="s">
        <v>38</v>
      </c>
    </row>
    <row r="53" spans="2:9" x14ac:dyDescent="0.3">
      <c r="C53" t="s">
        <v>63</v>
      </c>
      <c r="D53" s="29">
        <f>D7+D30</f>
        <v>2889.0352446996235</v>
      </c>
      <c r="E53" s="29">
        <f t="shared" ref="E53:H53" si="40">E7+E30</f>
        <v>16560.082642496836</v>
      </c>
      <c r="F53" s="29">
        <f t="shared" si="40"/>
        <v>9056.5039865936724</v>
      </c>
      <c r="G53" s="29">
        <f t="shared" si="40"/>
        <v>64.826052049696855</v>
      </c>
      <c r="H53" s="29">
        <f t="shared" si="40"/>
        <v>0</v>
      </c>
      <c r="I53" s="29">
        <f>SUM(D53:H53)</f>
        <v>28570.447925839824</v>
      </c>
    </row>
    <row r="54" spans="2:9" x14ac:dyDescent="0.3">
      <c r="C54" t="s">
        <v>65</v>
      </c>
      <c r="D54" s="29">
        <f t="shared" ref="D54:H54" si="41">D8+D31</f>
        <v>0</v>
      </c>
      <c r="E54" s="29">
        <f t="shared" si="41"/>
        <v>0</v>
      </c>
      <c r="F54" s="29">
        <f t="shared" si="41"/>
        <v>0</v>
      </c>
      <c r="G54" s="29">
        <f t="shared" si="41"/>
        <v>0</v>
      </c>
      <c r="H54" s="29">
        <f t="shared" si="41"/>
        <v>0</v>
      </c>
      <c r="I54" s="29">
        <f>SUM(D54:H54)</f>
        <v>0</v>
      </c>
    </row>
    <row r="55" spans="2:9" x14ac:dyDescent="0.3">
      <c r="C55" t="s">
        <v>146</v>
      </c>
      <c r="D55" s="127">
        <f>SUM(D53:D54)</f>
        <v>2889.0352446996235</v>
      </c>
      <c r="E55" s="127">
        <f t="shared" ref="E55" si="42">SUM(E53:E54)</f>
        <v>16560.082642496836</v>
      </c>
      <c r="F55" s="127">
        <f t="shared" ref="F55" si="43">SUM(F53:F54)</f>
        <v>9056.5039865936724</v>
      </c>
      <c r="G55" s="127">
        <f t="shared" ref="G55" si="44">SUM(G53:G54)</f>
        <v>64.826052049696855</v>
      </c>
      <c r="H55" s="127">
        <f t="shared" ref="H55" si="45">SUM(H53:H54)</f>
        <v>0</v>
      </c>
      <c r="I55" s="127">
        <f t="shared" ref="I55" si="46">SUM(I53:I54)</f>
        <v>28570.447925839824</v>
      </c>
    </row>
    <row r="56" spans="2:9" x14ac:dyDescent="0.3">
      <c r="B56" s="8" t="s">
        <v>39</v>
      </c>
    </row>
    <row r="57" spans="2:9" x14ac:dyDescent="0.3">
      <c r="C57" t="s">
        <v>63</v>
      </c>
      <c r="D57" s="29">
        <f t="shared" ref="D57:H57" si="47">D11+D34</f>
        <v>0</v>
      </c>
      <c r="E57" s="29">
        <f t="shared" si="47"/>
        <v>21497.938083900754</v>
      </c>
      <c r="F57" s="29">
        <f t="shared" si="47"/>
        <v>10176.986425213598</v>
      </c>
      <c r="G57" s="29">
        <f t="shared" si="47"/>
        <v>0</v>
      </c>
      <c r="H57" s="29">
        <f t="shared" si="47"/>
        <v>0</v>
      </c>
      <c r="I57" s="29">
        <f t="shared" ref="I57:I58" si="48">SUM(D57:H57)</f>
        <v>31674.924509114353</v>
      </c>
    </row>
    <row r="58" spans="2:9" x14ac:dyDescent="0.3">
      <c r="C58" t="s">
        <v>65</v>
      </c>
      <c r="D58" s="29">
        <f t="shared" ref="D58:H58" si="49">D12+D35</f>
        <v>1920.0260023163542</v>
      </c>
      <c r="E58" s="29">
        <f t="shared" si="49"/>
        <v>7627.6749939359697</v>
      </c>
      <c r="F58" s="29">
        <f t="shared" si="49"/>
        <v>8317.1925908851463</v>
      </c>
      <c r="G58" s="29">
        <f t="shared" si="49"/>
        <v>0</v>
      </c>
      <c r="H58" s="29">
        <f t="shared" si="49"/>
        <v>0</v>
      </c>
      <c r="I58" s="29">
        <f t="shared" si="48"/>
        <v>17864.893587137471</v>
      </c>
    </row>
    <row r="59" spans="2:9" x14ac:dyDescent="0.3">
      <c r="C59" t="s">
        <v>146</v>
      </c>
      <c r="D59" s="127">
        <f>SUM(D57:D58)</f>
        <v>1920.0260023163542</v>
      </c>
      <c r="E59" s="127">
        <f t="shared" ref="E59" si="50">SUM(E57:E58)</f>
        <v>29125.613077836722</v>
      </c>
      <c r="F59" s="127">
        <f t="shared" ref="F59" si="51">SUM(F57:F58)</f>
        <v>18494.179016098744</v>
      </c>
      <c r="G59" s="127">
        <f t="shared" ref="G59" si="52">SUM(G57:G58)</f>
        <v>0</v>
      </c>
      <c r="H59" s="127">
        <f t="shared" ref="H59" si="53">SUM(H57:H58)</f>
        <v>0</v>
      </c>
      <c r="I59" s="127">
        <f t="shared" ref="I59" si="54">SUM(I57:I58)</f>
        <v>49539.818096251824</v>
      </c>
    </row>
    <row r="60" spans="2:9" x14ac:dyDescent="0.3">
      <c r="B60" s="8" t="s">
        <v>42</v>
      </c>
    </row>
    <row r="61" spans="2:9" x14ac:dyDescent="0.3">
      <c r="C61" t="s">
        <v>63</v>
      </c>
      <c r="D61" s="29">
        <f t="shared" ref="D61:H61" si="55">D15+D38</f>
        <v>2084.8260167158865</v>
      </c>
      <c r="E61" s="29">
        <f t="shared" si="55"/>
        <v>11289.667338951425</v>
      </c>
      <c r="F61" s="29">
        <f t="shared" si="55"/>
        <v>5086.6929109466437</v>
      </c>
      <c r="G61" s="29">
        <f t="shared" si="55"/>
        <v>51.910894589037866</v>
      </c>
      <c r="H61" s="29">
        <f t="shared" si="55"/>
        <v>0</v>
      </c>
      <c r="I61" s="29">
        <f t="shared" ref="I61:I62" si="56">SUM(D61:H61)</f>
        <v>18513.097161202993</v>
      </c>
    </row>
    <row r="62" spans="2:9" x14ac:dyDescent="0.3">
      <c r="C62" t="s">
        <v>65</v>
      </c>
      <c r="D62" s="29">
        <f t="shared" ref="D62:H62" si="57">D16+D39</f>
        <v>0</v>
      </c>
      <c r="E62" s="29">
        <f t="shared" si="57"/>
        <v>2303.8603319719864</v>
      </c>
      <c r="F62" s="29">
        <f t="shared" si="57"/>
        <v>5666.5518077848892</v>
      </c>
      <c r="G62" s="29">
        <f t="shared" si="57"/>
        <v>0</v>
      </c>
      <c r="H62" s="29">
        <f t="shared" si="57"/>
        <v>0</v>
      </c>
      <c r="I62" s="29">
        <f t="shared" si="56"/>
        <v>7970.4121397568761</v>
      </c>
    </row>
    <row r="63" spans="2:9" x14ac:dyDescent="0.3">
      <c r="C63" t="s">
        <v>146</v>
      </c>
      <c r="D63" s="127">
        <f>SUM(D61:D62)</f>
        <v>2084.8260167158865</v>
      </c>
      <c r="E63" s="127">
        <f t="shared" ref="E63" si="58">SUM(E61:E62)</f>
        <v>13593.527670923411</v>
      </c>
      <c r="F63" s="127">
        <f t="shared" ref="F63" si="59">SUM(F61:F62)</f>
        <v>10753.244718731534</v>
      </c>
      <c r="G63" s="127">
        <f t="shared" ref="G63" si="60">SUM(G61:G62)</f>
        <v>51.910894589037866</v>
      </c>
      <c r="H63" s="127">
        <f t="shared" ref="H63" si="61">SUM(H61:H62)</f>
        <v>0</v>
      </c>
      <c r="I63" s="127">
        <f t="shared" ref="I63" si="62">SUM(I61:I62)</f>
        <v>26483.509300959871</v>
      </c>
    </row>
    <row r="64" spans="2:9" x14ac:dyDescent="0.3">
      <c r="B64" s="192" t="s">
        <v>103</v>
      </c>
      <c r="D64" s="195"/>
      <c r="E64" s="195"/>
      <c r="F64" s="195"/>
      <c r="G64" s="195"/>
      <c r="H64" s="195"/>
      <c r="I64" s="195"/>
    </row>
    <row r="65" spans="2:9" x14ac:dyDescent="0.3">
      <c r="C65" s="192" t="s">
        <v>232</v>
      </c>
      <c r="D65" s="29">
        <f t="shared" ref="D65:H65" si="63">D19+D42</f>
        <v>0</v>
      </c>
      <c r="E65" s="29">
        <f t="shared" si="63"/>
        <v>0</v>
      </c>
      <c r="F65" s="29">
        <f t="shared" si="63"/>
        <v>0</v>
      </c>
      <c r="G65" s="29">
        <f t="shared" si="63"/>
        <v>0</v>
      </c>
      <c r="H65" s="29">
        <f t="shared" si="63"/>
        <v>0</v>
      </c>
      <c r="I65" s="29">
        <f t="shared" ref="I65:I66" si="64">SUM(D65:H65)</f>
        <v>0</v>
      </c>
    </row>
    <row r="66" spans="2:9" x14ac:dyDescent="0.3">
      <c r="C66" s="192" t="s">
        <v>231</v>
      </c>
      <c r="D66" s="29">
        <f t="shared" ref="D66:H67" si="65">D20+D43</f>
        <v>0</v>
      </c>
      <c r="E66" s="29">
        <f t="shared" si="65"/>
        <v>225.01</v>
      </c>
      <c r="F66" s="29">
        <f t="shared" si="65"/>
        <v>370.02</v>
      </c>
      <c r="G66" s="29">
        <f t="shared" si="65"/>
        <v>0</v>
      </c>
      <c r="H66" s="29">
        <f t="shared" si="65"/>
        <v>0</v>
      </c>
      <c r="I66" s="29">
        <f t="shared" si="64"/>
        <v>595.03</v>
      </c>
    </row>
    <row r="67" spans="2:9" x14ac:dyDescent="0.3">
      <c r="C67" s="192" t="s">
        <v>291</v>
      </c>
      <c r="D67" s="29">
        <f t="shared" si="65"/>
        <v>0</v>
      </c>
      <c r="E67" s="29">
        <f t="shared" si="65"/>
        <v>40.644042740615312</v>
      </c>
      <c r="F67" s="29">
        <f t="shared" si="65"/>
        <v>0</v>
      </c>
      <c r="G67" s="29">
        <f t="shared" si="65"/>
        <v>0</v>
      </c>
      <c r="H67" s="29">
        <f t="shared" si="65"/>
        <v>0</v>
      </c>
      <c r="I67" s="29">
        <f t="shared" ref="I67" si="66">SUM(D67:H67)</f>
        <v>40.644042740615312</v>
      </c>
    </row>
    <row r="68" spans="2:9" x14ac:dyDescent="0.3">
      <c r="C68" s="192" t="s">
        <v>146</v>
      </c>
      <c r="D68" s="195">
        <f t="shared" ref="D68" si="67">SUM(D65:D67)</f>
        <v>0</v>
      </c>
      <c r="E68" s="195">
        <f>SUM(E65:E67)</f>
        <v>265.6540427406153</v>
      </c>
      <c r="F68" s="195">
        <f t="shared" ref="F68:I68" si="68">SUM(F65:F67)</f>
        <v>370.02</v>
      </c>
      <c r="G68" s="195">
        <f t="shared" si="68"/>
        <v>0</v>
      </c>
      <c r="H68" s="195">
        <f t="shared" si="68"/>
        <v>0</v>
      </c>
      <c r="I68" s="195">
        <f t="shared" si="68"/>
        <v>635.67404274061528</v>
      </c>
    </row>
    <row r="69" spans="2:9" ht="15" thickBot="1" x14ac:dyDescent="0.35">
      <c r="B69" s="26" t="s">
        <v>147</v>
      </c>
      <c r="D69" s="162">
        <f>D55+D59+D63+D68</f>
        <v>6893.8872637318636</v>
      </c>
      <c r="E69" s="162">
        <f t="shared" ref="E69:I69" si="69">E55+E59+E63+E68</f>
        <v>59544.877433997586</v>
      </c>
      <c r="F69" s="162">
        <f t="shared" si="69"/>
        <v>38673.947721423945</v>
      </c>
      <c r="G69" s="162">
        <f t="shared" si="69"/>
        <v>116.73694663873472</v>
      </c>
      <c r="H69" s="162">
        <f t="shared" si="69"/>
        <v>0</v>
      </c>
      <c r="I69" s="162">
        <f t="shared" si="69"/>
        <v>105229.44936579214</v>
      </c>
    </row>
    <row r="70" spans="2:9" x14ac:dyDescent="0.3">
      <c r="B70" s="220" t="s">
        <v>83</v>
      </c>
      <c r="D70" s="29">
        <f>D69-D46-D23</f>
        <v>0</v>
      </c>
      <c r="E70" s="29">
        <f t="shared" ref="E70:I70" si="70">E69-E46-E23</f>
        <v>0</v>
      </c>
      <c r="F70" s="29">
        <f t="shared" si="70"/>
        <v>0</v>
      </c>
      <c r="G70" s="29">
        <f t="shared" si="70"/>
        <v>0</v>
      </c>
      <c r="H70" s="29">
        <f t="shared" si="70"/>
        <v>0</v>
      </c>
      <c r="I70" s="29">
        <f t="shared" si="70"/>
        <v>0</v>
      </c>
    </row>
  </sheetData>
  <pageMargins left="0.7" right="0.7" top="0.75" bottom="0.75" header="0.3" footer="0.3"/>
  <ignoredErrors>
    <ignoredError sqref="D32:H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6"/>
  <sheetViews>
    <sheetView zoomScale="85" zoomScaleNormal="85" workbookViewId="0">
      <selection activeCell="C23" sqref="C23"/>
    </sheetView>
  </sheetViews>
  <sheetFormatPr defaultRowHeight="14.4" x14ac:dyDescent="0.3"/>
  <cols>
    <col min="1" max="1" width="4" customWidth="1"/>
    <col min="2" max="2" width="62.21875" customWidth="1"/>
    <col min="3" max="7" width="11.6640625" bestFit="1" customWidth="1"/>
    <col min="8" max="8" width="10.33203125" customWidth="1"/>
  </cols>
  <sheetData>
    <row r="2" spans="2:8" ht="15.6" x14ac:dyDescent="0.3">
      <c r="B2" s="135" t="s">
        <v>80</v>
      </c>
    </row>
    <row r="3" spans="2:8" ht="15" thickBot="1" x14ac:dyDescent="0.35"/>
    <row r="4" spans="2:8" ht="16.8" thickTop="1" thickBot="1" x14ac:dyDescent="0.35">
      <c r="B4" s="125" t="s">
        <v>55</v>
      </c>
      <c r="C4" s="57"/>
      <c r="D4" s="57"/>
      <c r="E4" s="57"/>
      <c r="F4" s="57"/>
      <c r="G4" s="58"/>
    </row>
    <row r="5" spans="2:8" ht="15.6" thickTop="1" thickBot="1" x14ac:dyDescent="0.35">
      <c r="B5" s="59"/>
      <c r="C5" s="60">
        <v>2016</v>
      </c>
      <c r="D5" s="60">
        <v>2017</v>
      </c>
      <c r="E5" s="61">
        <v>2018</v>
      </c>
      <c r="F5" s="60">
        <v>2019</v>
      </c>
      <c r="G5" s="62">
        <v>2020</v>
      </c>
    </row>
    <row r="6" spans="2:8" ht="15" thickTop="1" x14ac:dyDescent="0.3">
      <c r="B6" s="63" t="s">
        <v>56</v>
      </c>
      <c r="C6" s="64"/>
      <c r="D6" s="64"/>
      <c r="E6" s="65"/>
      <c r="F6" s="64"/>
      <c r="G6" s="66"/>
    </row>
    <row r="7" spans="2:8" x14ac:dyDescent="0.3">
      <c r="B7" s="169" t="s">
        <v>54</v>
      </c>
      <c r="C7" s="67">
        <v>0.75</v>
      </c>
      <c r="D7" s="67">
        <v>0.75</v>
      </c>
      <c r="E7" s="67">
        <v>0.75</v>
      </c>
      <c r="F7" s="67">
        <v>0.75</v>
      </c>
      <c r="G7" s="68">
        <v>0.75</v>
      </c>
    </row>
    <row r="8" spans="2:8" ht="15" thickBot="1" x14ac:dyDescent="0.35">
      <c r="B8" s="170" t="s">
        <v>57</v>
      </c>
      <c r="C8" s="69">
        <v>0.25</v>
      </c>
      <c r="D8" s="69">
        <v>0.25</v>
      </c>
      <c r="E8" s="69">
        <v>0.25</v>
      </c>
      <c r="F8" s="69">
        <v>0.25</v>
      </c>
      <c r="G8" s="70">
        <v>0.25</v>
      </c>
    </row>
    <row r="9" spans="2:8" ht="15" thickTop="1" x14ac:dyDescent="0.3">
      <c r="B9" s="71" t="s">
        <v>58</v>
      </c>
      <c r="C9" s="72"/>
      <c r="D9" s="72"/>
      <c r="E9" s="72"/>
      <c r="F9" s="72"/>
      <c r="G9" s="73"/>
    </row>
    <row r="10" spans="2:8" x14ac:dyDescent="0.3">
      <c r="B10" s="169" t="s">
        <v>59</v>
      </c>
      <c r="C10" s="74">
        <v>25516.319151098403</v>
      </c>
      <c r="D10" s="74">
        <v>26792.925345310952</v>
      </c>
      <c r="E10" s="74">
        <v>26017.930176171962</v>
      </c>
      <c r="F10" s="74">
        <v>26029.327186194743</v>
      </c>
      <c r="G10" s="75">
        <v>26112.198899090159</v>
      </c>
      <c r="H10" s="126"/>
    </row>
    <row r="11" spans="2:8" x14ac:dyDescent="0.3">
      <c r="B11" s="169" t="s">
        <v>60</v>
      </c>
      <c r="C11" s="74">
        <v>8505.4397170328011</v>
      </c>
      <c r="D11" s="74">
        <v>8930.9751151036508</v>
      </c>
      <c r="E11" s="74">
        <v>8672.6433920573199</v>
      </c>
      <c r="F11" s="74">
        <v>8676.4423953982478</v>
      </c>
      <c r="G11" s="75">
        <v>8704.0662996967203</v>
      </c>
    </row>
    <row r="12" spans="2:8" x14ac:dyDescent="0.3">
      <c r="B12" s="169" t="s">
        <v>61</v>
      </c>
      <c r="C12" s="76">
        <v>0.92163991921824151</v>
      </c>
      <c r="D12" s="76">
        <v>0.92663486611572921</v>
      </c>
      <c r="E12" s="76">
        <v>0.93922382705772456</v>
      </c>
      <c r="F12" s="76">
        <v>0.93168307243545245</v>
      </c>
      <c r="G12" s="77">
        <v>0.91597832702227233</v>
      </c>
    </row>
    <row r="13" spans="2:8" ht="15" thickBot="1" x14ac:dyDescent="0.35">
      <c r="B13" s="171" t="s">
        <v>62</v>
      </c>
      <c r="C13" s="78">
        <v>7838.952773721734</v>
      </c>
      <c r="D13" s="78">
        <v>8275.7529300669812</v>
      </c>
      <c r="E13" s="78">
        <v>8145.5533173949616</v>
      </c>
      <c r="F13" s="78">
        <v>8083.6945087538561</v>
      </c>
      <c r="G13" s="79">
        <v>7972.736087487142</v>
      </c>
    </row>
    <row r="14" spans="2:8" ht="15" thickTop="1" x14ac:dyDescent="0.3">
      <c r="B14" s="41" t="s">
        <v>88</v>
      </c>
      <c r="C14" s="131"/>
      <c r="D14" s="131"/>
      <c r="E14" s="131"/>
      <c r="F14" s="131"/>
      <c r="G14" s="131"/>
    </row>
    <row r="15" spans="2:8" x14ac:dyDescent="0.3">
      <c r="C15" s="4">
        <v>2016</v>
      </c>
      <c r="D15" s="4">
        <v>2017</v>
      </c>
      <c r="E15" s="4">
        <v>2018</v>
      </c>
      <c r="F15" s="4">
        <v>2019</v>
      </c>
      <c r="G15" s="4">
        <v>2020</v>
      </c>
      <c r="H15" s="4" t="s">
        <v>6</v>
      </c>
    </row>
    <row r="16" spans="2:8" x14ac:dyDescent="0.3">
      <c r="B16" s="80" t="s">
        <v>117</v>
      </c>
      <c r="C16" s="81">
        <f>C10+C13</f>
        <v>33355.271924820139</v>
      </c>
      <c r="D16" s="81">
        <f t="shared" ref="D16:G16" si="0">D10+D13</f>
        <v>35068.678275377933</v>
      </c>
      <c r="E16" s="81">
        <f t="shared" si="0"/>
        <v>34163.483493566921</v>
      </c>
      <c r="F16" s="81">
        <f t="shared" si="0"/>
        <v>34113.021694948598</v>
      </c>
      <c r="G16" s="81">
        <f t="shared" si="0"/>
        <v>34084.934986577304</v>
      </c>
      <c r="H16" s="126">
        <f>SUM(C16:G16)</f>
        <v>170785.39037529091</v>
      </c>
    </row>
    <row r="17" spans="2:8" x14ac:dyDescent="0.3">
      <c r="B17" s="80" t="s">
        <v>120</v>
      </c>
      <c r="C17" s="81">
        <f>'Capex by Purpose'!C25</f>
        <v>33261.385519051022</v>
      </c>
      <c r="D17" s="81">
        <f>'Capex by Purpose'!D25</f>
        <v>34850.114753332811</v>
      </c>
      <c r="E17" s="81">
        <f>'Capex by Purpose'!E25</f>
        <v>33913.962601280691</v>
      </c>
      <c r="F17" s="81">
        <f>'Capex by Purpose'!F25</f>
        <v>33828.254396902899</v>
      </c>
      <c r="G17" s="81">
        <f>'Capex by Purpose'!G25</f>
        <v>33782.204994937783</v>
      </c>
      <c r="H17" s="126">
        <f>SUM(C17:G17)</f>
        <v>169635.92226550519</v>
      </c>
    </row>
    <row r="19" spans="2:8" x14ac:dyDescent="0.3">
      <c r="B19" t="s">
        <v>236</v>
      </c>
      <c r="C19" s="189">
        <v>2016</v>
      </c>
      <c r="D19" s="189">
        <v>2017</v>
      </c>
      <c r="E19" s="189">
        <v>2018</v>
      </c>
      <c r="F19" s="189">
        <v>2019</v>
      </c>
      <c r="G19" s="189">
        <v>2020</v>
      </c>
      <c r="H19" s="189" t="s">
        <v>6</v>
      </c>
    </row>
    <row r="20" spans="2:8" x14ac:dyDescent="0.3">
      <c r="B20" t="s">
        <v>237</v>
      </c>
      <c r="C20" s="28">
        <v>31932.395409158231</v>
      </c>
      <c r="D20" s="28">
        <v>33440.205324465853</v>
      </c>
      <c r="E20" s="28">
        <v>32553.663631276147</v>
      </c>
      <c r="F20" s="28">
        <v>32270.571335254968</v>
      </c>
      <c r="G20" s="28">
        <v>32571.148028795615</v>
      </c>
      <c r="H20" s="28">
        <f>SUM(C20:G20)</f>
        <v>162767.98372895081</v>
      </c>
    </row>
    <row r="21" spans="2:8" x14ac:dyDescent="0.3">
      <c r="B21" t="s">
        <v>238</v>
      </c>
      <c r="C21" s="30">
        <v>1422.8765156619111</v>
      </c>
      <c r="D21" s="30">
        <v>1628.472950912075</v>
      </c>
      <c r="E21" s="30">
        <v>1609.8198622907744</v>
      </c>
      <c r="F21" s="30">
        <v>1842.4503596936281</v>
      </c>
      <c r="G21" s="30">
        <v>1513.7869577816946</v>
      </c>
      <c r="H21" s="30">
        <f>SUM(C21:G21)</f>
        <v>8017.4066463400832</v>
      </c>
    </row>
    <row r="22" spans="2:8" x14ac:dyDescent="0.3">
      <c r="B22" s="143" t="s">
        <v>282</v>
      </c>
      <c r="C22" s="28">
        <f>SUM(C20:C21)</f>
        <v>33355.271924820139</v>
      </c>
      <c r="D22" s="28">
        <f t="shared" ref="D22:H22" si="1">SUM(D20:D21)</f>
        <v>35068.678275377926</v>
      </c>
      <c r="E22" s="28">
        <f t="shared" si="1"/>
        <v>34163.483493566921</v>
      </c>
      <c r="F22" s="28">
        <f t="shared" si="1"/>
        <v>34113.021694948598</v>
      </c>
      <c r="G22" s="28">
        <f t="shared" si="1"/>
        <v>34084.934986577311</v>
      </c>
      <c r="H22" s="28">
        <f t="shared" si="1"/>
        <v>170785.39037529091</v>
      </c>
    </row>
    <row r="23" spans="2:8" x14ac:dyDescent="0.3">
      <c r="B23" s="41" t="s">
        <v>83</v>
      </c>
      <c r="C23" s="203">
        <f t="shared" ref="C23:H23" si="2">C22-C16</f>
        <v>0</v>
      </c>
      <c r="D23" s="203">
        <f t="shared" si="2"/>
        <v>0</v>
      </c>
      <c r="E23" s="203">
        <f t="shared" si="2"/>
        <v>0</v>
      </c>
      <c r="F23" s="203">
        <f t="shared" si="2"/>
        <v>0</v>
      </c>
      <c r="G23" s="203">
        <f t="shared" si="2"/>
        <v>0</v>
      </c>
      <c r="H23" s="203">
        <f t="shared" si="2"/>
        <v>0</v>
      </c>
    </row>
    <row r="24" spans="2:8" x14ac:dyDescent="0.3">
      <c r="B24" s="41" t="s">
        <v>88</v>
      </c>
      <c r="C24" s="203"/>
      <c r="D24" s="203"/>
      <c r="E24" s="203"/>
      <c r="F24" s="203"/>
      <c r="G24" s="203"/>
      <c r="H24" s="203"/>
    </row>
    <row r="25" spans="2:8" x14ac:dyDescent="0.3">
      <c r="B25" s="41"/>
    </row>
    <row r="26" spans="2:8" x14ac:dyDescent="0.3">
      <c r="B26" s="143" t="s">
        <v>277</v>
      </c>
      <c r="C26" s="191">
        <v>2016</v>
      </c>
      <c r="D26" s="191">
        <v>2017</v>
      </c>
      <c r="E26" s="191">
        <v>2018</v>
      </c>
      <c r="F26" s="191">
        <v>2019</v>
      </c>
      <c r="G26" s="191">
        <v>2020</v>
      </c>
      <c r="H26" s="191" t="s">
        <v>6</v>
      </c>
    </row>
    <row r="27" spans="2:8" x14ac:dyDescent="0.3">
      <c r="B27" s="143" t="s">
        <v>38</v>
      </c>
      <c r="C27" s="28">
        <v>4817.6339434336433</v>
      </c>
      <c r="D27" s="28">
        <v>5185.1814411497135</v>
      </c>
      <c r="E27" s="28">
        <v>4837.5196256976678</v>
      </c>
      <c r="F27" s="28">
        <v>5105.1175868297487</v>
      </c>
      <c r="G27" s="28">
        <v>4862.6500470510855</v>
      </c>
      <c r="H27" s="28">
        <f>SUM(C27:G27)</f>
        <v>24808.10264416186</v>
      </c>
    </row>
    <row r="28" spans="2:8" x14ac:dyDescent="0.3">
      <c r="B28" s="143" t="s">
        <v>39</v>
      </c>
      <c r="C28" s="28">
        <v>26365.064802732726</v>
      </c>
      <c r="D28" s="28">
        <v>27536.867428685862</v>
      </c>
      <c r="E28" s="28">
        <v>27210.205072430301</v>
      </c>
      <c r="F28" s="28">
        <v>26660.493118677503</v>
      </c>
      <c r="G28" s="28">
        <v>27240.246429357649</v>
      </c>
      <c r="H28" s="28">
        <f t="shared" ref="H28:H29" si="3">SUM(C28:G28)</f>
        <v>135012.87685188404</v>
      </c>
    </row>
    <row r="29" spans="2:8" x14ac:dyDescent="0.3">
      <c r="B29" s="143" t="s">
        <v>42</v>
      </c>
      <c r="C29" s="30">
        <v>749.69666299186065</v>
      </c>
      <c r="D29" s="30">
        <v>718.15645463027613</v>
      </c>
      <c r="E29" s="30">
        <v>505.93893314817979</v>
      </c>
      <c r="F29" s="30">
        <v>504.96062974771849</v>
      </c>
      <c r="G29" s="30">
        <v>468.25155238687876</v>
      </c>
      <c r="H29" s="30">
        <f t="shared" si="3"/>
        <v>2947.0042329049138</v>
      </c>
    </row>
    <row r="30" spans="2:8" x14ac:dyDescent="0.3">
      <c r="B30" s="26" t="s">
        <v>274</v>
      </c>
      <c r="C30" s="28">
        <f>SUM(C27:C29)</f>
        <v>31932.395409158231</v>
      </c>
      <c r="D30" s="28">
        <f t="shared" ref="D30:H30" si="4">SUM(D27:D29)</f>
        <v>33440.205324465853</v>
      </c>
      <c r="E30" s="28">
        <f t="shared" si="4"/>
        <v>32553.663631276147</v>
      </c>
      <c r="F30" s="28">
        <f t="shared" si="4"/>
        <v>32270.571335254968</v>
      </c>
      <c r="G30" s="28">
        <f t="shared" si="4"/>
        <v>32571.148028795615</v>
      </c>
      <c r="H30" s="28">
        <f t="shared" si="4"/>
        <v>162767.98372895081</v>
      </c>
    </row>
    <row r="31" spans="2:8" x14ac:dyDescent="0.3">
      <c r="B31" s="41" t="s">
        <v>83</v>
      </c>
      <c r="C31" s="203">
        <f t="shared" ref="C31:H31" si="5">C30-C20</f>
        <v>0</v>
      </c>
      <c r="D31" s="203">
        <f t="shared" si="5"/>
        <v>0</v>
      </c>
      <c r="E31" s="203">
        <f t="shared" si="5"/>
        <v>0</v>
      </c>
      <c r="F31" s="203">
        <f t="shared" si="5"/>
        <v>0</v>
      </c>
      <c r="G31" s="203">
        <f t="shared" si="5"/>
        <v>0</v>
      </c>
      <c r="H31" s="203">
        <f t="shared" si="5"/>
        <v>0</v>
      </c>
    </row>
    <row r="32" spans="2:8" x14ac:dyDescent="0.3">
      <c r="B32" s="41" t="s">
        <v>88</v>
      </c>
      <c r="C32" s="203"/>
      <c r="D32" s="203"/>
      <c r="E32" s="203"/>
      <c r="F32" s="203"/>
      <c r="G32" s="203"/>
      <c r="H32" s="203"/>
    </row>
    <row r="33" spans="2:14" x14ac:dyDescent="0.3">
      <c r="B33" s="41"/>
      <c r="C33" s="203"/>
      <c r="D33" s="203"/>
      <c r="E33" s="203"/>
      <c r="F33" s="203"/>
      <c r="G33" s="203"/>
      <c r="H33" s="203"/>
    </row>
    <row r="34" spans="2:14" x14ac:dyDescent="0.3">
      <c r="B34" t="s">
        <v>278</v>
      </c>
      <c r="C34" s="189">
        <v>2016</v>
      </c>
      <c r="D34" s="189">
        <v>2017</v>
      </c>
      <c r="E34" s="189">
        <v>2018</v>
      </c>
      <c r="F34" s="189">
        <v>2019</v>
      </c>
      <c r="G34" s="189">
        <v>2020</v>
      </c>
      <c r="H34" s="189" t="s">
        <v>6</v>
      </c>
    </row>
    <row r="35" spans="2:14" x14ac:dyDescent="0.3">
      <c r="B35" t="s">
        <v>240</v>
      </c>
      <c r="C35" s="28">
        <f t="shared" ref="C35:G36" si="6">C20/C$22*C$13</f>
        <v>7504.5570046135927</v>
      </c>
      <c r="D35" s="28">
        <f t="shared" si="6"/>
        <v>7891.4544489774435</v>
      </c>
      <c r="E35" s="28">
        <f t="shared" si="6"/>
        <v>7761.7261376473198</v>
      </c>
      <c r="F35" s="28">
        <f t="shared" si="6"/>
        <v>7647.0927327958962</v>
      </c>
      <c r="G35" s="28">
        <f t="shared" si="6"/>
        <v>7618.6493359112246</v>
      </c>
      <c r="H35" s="28">
        <f>SUM(C35:G35)</f>
        <v>38423.479659945478</v>
      </c>
    </row>
    <row r="36" spans="2:14" x14ac:dyDescent="0.3">
      <c r="B36" t="s">
        <v>241</v>
      </c>
      <c r="C36" s="30">
        <f t="shared" si="6"/>
        <v>334.39576910814225</v>
      </c>
      <c r="D36" s="30">
        <f t="shared" si="6"/>
        <v>384.29848108953831</v>
      </c>
      <c r="E36" s="30">
        <f t="shared" si="6"/>
        <v>383.82717974764222</v>
      </c>
      <c r="F36" s="30">
        <f t="shared" si="6"/>
        <v>436.60177595795915</v>
      </c>
      <c r="G36" s="30">
        <f t="shared" si="6"/>
        <v>354.08675157591728</v>
      </c>
      <c r="H36" s="30">
        <f>SUM(C36:G36)</f>
        <v>1893.2099574791991</v>
      </c>
    </row>
    <row r="37" spans="2:14" x14ac:dyDescent="0.3">
      <c r="B37" s="26" t="s">
        <v>235</v>
      </c>
      <c r="C37" s="28">
        <f>SUM(C35:C36)</f>
        <v>7838.952773721735</v>
      </c>
      <c r="D37" s="28">
        <f t="shared" ref="D37:H37" si="7">SUM(D35:D36)</f>
        <v>8275.7529300669812</v>
      </c>
      <c r="E37" s="28">
        <f t="shared" si="7"/>
        <v>8145.5533173949616</v>
      </c>
      <c r="F37" s="28">
        <f t="shared" si="7"/>
        <v>8083.6945087538552</v>
      </c>
      <c r="G37" s="28">
        <f t="shared" si="7"/>
        <v>7972.736087487142</v>
      </c>
      <c r="H37" s="28">
        <f t="shared" si="7"/>
        <v>40316.689617424679</v>
      </c>
    </row>
    <row r="38" spans="2:14" x14ac:dyDescent="0.3">
      <c r="B38" s="41" t="s">
        <v>83</v>
      </c>
      <c r="C38" s="202">
        <f>C37-C13</f>
        <v>0</v>
      </c>
      <c r="D38" s="202">
        <f>D37-D13</f>
        <v>0</v>
      </c>
      <c r="E38" s="202">
        <f>E37-E13</f>
        <v>0</v>
      </c>
      <c r="F38" s="202">
        <f>F37-F13</f>
        <v>0</v>
      </c>
      <c r="G38" s="202">
        <f>G37-G13</f>
        <v>0</v>
      </c>
      <c r="H38" s="28"/>
    </row>
    <row r="40" spans="2:14" ht="22.2" customHeight="1" x14ac:dyDescent="0.3">
      <c r="B40" s="199" t="s">
        <v>283</v>
      </c>
      <c r="C40" s="138"/>
      <c r="D40" s="138"/>
      <c r="E40" s="138"/>
      <c r="F40" s="138"/>
      <c r="G40" s="138"/>
      <c r="H40" s="138"/>
    </row>
    <row r="41" spans="2:14" x14ac:dyDescent="0.3">
      <c r="B41" s="80" t="s">
        <v>242</v>
      </c>
      <c r="C41" s="4">
        <v>2016</v>
      </c>
      <c r="D41" s="4">
        <v>2017</v>
      </c>
      <c r="E41" s="4">
        <v>2018</v>
      </c>
      <c r="F41" s="4">
        <v>2019</v>
      </c>
      <c r="G41" s="4">
        <v>2020</v>
      </c>
      <c r="H41" s="4" t="s">
        <v>6</v>
      </c>
    </row>
    <row r="42" spans="2:14" x14ac:dyDescent="0.3">
      <c r="B42" t="s">
        <v>38</v>
      </c>
      <c r="C42" s="28">
        <v>41164.039126808901</v>
      </c>
      <c r="D42" s="28">
        <v>44845.174911760521</v>
      </c>
      <c r="E42" s="28">
        <v>41260.419691024756</v>
      </c>
      <c r="F42" s="28">
        <v>42850.2636722963</v>
      </c>
      <c r="G42" s="28">
        <v>39025.007672823551</v>
      </c>
      <c r="H42" s="29">
        <f>SUM(C42:G42)</f>
        <v>209144.90507471404</v>
      </c>
    </row>
    <row r="43" spans="2:14" x14ac:dyDescent="0.3">
      <c r="B43" t="s">
        <v>39</v>
      </c>
      <c r="C43" s="28">
        <v>230266.30687380279</v>
      </c>
      <c r="D43" s="28">
        <v>243389.59141651404</v>
      </c>
      <c r="E43" s="28">
        <v>237414.84646490234</v>
      </c>
      <c r="F43" s="28">
        <v>229301.64887918936</v>
      </c>
      <c r="G43" s="28">
        <v>224038.59740528918</v>
      </c>
      <c r="H43" s="29">
        <f>SUM(C43:G43)</f>
        <v>1164410.9910396978</v>
      </c>
    </row>
    <row r="44" spans="2:14" x14ac:dyDescent="0.3">
      <c r="B44" t="s">
        <v>42</v>
      </c>
      <c r="C44" s="30">
        <v>6320.0321485080858</v>
      </c>
      <c r="D44" s="30">
        <v>6136.9343275047768</v>
      </c>
      <c r="E44" s="30">
        <v>4240.8749016524453</v>
      </c>
      <c r="F44" s="30">
        <v>4156.2805150654722</v>
      </c>
      <c r="G44" s="30">
        <v>3696.5553955380069</v>
      </c>
      <c r="H44" s="52">
        <f>SUM(C44:G44)</f>
        <v>24550.677288268784</v>
      </c>
    </row>
    <row r="45" spans="2:14" x14ac:dyDescent="0.3">
      <c r="B45" s="26" t="s">
        <v>275</v>
      </c>
      <c r="C45" s="132">
        <f t="shared" ref="C45:H45" si="8">SUM(C42:C44)</f>
        <v>277750.37814911973</v>
      </c>
      <c r="D45" s="132">
        <f t="shared" si="8"/>
        <v>294371.70065577934</v>
      </c>
      <c r="E45" s="132">
        <f t="shared" si="8"/>
        <v>282916.14105757955</v>
      </c>
      <c r="F45" s="132">
        <f t="shared" si="8"/>
        <v>276308.19306655112</v>
      </c>
      <c r="G45" s="132">
        <f t="shared" si="8"/>
        <v>266760.16047365073</v>
      </c>
      <c r="H45" s="132">
        <f t="shared" si="8"/>
        <v>1398106.5734026805</v>
      </c>
      <c r="J45" s="132"/>
      <c r="K45" s="132"/>
      <c r="L45" s="132"/>
      <c r="M45" s="132"/>
      <c r="N45" s="132"/>
    </row>
    <row r="46" spans="2:14" x14ac:dyDescent="0.3">
      <c r="B46" s="41" t="s">
        <v>83</v>
      </c>
      <c r="C46" s="203">
        <f>C45-SUM('Capex by Purpose'!C21:C23)</f>
        <v>0</v>
      </c>
      <c r="D46" s="203">
        <f>D45-SUM('Capex by Purpose'!D21:D23)</f>
        <v>0</v>
      </c>
      <c r="E46" s="203">
        <f>E45-SUM('Capex by Purpose'!E21:E23)</f>
        <v>0</v>
      </c>
      <c r="F46" s="203">
        <f>F45-SUM('Capex by Purpose'!F21:F23)</f>
        <v>0</v>
      </c>
      <c r="G46" s="203">
        <f>G45-SUM('Capex by Purpose'!G21:G23)</f>
        <v>0</v>
      </c>
      <c r="H46" s="203">
        <f>H45-SUM('Capex by Purpose'!H21:H23)</f>
        <v>0</v>
      </c>
      <c r="J46" s="132"/>
      <c r="K46" s="132"/>
      <c r="L46" s="132"/>
      <c r="M46" s="132"/>
      <c r="N46" s="132"/>
    </row>
    <row r="47" spans="2:14" x14ac:dyDescent="0.3">
      <c r="B47" s="153"/>
      <c r="C47" s="203"/>
      <c r="D47" s="203"/>
      <c r="E47" s="203"/>
      <c r="F47" s="203"/>
      <c r="G47" s="203"/>
      <c r="H47" s="203"/>
    </row>
    <row r="48" spans="2:14" ht="19.8" customHeight="1" x14ac:dyDescent="0.3">
      <c r="B48" s="130" t="s">
        <v>284</v>
      </c>
      <c r="C48" s="198"/>
      <c r="D48" s="198"/>
      <c r="E48" s="198"/>
      <c r="F48" s="198"/>
      <c r="G48" s="198"/>
      <c r="H48" s="198"/>
    </row>
    <row r="49" spans="2:14" x14ac:dyDescent="0.3">
      <c r="B49" s="80"/>
      <c r="C49" s="4">
        <v>2016</v>
      </c>
      <c r="D49" s="4">
        <v>2017</v>
      </c>
      <c r="E49" s="4">
        <v>2018</v>
      </c>
      <c r="F49" s="4">
        <v>2019</v>
      </c>
      <c r="G49" s="4">
        <v>2020</v>
      </c>
      <c r="H49" s="4" t="s">
        <v>6</v>
      </c>
    </row>
    <row r="50" spans="2:14" x14ac:dyDescent="0.3">
      <c r="B50" t="s">
        <v>38</v>
      </c>
      <c r="C50" s="28">
        <f>'Direct Summary'!D55*Escalators!$C$10</f>
        <v>2856.9348530918496</v>
      </c>
      <c r="D50" s="28">
        <f>'Direct Summary'!E55*Escalators!$C$10</f>
        <v>16376.081724246871</v>
      </c>
      <c r="E50" s="28">
        <f>'Direct Summary'!F55*Escalators!$C$10</f>
        <v>8955.8761645204086</v>
      </c>
      <c r="F50" s="28">
        <f>'Direct Summary'!G55*Escalators!$C$10</f>
        <v>64.105762582477993</v>
      </c>
      <c r="G50" s="28">
        <f>'Direct Summary'!H55*Escalators!$C$10</f>
        <v>0</v>
      </c>
      <c r="H50" s="29">
        <f t="shared" ref="H50:H52" si="9">SUM(C50:G50)</f>
        <v>28252.998504441606</v>
      </c>
    </row>
    <row r="51" spans="2:14" x14ac:dyDescent="0.3">
      <c r="B51" t="s">
        <v>39</v>
      </c>
      <c r="C51" s="28">
        <f>'Direct Summary'!D59*Escalators!$C$10</f>
        <v>1898.6923800683944</v>
      </c>
      <c r="D51" s="28">
        <f>'Direct Summary'!E59*Escalators!$C$10</f>
        <v>28801.995154749646</v>
      </c>
      <c r="E51" s="28">
        <f>'Direct Summary'!F59*Escalators!$C$10</f>
        <v>18288.68813814209</v>
      </c>
      <c r="F51" s="28">
        <f>'Direct Summary'!G59*Escalators!$C$10</f>
        <v>0</v>
      </c>
      <c r="G51" s="28">
        <f>'Direct Summary'!H59*Escalators!$C$10</f>
        <v>0</v>
      </c>
      <c r="H51" s="29">
        <f t="shared" si="9"/>
        <v>48989.37567296013</v>
      </c>
    </row>
    <row r="52" spans="2:14" x14ac:dyDescent="0.3">
      <c r="B52" t="s">
        <v>42</v>
      </c>
      <c r="C52" s="30">
        <f>'Direct Summary'!D63*Escalators!$C$10</f>
        <v>2061.6612831968209</v>
      </c>
      <c r="D52" s="30">
        <f>'Direct Summary'!E63*Escalators!$C$10</f>
        <v>13442.488474579817</v>
      </c>
      <c r="E52" s="30">
        <f>'Direct Summary'!F63*Escalators!$C$10</f>
        <v>10633.764221856738</v>
      </c>
      <c r="F52" s="30">
        <f>'Direct Summary'!G63*Escalators!$C$10</f>
        <v>51.334106871381884</v>
      </c>
      <c r="G52" s="30">
        <f>'Direct Summary'!H63*Escalators!$C$10</f>
        <v>0</v>
      </c>
      <c r="H52" s="52">
        <f t="shared" si="9"/>
        <v>26189.248086504758</v>
      </c>
    </row>
    <row r="53" spans="2:14" x14ac:dyDescent="0.3">
      <c r="B53" s="26" t="s">
        <v>245</v>
      </c>
      <c r="C53" s="28">
        <f>SUM(C50:C52)</f>
        <v>6817.2885163570645</v>
      </c>
      <c r="D53" s="28">
        <f t="shared" ref="D53:H53" si="10">SUM(D50:D52)</f>
        <v>58620.565353576334</v>
      </c>
      <c r="E53" s="28">
        <f t="shared" si="10"/>
        <v>37878.328524519238</v>
      </c>
      <c r="F53" s="28">
        <f t="shared" si="10"/>
        <v>115.43986945385987</v>
      </c>
      <c r="G53" s="28">
        <f t="shared" si="10"/>
        <v>0</v>
      </c>
      <c r="H53" s="28">
        <f t="shared" si="10"/>
        <v>103431.62226390649</v>
      </c>
      <c r="J53" s="28"/>
      <c r="K53" s="28"/>
      <c r="L53" s="28"/>
      <c r="M53" s="28"/>
      <c r="N53" s="28"/>
    </row>
    <row r="54" spans="2:14" x14ac:dyDescent="0.3">
      <c r="B54" s="41" t="s">
        <v>83</v>
      </c>
      <c r="C54" s="202">
        <f>C53-('Direct Summary'!D69-'Direct Summary'!D68)*Escalators!$C$10</f>
        <v>0</v>
      </c>
      <c r="D54" s="202">
        <f>D53-('Direct Summary'!E69-'Direct Summary'!E68)*Escalators!$C$10</f>
        <v>0</v>
      </c>
      <c r="E54" s="202">
        <f>E53-('Direct Summary'!F69-'Direct Summary'!F68)*Escalators!$C$10</f>
        <v>0</v>
      </c>
      <c r="F54" s="202">
        <f>F53-('Direct Summary'!G69-'Direct Summary'!G68)*Escalators!$C$10</f>
        <v>0</v>
      </c>
      <c r="G54" s="202">
        <f>G53-('Direct Summary'!H69-'Direct Summary'!H68)*Escalators!$C$10</f>
        <v>0</v>
      </c>
      <c r="H54" s="202">
        <f>H53-('Direct Summary'!I69-'Direct Summary'!I68)*Escalators!$C$10</f>
        <v>0</v>
      </c>
    </row>
    <row r="55" spans="2:14" x14ac:dyDescent="0.3">
      <c r="C55" s="28"/>
      <c r="D55" s="28"/>
      <c r="E55" s="28"/>
      <c r="F55" s="28"/>
      <c r="G55" s="28"/>
      <c r="H55" s="28"/>
    </row>
    <row r="56" spans="2:14" x14ac:dyDescent="0.3">
      <c r="B56" s="26" t="s">
        <v>198</v>
      </c>
      <c r="C56" s="28">
        <f>C45+C53</f>
        <v>284567.66666547681</v>
      </c>
      <c r="D56" s="28">
        <f>D45+D53</f>
        <v>352992.26600935566</v>
      </c>
      <c r="E56" s="28">
        <f>E45+E53</f>
        <v>320794.46958209877</v>
      </c>
      <c r="F56" s="28">
        <f>F45+F53</f>
        <v>276423.63293600496</v>
      </c>
      <c r="G56" s="28">
        <f>G45+G53</f>
        <v>266760.16047365073</v>
      </c>
      <c r="H56" s="29">
        <f>SUM(C56:G56)</f>
        <v>1501538.195666587</v>
      </c>
      <c r="J56" s="28"/>
      <c r="K56" s="28"/>
      <c r="L56" s="28"/>
      <c r="M56" s="28"/>
      <c r="N56" s="28"/>
    </row>
    <row r="58" spans="2:14" x14ac:dyDescent="0.3">
      <c r="B58" t="s">
        <v>160</v>
      </c>
      <c r="C58" s="167">
        <f t="shared" ref="C58:H58" si="11">C56/C45</f>
        <v>1.0245446597113073</v>
      </c>
      <c r="D58" s="167">
        <f t="shared" si="11"/>
        <v>1.1991379104138944</v>
      </c>
      <c r="E58" s="167">
        <f t="shared" si="11"/>
        <v>1.133885356922107</v>
      </c>
      <c r="F58" s="167">
        <f t="shared" si="11"/>
        <v>1.0004177938705785</v>
      </c>
      <c r="G58" s="167">
        <f t="shared" si="11"/>
        <v>1</v>
      </c>
      <c r="H58" s="167">
        <f t="shared" si="11"/>
        <v>1.0739797839675247</v>
      </c>
      <c r="J58" s="31"/>
      <c r="K58" s="31"/>
      <c r="L58" s="31"/>
      <c r="M58" s="31"/>
      <c r="N58" s="31"/>
    </row>
    <row r="59" spans="2:14" x14ac:dyDescent="0.3">
      <c r="C59" s="167"/>
      <c r="D59" s="167"/>
      <c r="E59" s="167"/>
      <c r="F59" s="167"/>
      <c r="G59" s="167"/>
      <c r="H59" s="167"/>
      <c r="J59" s="31"/>
      <c r="K59" s="31"/>
      <c r="L59" s="31"/>
      <c r="M59" s="31"/>
      <c r="N59" s="31"/>
    </row>
    <row r="60" spans="2:14" x14ac:dyDescent="0.3">
      <c r="B60" s="26" t="s">
        <v>239</v>
      </c>
      <c r="C60" s="33">
        <f>(C58-1)*C35*'Capex by Purpose'!C$16</f>
        <v>183.67833193533298</v>
      </c>
      <c r="D60" s="34">
        <f>(D58-1)*D35*'Capex by Purpose'!D$16</f>
        <v>1561.6935420088923</v>
      </c>
      <c r="E60" s="34">
        <f>(E58-1)*E35*'Capex by Purpose'!E$16</f>
        <v>1031.5915723580051</v>
      </c>
      <c r="F60" s="34">
        <f>(F58-1)*F35*'Capex by Purpose'!F$16</f>
        <v>3.1682381442327623</v>
      </c>
      <c r="G60" s="35">
        <f>(G58-1)*G35*'Capex by Purpose'!G$16</f>
        <v>0</v>
      </c>
      <c r="H60" s="29">
        <f>SUM(C60:G60)</f>
        <v>2780.1316844464632</v>
      </c>
    </row>
    <row r="62" spans="2:14" ht="21" customHeight="1" x14ac:dyDescent="0.3">
      <c r="B62" s="130" t="s">
        <v>244</v>
      </c>
      <c r="C62" s="198"/>
      <c r="D62" s="198"/>
      <c r="E62" s="198"/>
      <c r="F62" s="198"/>
      <c r="G62" s="198"/>
      <c r="H62" s="198"/>
    </row>
    <row r="63" spans="2:14" x14ac:dyDescent="0.3">
      <c r="C63" s="189">
        <v>2016</v>
      </c>
      <c r="D63" s="189">
        <v>2017</v>
      </c>
      <c r="E63" s="189">
        <v>2018</v>
      </c>
      <c r="F63" s="189">
        <v>2019</v>
      </c>
      <c r="G63" s="189">
        <v>2020</v>
      </c>
      <c r="H63" s="189" t="s">
        <v>6</v>
      </c>
    </row>
    <row r="64" spans="2:14" x14ac:dyDescent="0.3">
      <c r="B64" t="s">
        <v>38</v>
      </c>
      <c r="C64" s="28">
        <f t="shared" ref="C64:G66" si="12">IF(ISERROR(C50/C$53*C$60),0,C50/C$53*C$60)</f>
        <v>76.974449153024764</v>
      </c>
      <c r="D64" s="28">
        <f t="shared" si="12"/>
        <v>436.27046102184914</v>
      </c>
      <c r="E64" s="28">
        <f t="shared" si="12"/>
        <v>243.90744613825197</v>
      </c>
      <c r="F64" s="28">
        <f t="shared" si="12"/>
        <v>1.7593776157215253</v>
      </c>
      <c r="G64" s="28">
        <f t="shared" si="12"/>
        <v>0</v>
      </c>
      <c r="H64" s="28">
        <f>SUM(C64:G64)</f>
        <v>758.91173392884741</v>
      </c>
    </row>
    <row r="65" spans="2:8" x14ac:dyDescent="0.3">
      <c r="B65" t="s">
        <v>39</v>
      </c>
      <c r="C65" s="28">
        <f t="shared" si="12"/>
        <v>51.156504289428227</v>
      </c>
      <c r="D65" s="28">
        <f t="shared" si="12"/>
        <v>767.30563000958489</v>
      </c>
      <c r="E65" s="28">
        <f t="shared" si="12"/>
        <v>498.08049319226541</v>
      </c>
      <c r="F65" s="28">
        <f t="shared" si="12"/>
        <v>0</v>
      </c>
      <c r="G65" s="28">
        <f t="shared" si="12"/>
        <v>0</v>
      </c>
      <c r="H65" s="28">
        <f t="shared" ref="H65:H66" si="13">SUM(C65:G65)</f>
        <v>1316.5426274912784</v>
      </c>
    </row>
    <row r="66" spans="2:8" x14ac:dyDescent="0.3">
      <c r="B66" t="s">
        <v>42</v>
      </c>
      <c r="C66" s="30">
        <f t="shared" si="12"/>
        <v>55.54737849288</v>
      </c>
      <c r="D66" s="30">
        <f t="shared" si="12"/>
        <v>358.11745097745836</v>
      </c>
      <c r="E66" s="30">
        <f t="shared" si="12"/>
        <v>289.60363302748772</v>
      </c>
      <c r="F66" s="30">
        <f t="shared" si="12"/>
        <v>1.4088605285112372</v>
      </c>
      <c r="G66" s="30">
        <f t="shared" si="12"/>
        <v>0</v>
      </c>
      <c r="H66" s="30">
        <f t="shared" si="13"/>
        <v>704.67732302633726</v>
      </c>
    </row>
    <row r="67" spans="2:8" x14ac:dyDescent="0.3">
      <c r="B67" s="26" t="s">
        <v>6</v>
      </c>
      <c r="C67" s="28">
        <f>SUM(C64:C66)</f>
        <v>183.67833193533301</v>
      </c>
      <c r="D67" s="28">
        <f t="shared" ref="D67:H67" si="14">SUM(D64:D66)</f>
        <v>1561.6935420088926</v>
      </c>
      <c r="E67" s="28">
        <f t="shared" si="14"/>
        <v>1031.5915723580051</v>
      </c>
      <c r="F67" s="28">
        <f t="shared" si="14"/>
        <v>3.1682381442327623</v>
      </c>
      <c r="G67" s="28">
        <f t="shared" si="14"/>
        <v>0</v>
      </c>
      <c r="H67" s="28">
        <f t="shared" si="14"/>
        <v>2780.1316844464627</v>
      </c>
    </row>
    <row r="68" spans="2:8" x14ac:dyDescent="0.3">
      <c r="B68" s="41" t="s">
        <v>83</v>
      </c>
      <c r="C68" s="203">
        <f t="shared" ref="C68:H68" si="15">C67-C60</f>
        <v>0</v>
      </c>
      <c r="D68" s="203">
        <f t="shared" si="15"/>
        <v>0</v>
      </c>
      <c r="E68" s="203">
        <f t="shared" si="15"/>
        <v>0</v>
      </c>
      <c r="F68" s="203">
        <f t="shared" si="15"/>
        <v>0</v>
      </c>
      <c r="G68" s="203">
        <f t="shared" si="15"/>
        <v>0</v>
      </c>
      <c r="H68" s="203">
        <f t="shared" si="15"/>
        <v>0</v>
      </c>
    </row>
    <row r="70" spans="2:8" ht="21" customHeight="1" x14ac:dyDescent="0.3">
      <c r="B70" s="130" t="s">
        <v>246</v>
      </c>
      <c r="C70" s="198"/>
      <c r="D70" s="198"/>
      <c r="E70" s="198"/>
      <c r="F70" s="198"/>
      <c r="G70" s="198"/>
      <c r="H70" s="198"/>
    </row>
    <row r="71" spans="2:8" x14ac:dyDescent="0.3">
      <c r="C71" s="4">
        <v>2016</v>
      </c>
      <c r="D71" s="4">
        <v>2017</v>
      </c>
      <c r="E71" s="4">
        <v>2018</v>
      </c>
      <c r="F71" s="4">
        <v>2019</v>
      </c>
      <c r="G71" s="4">
        <v>2020</v>
      </c>
      <c r="H71" s="4" t="s">
        <v>6</v>
      </c>
    </row>
    <row r="72" spans="2:8" x14ac:dyDescent="0.3">
      <c r="B72" t="s">
        <v>115</v>
      </c>
      <c r="C72" s="126">
        <f>C10*'Capex by Purpose'!C$16</f>
        <v>25444.497356362212</v>
      </c>
      <c r="D72" s="126">
        <f>D10*'Capex by Purpose'!D$16</f>
        <v>26625.939977816372</v>
      </c>
      <c r="E72" s="126">
        <f>E10*'Capex by Purpose'!E$16</f>
        <v>25827.902213882291</v>
      </c>
      <c r="F72" s="126">
        <f>F10*'Capex by Purpose'!F$16</f>
        <v>25812.040625096644</v>
      </c>
      <c r="G72" s="126">
        <f>G10*'Capex by Purpose'!G$16</f>
        <v>25880.2798487084</v>
      </c>
      <c r="H72" s="29">
        <f t="shared" ref="H72:H73" si="16">SUM(C72:G72)</f>
        <v>129590.66002186592</v>
      </c>
    </row>
    <row r="73" spans="2:8" x14ac:dyDescent="0.3">
      <c r="B73" t="s">
        <v>116</v>
      </c>
      <c r="C73" s="52">
        <f>C13*'Capex by Purpose'!C$16+C60</f>
        <v>8000.5664946241423</v>
      </c>
      <c r="D73" s="52">
        <f>D13*'Capex by Purpose'!D$16+D60</f>
        <v>9785.8683175253318</v>
      </c>
      <c r="E73" s="52">
        <f>E13*'Capex by Purpose'!E$16+E60</f>
        <v>9117.6519597564056</v>
      </c>
      <c r="F73" s="52">
        <f>F13*'Capex by Purpose'!F$16+F60</f>
        <v>8019.3820099504856</v>
      </c>
      <c r="G73" s="52">
        <f>G13*'Capex by Purpose'!G$16+G60</f>
        <v>7901.9251462293823</v>
      </c>
      <c r="H73" s="52">
        <f t="shared" si="16"/>
        <v>42825.393928085752</v>
      </c>
    </row>
    <row r="74" spans="2:8" x14ac:dyDescent="0.3">
      <c r="B74" s="26" t="s">
        <v>243</v>
      </c>
      <c r="C74" s="126">
        <f>SUM(C72:C73)</f>
        <v>33445.063850986357</v>
      </c>
      <c r="D74" s="126">
        <f t="shared" ref="D74:H74" si="17">SUM(D72:D73)</f>
        <v>36411.808295341703</v>
      </c>
      <c r="E74" s="126">
        <f t="shared" si="17"/>
        <v>34945.554173638695</v>
      </c>
      <c r="F74" s="126">
        <f t="shared" si="17"/>
        <v>33831.422635047129</v>
      </c>
      <c r="G74" s="126">
        <f t="shared" si="17"/>
        <v>33782.204994937783</v>
      </c>
      <c r="H74" s="126">
        <f t="shared" si="17"/>
        <v>172416.05394995166</v>
      </c>
    </row>
    <row r="75" spans="2:8" x14ac:dyDescent="0.3">
      <c r="B75" s="41" t="s">
        <v>83</v>
      </c>
      <c r="C75" s="6">
        <f t="shared" ref="C75:H75" si="18">C74-(C17+C60)</f>
        <v>0</v>
      </c>
      <c r="D75" s="6">
        <f t="shared" si="18"/>
        <v>0</v>
      </c>
      <c r="E75" s="6">
        <f t="shared" si="18"/>
        <v>0</v>
      </c>
      <c r="F75" s="6">
        <f t="shared" si="18"/>
        <v>0</v>
      </c>
      <c r="G75" s="6">
        <f t="shared" si="18"/>
        <v>0</v>
      </c>
      <c r="H75" s="6">
        <f t="shared" si="18"/>
        <v>0</v>
      </c>
    </row>
    <row r="76" spans="2:8" x14ac:dyDescent="0.3">
      <c r="B76" s="143"/>
    </row>
    <row r="77" spans="2:8" x14ac:dyDescent="0.3">
      <c r="B77" s="80" t="s">
        <v>276</v>
      </c>
      <c r="C77" s="191">
        <v>2016</v>
      </c>
      <c r="D77" s="191">
        <v>2017</v>
      </c>
      <c r="E77" s="191">
        <v>2018</v>
      </c>
      <c r="F77" s="191">
        <v>2019</v>
      </c>
      <c r="G77" s="191">
        <v>2020</v>
      </c>
      <c r="H77" s="191" t="s">
        <v>6</v>
      </c>
    </row>
    <row r="78" spans="2:8" x14ac:dyDescent="0.3">
      <c r="B78" t="s">
        <v>38</v>
      </c>
      <c r="C78" s="28">
        <f>C27*'Capex by Purpose'!C$16+C64</f>
        <v>4881.0480074013894</v>
      </c>
      <c r="D78" s="28">
        <f>D27*'Capex by Purpose'!D$16+D64</f>
        <v>5589.1355568185527</v>
      </c>
      <c r="E78" s="28">
        <f>E27*'Capex by Purpose'!E$16+E64</f>
        <v>5046.0951299488006</v>
      </c>
      <c r="F78" s="28">
        <f>F27*'Capex by Purpose'!F$16+F64</f>
        <v>5064.2606710426971</v>
      </c>
      <c r="G78" s="28">
        <f>G27*'Capex by Purpose'!G$16+G64</f>
        <v>4819.461758481094</v>
      </c>
      <c r="H78" s="29">
        <f>SUM(C78:G78)</f>
        <v>25400.001123692535</v>
      </c>
    </row>
    <row r="79" spans="2:8" x14ac:dyDescent="0.3">
      <c r="B79" t="s">
        <v>39</v>
      </c>
      <c r="C79" s="28">
        <f>C28*'Capex by Purpose'!C$16+C65</f>
        <v>26342.010514264191</v>
      </c>
      <c r="D79" s="28">
        <f>D28*'Capex by Purpose'!D$16+D65</f>
        <v>28132.551114918657</v>
      </c>
      <c r="E79" s="28">
        <f>E28*'Capex by Purpose'!E$16+E65</f>
        <v>27509.549548253533</v>
      </c>
      <c r="F79" s="28">
        <f>F28*'Capex by Purpose'!F$16+F65</f>
        <v>26437.937736223768</v>
      </c>
      <c r="G79" s="28">
        <f>G28*'Capex by Purpose'!G$16+G65</f>
        <v>26998.308471222615</v>
      </c>
      <c r="H79" s="29">
        <f t="shared" ref="H79:H80" si="19">SUM(C79:G79)</f>
        <v>135420.35738488278</v>
      </c>
    </row>
    <row r="80" spans="2:8" x14ac:dyDescent="0.3">
      <c r="B80" t="s">
        <v>42</v>
      </c>
      <c r="C80" s="30">
        <f>C29*'Capex by Purpose'!C$16+C66</f>
        <v>803.13384057664871</v>
      </c>
      <c r="D80" s="30">
        <f>D29*'Capex by Purpose'!D$16+D66</f>
        <v>1071.7980367748439</v>
      </c>
      <c r="E80" s="30">
        <f>E29*'Capex by Purpose'!E$16+E66</f>
        <v>791.84732432290821</v>
      </c>
      <c r="F80" s="30">
        <f>F29*'Capex by Purpose'!F$16+F66</f>
        <v>502.15420042478843</v>
      </c>
      <c r="G80" s="30">
        <f>G29*'Capex by Purpose'!G$16+G66</f>
        <v>464.09271245964715</v>
      </c>
      <c r="H80" s="52">
        <f t="shared" si="19"/>
        <v>3633.0261145588365</v>
      </c>
    </row>
    <row r="81" spans="2:8" x14ac:dyDescent="0.3">
      <c r="B81" s="143" t="s">
        <v>285</v>
      </c>
      <c r="C81" s="28">
        <f>SUM(C78:C80)</f>
        <v>32026.192362242229</v>
      </c>
      <c r="D81" s="28">
        <f t="shared" ref="D81:H81" si="20">SUM(D78:D80)</f>
        <v>34793.484708512056</v>
      </c>
      <c r="E81" s="28">
        <f t="shared" si="20"/>
        <v>33347.492002525243</v>
      </c>
      <c r="F81" s="28">
        <f t="shared" si="20"/>
        <v>32004.352607691253</v>
      </c>
      <c r="G81" s="28">
        <f t="shared" si="20"/>
        <v>32281.862942163356</v>
      </c>
      <c r="H81" s="28">
        <f t="shared" si="20"/>
        <v>164453.38462313413</v>
      </c>
    </row>
    <row r="82" spans="2:8" ht="7.2" customHeight="1" x14ac:dyDescent="0.3"/>
    <row r="83" spans="2:8" x14ac:dyDescent="0.3">
      <c r="B83" t="s">
        <v>238</v>
      </c>
      <c r="C83" s="28">
        <f>C21*'Capex by Purpose'!C$16</f>
        <v>1418.8714887441311</v>
      </c>
      <c r="D83" s="28">
        <f>D21*'Capex by Purpose'!D$16</f>
        <v>1618.3235868296408</v>
      </c>
      <c r="E83" s="28">
        <f>E21*'Capex by Purpose'!E$16</f>
        <v>1598.0621711134525</v>
      </c>
      <c r="F83" s="28">
        <f>F21*'Capex by Purpose'!F$16</f>
        <v>1827.0700273558753</v>
      </c>
      <c r="G83" s="28">
        <f>G21*'Capex by Purpose'!G$16</f>
        <v>1500.3420527744315</v>
      </c>
      <c r="H83" s="29">
        <f>SUM(C83:G83)</f>
        <v>7962.6693268175313</v>
      </c>
    </row>
    <row r="84" spans="2:8" ht="6.6" customHeight="1" x14ac:dyDescent="0.3"/>
    <row r="85" spans="2:8" x14ac:dyDescent="0.3">
      <c r="B85" s="26" t="s">
        <v>243</v>
      </c>
      <c r="C85" s="29">
        <f>C81+C83</f>
        <v>33445.063850986364</v>
      </c>
      <c r="D85" s="29">
        <f t="shared" ref="D85:H85" si="21">D81+D83</f>
        <v>36411.808295341696</v>
      </c>
      <c r="E85" s="29">
        <f t="shared" si="21"/>
        <v>34945.554173638695</v>
      </c>
      <c r="F85" s="29">
        <f t="shared" si="21"/>
        <v>33831.422635047129</v>
      </c>
      <c r="G85" s="29">
        <f t="shared" si="21"/>
        <v>33782.204994937791</v>
      </c>
      <c r="H85" s="29">
        <f t="shared" si="21"/>
        <v>172416.05394995166</v>
      </c>
    </row>
    <row r="86" spans="2:8" x14ac:dyDescent="0.3">
      <c r="B86" s="41" t="s">
        <v>83</v>
      </c>
      <c r="C86" s="203">
        <f>C85-C74</f>
        <v>0</v>
      </c>
      <c r="D86" s="203">
        <f t="shared" ref="D86:H86" si="22">D85-D74</f>
        <v>0</v>
      </c>
      <c r="E86" s="203">
        <f t="shared" si="22"/>
        <v>0</v>
      </c>
      <c r="F86" s="203">
        <f t="shared" si="22"/>
        <v>0</v>
      </c>
      <c r="G86" s="203">
        <f t="shared" si="22"/>
        <v>0</v>
      </c>
      <c r="H86" s="203">
        <f t="shared" si="22"/>
        <v>0</v>
      </c>
    </row>
  </sheetData>
  <pageMargins left="0.7" right="0.7" top="0.75" bottom="0.75" header="0.3" footer="0.3"/>
  <pageSetup paperSize="9" orientation="portrait" verticalDpi="0" r:id="rId1"/>
  <ignoredErrors>
    <ignoredError sqref="C37:G37 C30:G30 C22:G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zoomScale="85" zoomScaleNormal="85" workbookViewId="0">
      <selection activeCell="C15" sqref="C15"/>
    </sheetView>
  </sheetViews>
  <sheetFormatPr defaultRowHeight="14.4" x14ac:dyDescent="0.3"/>
  <cols>
    <col min="1" max="1" width="3.88671875" customWidth="1"/>
    <col min="2" max="2" width="48.88671875" customWidth="1"/>
    <col min="3" max="8" width="12.77734375" customWidth="1"/>
  </cols>
  <sheetData>
    <row r="1" spans="2:11" ht="15.6" x14ac:dyDescent="0.3">
      <c r="B1" s="135" t="s">
        <v>110</v>
      </c>
    </row>
    <row r="2" spans="2:11" ht="15" thickBot="1" x14ac:dyDescent="0.35"/>
    <row r="3" spans="2:11" ht="19.2" thickTop="1" thickBot="1" x14ac:dyDescent="0.35">
      <c r="B3" s="125" t="s">
        <v>102</v>
      </c>
      <c r="C3" s="89"/>
      <c r="D3" s="89"/>
      <c r="E3" s="89"/>
      <c r="F3" s="89"/>
      <c r="G3" s="90"/>
      <c r="H3" s="91"/>
    </row>
    <row r="4" spans="2:11" ht="15.6" thickTop="1" thickBot="1" x14ac:dyDescent="0.35">
      <c r="B4" s="92"/>
      <c r="C4" s="93">
        <v>2016</v>
      </c>
      <c r="D4" s="94">
        <v>2017</v>
      </c>
      <c r="E4" s="94">
        <v>2018</v>
      </c>
      <c r="F4" s="94">
        <v>2019</v>
      </c>
      <c r="G4" s="95">
        <v>2020</v>
      </c>
      <c r="H4" s="96" t="s">
        <v>6</v>
      </c>
    </row>
    <row r="5" spans="2:11" ht="15" thickTop="1" x14ac:dyDescent="0.3">
      <c r="B5" s="97" t="s">
        <v>63</v>
      </c>
      <c r="C5" s="98">
        <v>63602.594075120265</v>
      </c>
      <c r="D5" s="99">
        <v>75366.165855881263</v>
      </c>
      <c r="E5" s="99">
        <v>60946.862572379279</v>
      </c>
      <c r="F5" s="99">
        <v>54732.205997934514</v>
      </c>
      <c r="G5" s="100">
        <v>51521.247152604483</v>
      </c>
      <c r="H5" s="101">
        <v>306169.07565391983</v>
      </c>
    </row>
    <row r="6" spans="2:11" x14ac:dyDescent="0.3">
      <c r="B6" s="97" t="s">
        <v>64</v>
      </c>
      <c r="C6" s="102">
        <v>80744.800905805372</v>
      </c>
      <c r="D6" s="103">
        <v>80123.765424172525</v>
      </c>
      <c r="E6" s="103">
        <v>83068.262507280146</v>
      </c>
      <c r="F6" s="103">
        <v>79381.956610380032</v>
      </c>
      <c r="G6" s="104">
        <v>79707.119962638739</v>
      </c>
      <c r="H6" s="105">
        <v>403025.90541027684</v>
      </c>
    </row>
    <row r="7" spans="2:11" x14ac:dyDescent="0.3">
      <c r="B7" s="97" t="s">
        <v>65</v>
      </c>
      <c r="C7" s="102">
        <v>134186.98492574264</v>
      </c>
      <c r="D7" s="103">
        <v>140727.93017436654</v>
      </c>
      <c r="E7" s="103">
        <v>140982.56241319855</v>
      </c>
      <c r="F7" s="103">
        <v>144520.00142452607</v>
      </c>
      <c r="G7" s="104">
        <v>137922.29158556723</v>
      </c>
      <c r="H7" s="105">
        <v>698339.77052340098</v>
      </c>
    </row>
    <row r="8" spans="2:11" x14ac:dyDescent="0.3">
      <c r="B8" s="97" t="s">
        <v>103</v>
      </c>
      <c r="C8" s="102">
        <v>44629.566179419366</v>
      </c>
      <c r="D8" s="103">
        <v>58708.750883479021</v>
      </c>
      <c r="E8" s="103">
        <v>40539.988076674279</v>
      </c>
      <c r="F8" s="103">
        <v>47064.766487802226</v>
      </c>
      <c r="G8" s="104">
        <v>39667.141822912286</v>
      </c>
      <c r="H8" s="105">
        <v>230610.21345028721</v>
      </c>
    </row>
    <row r="9" spans="2:11" x14ac:dyDescent="0.3">
      <c r="B9" s="106" t="s">
        <v>104</v>
      </c>
      <c r="C9" s="102">
        <v>33355.271924820139</v>
      </c>
      <c r="D9" s="103">
        <v>35068.678275377933</v>
      </c>
      <c r="E9" s="103">
        <v>34163.483493566921</v>
      </c>
      <c r="F9" s="103">
        <v>34113.021694948598</v>
      </c>
      <c r="G9" s="104">
        <v>34084.934986577304</v>
      </c>
      <c r="H9" s="105">
        <v>170785.39037529091</v>
      </c>
    </row>
    <row r="10" spans="2:11" ht="15" thickBot="1" x14ac:dyDescent="0.35">
      <c r="B10" s="97" t="s">
        <v>105</v>
      </c>
      <c r="C10" s="107">
        <v>-1003.5087719297934</v>
      </c>
      <c r="D10" s="108">
        <v>-2430.6232367273556</v>
      </c>
      <c r="E10" s="108">
        <v>-2627.1604938271712</v>
      </c>
      <c r="F10" s="108">
        <v>-3003.6236119228415</v>
      </c>
      <c r="G10" s="109">
        <v>-3045.5373406192657</v>
      </c>
      <c r="H10" s="110">
        <v>-12110.453455026429</v>
      </c>
      <c r="J10" s="126"/>
      <c r="K10" s="36"/>
    </row>
    <row r="11" spans="2:11" ht="15" thickTop="1" x14ac:dyDescent="0.3">
      <c r="B11" s="111" t="s">
        <v>106</v>
      </c>
      <c r="C11" s="112">
        <v>355515.70923897799</v>
      </c>
      <c r="D11" s="113">
        <v>387564.66737654997</v>
      </c>
      <c r="E11" s="113">
        <v>357073.99856927199</v>
      </c>
      <c r="F11" s="113">
        <v>356808.3286036686</v>
      </c>
      <c r="G11" s="114">
        <v>339857.19816968078</v>
      </c>
      <c r="H11" s="115">
        <v>1796819.9019581494</v>
      </c>
    </row>
    <row r="12" spans="2:11" ht="15" thickBot="1" x14ac:dyDescent="0.35">
      <c r="B12" s="116" t="s">
        <v>107</v>
      </c>
      <c r="C12" s="117">
        <v>39336.106443631594</v>
      </c>
      <c r="D12" s="118">
        <v>38956.561621772482</v>
      </c>
      <c r="E12" s="118">
        <v>40520.062107075064</v>
      </c>
      <c r="F12" s="118">
        <v>38661.075317990333</v>
      </c>
      <c r="G12" s="119">
        <v>38927.886809860618</v>
      </c>
      <c r="H12" s="110">
        <v>196401.69230033009</v>
      </c>
    </row>
    <row r="13" spans="2:11" ht="15.6" thickTop="1" thickBot="1" x14ac:dyDescent="0.35">
      <c r="B13" s="120" t="s">
        <v>108</v>
      </c>
      <c r="C13" s="121">
        <v>316179.60279534641</v>
      </c>
      <c r="D13" s="122">
        <v>348608.1057547775</v>
      </c>
      <c r="E13" s="122">
        <v>316553.93646219693</v>
      </c>
      <c r="F13" s="122">
        <v>318147.25328567828</v>
      </c>
      <c r="G13" s="123">
        <v>300929.31135982019</v>
      </c>
      <c r="H13" s="124">
        <v>1600418.2096578195</v>
      </c>
    </row>
    <row r="14" spans="2:11" ht="15" thickTop="1" x14ac:dyDescent="0.3">
      <c r="B14" s="41" t="s">
        <v>88</v>
      </c>
    </row>
    <row r="16" spans="2:11" x14ac:dyDescent="0.3">
      <c r="B16" t="s">
        <v>133</v>
      </c>
      <c r="C16" s="44">
        <v>0.9971852603696133</v>
      </c>
      <c r="D16" s="44">
        <v>0.99376755746741163</v>
      </c>
      <c r="E16" s="44">
        <v>0.99269626903435604</v>
      </c>
      <c r="F16" s="44">
        <v>0.9916522405844842</v>
      </c>
      <c r="G16" s="44">
        <v>0.99111836382382024</v>
      </c>
    </row>
    <row r="17" spans="2:8" x14ac:dyDescent="0.3">
      <c r="B17" s="41" t="s">
        <v>88</v>
      </c>
      <c r="C17" s="154"/>
      <c r="D17" s="154"/>
      <c r="E17" s="154"/>
      <c r="F17" s="154"/>
      <c r="G17" s="154"/>
    </row>
    <row r="19" spans="2:8" ht="21.6" customHeight="1" x14ac:dyDescent="0.3">
      <c r="B19" s="137" t="s">
        <v>102</v>
      </c>
      <c r="C19" s="138"/>
      <c r="D19" s="138"/>
      <c r="E19" s="138"/>
      <c r="F19" s="138"/>
      <c r="G19" s="138"/>
      <c r="H19" s="138"/>
    </row>
    <row r="20" spans="2:8" x14ac:dyDescent="0.3">
      <c r="B20" s="53" t="s">
        <v>118</v>
      </c>
      <c r="C20" s="4">
        <v>2016</v>
      </c>
      <c r="D20" s="4">
        <v>2017</v>
      </c>
      <c r="E20" s="4">
        <v>2018</v>
      </c>
      <c r="F20" s="4">
        <v>2019</v>
      </c>
      <c r="G20" s="4">
        <v>2020</v>
      </c>
      <c r="H20" s="4" t="s">
        <v>6</v>
      </c>
    </row>
    <row r="21" spans="2:8" x14ac:dyDescent="0.3">
      <c r="B21" t="s">
        <v>63</v>
      </c>
      <c r="C21" s="28">
        <f>C5*C$16</f>
        <v>63423.569332981628</v>
      </c>
      <c r="D21" s="28">
        <f t="shared" ref="D21:G21" si="0">D5*D$16</f>
        <v>74896.450558282959</v>
      </c>
      <c r="E21" s="28">
        <f t="shared" si="0"/>
        <v>60501.723084950543</v>
      </c>
      <c r="F21" s="28">
        <f t="shared" si="0"/>
        <v>54275.314709983308</v>
      </c>
      <c r="G21" s="28">
        <f t="shared" si="0"/>
        <v>51063.654180052014</v>
      </c>
      <c r="H21" s="29">
        <f>SUM(C21:G21)</f>
        <v>304160.71186625044</v>
      </c>
    </row>
    <row r="22" spans="2:8" x14ac:dyDescent="0.3">
      <c r="B22" t="s">
        <v>64</v>
      </c>
      <c r="C22" s="28">
        <f t="shared" ref="C22:G22" si="1">C6*C$16</f>
        <v>80517.525314748113</v>
      </c>
      <c r="D22" s="28">
        <f t="shared" si="1"/>
        <v>79624.398660671781</v>
      </c>
      <c r="E22" s="28">
        <f t="shared" si="1"/>
        <v>82461.554266143488</v>
      </c>
      <c r="F22" s="28">
        <f t="shared" si="1"/>
        <v>78719.295134663669</v>
      </c>
      <c r="G22" s="28">
        <f t="shared" si="1"/>
        <v>78999.190322479466</v>
      </c>
      <c r="H22" s="29">
        <f t="shared" ref="H22:H26" si="2">SUM(C22:G22)</f>
        <v>400321.96369870647</v>
      </c>
    </row>
    <row r="23" spans="2:8" x14ac:dyDescent="0.3">
      <c r="B23" t="s">
        <v>65</v>
      </c>
      <c r="C23" s="28">
        <f t="shared" ref="C23:G23" si="3">C7*C$16</f>
        <v>133809.28350139005</v>
      </c>
      <c r="D23" s="28">
        <f t="shared" si="3"/>
        <v>139850.85143682468</v>
      </c>
      <c r="E23" s="28">
        <f t="shared" si="3"/>
        <v>139952.86370648546</v>
      </c>
      <c r="F23" s="28">
        <f t="shared" si="3"/>
        <v>143313.58322190412</v>
      </c>
      <c r="G23" s="28">
        <f t="shared" si="3"/>
        <v>136697.31597111924</v>
      </c>
      <c r="H23" s="29">
        <f t="shared" si="2"/>
        <v>693623.89783772349</v>
      </c>
    </row>
    <row r="24" spans="2:8" x14ac:dyDescent="0.3">
      <c r="B24" t="s">
        <v>103</v>
      </c>
      <c r="C24" s="28">
        <f t="shared" ref="C24:G24" si="4">C8*C$16</f>
        <v>44503.945570807191</v>
      </c>
      <c r="D24" s="28">
        <f t="shared" si="4"/>
        <v>58342.851967437688</v>
      </c>
      <c r="E24" s="28">
        <f t="shared" si="4"/>
        <v>40243.894910411836</v>
      </c>
      <c r="F24" s="28">
        <f t="shared" si="4"/>
        <v>46671.881140214624</v>
      </c>
      <c r="G24" s="28">
        <f t="shared" si="4"/>
        <v>39314.832701092259</v>
      </c>
      <c r="H24" s="29">
        <f t="shared" si="2"/>
        <v>229077.4062899636</v>
      </c>
    </row>
    <row r="25" spans="2:8" x14ac:dyDescent="0.3">
      <c r="B25" t="s">
        <v>104</v>
      </c>
      <c r="C25" s="28">
        <f t="shared" ref="C25:G25" si="5">C9*C$16</f>
        <v>33261.385519051022</v>
      </c>
      <c r="D25" s="28">
        <f t="shared" si="5"/>
        <v>34850.114753332811</v>
      </c>
      <c r="E25" s="28">
        <f t="shared" si="5"/>
        <v>33913.962601280691</v>
      </c>
      <c r="F25" s="28">
        <f t="shared" si="5"/>
        <v>33828.254396902899</v>
      </c>
      <c r="G25" s="28">
        <f t="shared" si="5"/>
        <v>33782.204994937783</v>
      </c>
      <c r="H25" s="29">
        <f t="shared" si="2"/>
        <v>169635.92226550519</v>
      </c>
    </row>
    <row r="26" spans="2:8" x14ac:dyDescent="0.3">
      <c r="B26" t="s">
        <v>105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9">
        <f t="shared" si="2"/>
        <v>0</v>
      </c>
    </row>
    <row r="27" spans="2:8" x14ac:dyDescent="0.3">
      <c r="B27" s="26" t="s">
        <v>106</v>
      </c>
      <c r="C27" s="127">
        <f>SUM(C21:C26)</f>
        <v>355515.70923897799</v>
      </c>
      <c r="D27" s="127">
        <f t="shared" ref="D27:G27" si="6">SUM(D21:D26)</f>
        <v>387564.66737654991</v>
      </c>
      <c r="E27" s="127">
        <f t="shared" si="6"/>
        <v>357073.99856927205</v>
      </c>
      <c r="F27" s="127">
        <f t="shared" si="6"/>
        <v>356808.32860366866</v>
      </c>
      <c r="G27" s="127">
        <f t="shared" si="6"/>
        <v>339857.19816968078</v>
      </c>
      <c r="H27" s="37">
        <f>SUM(H21:H26)</f>
        <v>1796819.9019581492</v>
      </c>
    </row>
    <row r="28" spans="2:8" x14ac:dyDescent="0.3">
      <c r="B28" t="s">
        <v>107</v>
      </c>
      <c r="C28" s="126">
        <f>C12</f>
        <v>39336.106443631594</v>
      </c>
      <c r="D28" s="126">
        <f t="shared" ref="D28:G28" si="7">D12</f>
        <v>38956.561621772482</v>
      </c>
      <c r="E28" s="126">
        <f t="shared" si="7"/>
        <v>40520.062107075064</v>
      </c>
      <c r="F28" s="126">
        <f t="shared" si="7"/>
        <v>38661.075317990333</v>
      </c>
      <c r="G28" s="126">
        <f t="shared" si="7"/>
        <v>38927.886809860618</v>
      </c>
      <c r="H28" s="29">
        <f>SUM(C28:G28)</f>
        <v>196401.69230033009</v>
      </c>
    </row>
    <row r="29" spans="2:8" ht="15" thickBot="1" x14ac:dyDescent="0.35">
      <c r="B29" s="26" t="s">
        <v>108</v>
      </c>
      <c r="C29" s="128">
        <f>C27-C28</f>
        <v>316179.60279534641</v>
      </c>
      <c r="D29" s="128">
        <f t="shared" ref="D29:H29" si="8">D27-D28</f>
        <v>348608.10575477744</v>
      </c>
      <c r="E29" s="128">
        <f t="shared" si="8"/>
        <v>316553.93646219699</v>
      </c>
      <c r="F29" s="128">
        <f t="shared" si="8"/>
        <v>318147.25328567834</v>
      </c>
      <c r="G29" s="128">
        <f t="shared" si="8"/>
        <v>300929.31135982019</v>
      </c>
      <c r="H29" s="128">
        <f t="shared" si="8"/>
        <v>1600418.209657819</v>
      </c>
    </row>
    <row r="30" spans="2:8" x14ac:dyDescent="0.3">
      <c r="B30" s="220" t="s">
        <v>83</v>
      </c>
      <c r="C30" s="29">
        <f>C29-C13</f>
        <v>0</v>
      </c>
      <c r="D30" s="29">
        <f t="shared" ref="D30:H30" si="9">D29-D13</f>
        <v>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</row>
    <row r="31" spans="2:8" x14ac:dyDescent="0.3">
      <c r="B31" s="26" t="s">
        <v>154</v>
      </c>
      <c r="C31" s="29">
        <f>C27-C25</f>
        <v>322254.32371992699</v>
      </c>
      <c r="D31" s="29">
        <f t="shared" ref="D31:H31" si="10">D27-D25</f>
        <v>352714.55262321711</v>
      </c>
      <c r="E31" s="29">
        <f t="shared" si="10"/>
        <v>323160.03596799134</v>
      </c>
      <c r="F31" s="29">
        <f t="shared" si="10"/>
        <v>322980.07420676574</v>
      </c>
      <c r="G31" s="29">
        <f t="shared" si="10"/>
        <v>306074.99317474302</v>
      </c>
      <c r="H31" s="29">
        <f t="shared" si="10"/>
        <v>1627183.979692644</v>
      </c>
    </row>
    <row r="32" spans="2:8" x14ac:dyDescent="0.3">
      <c r="B32" s="26"/>
      <c r="C32" s="28"/>
      <c r="D32" s="28"/>
      <c r="E32" s="28"/>
      <c r="F32" s="28"/>
      <c r="G32" s="28"/>
      <c r="H32" s="28"/>
    </row>
    <row r="33" spans="2:9" ht="20.399999999999999" customHeight="1" x14ac:dyDescent="0.3">
      <c r="B33" s="130" t="s">
        <v>168</v>
      </c>
      <c r="C33" s="129"/>
      <c r="D33" s="129"/>
      <c r="E33" s="129"/>
      <c r="F33" s="129"/>
      <c r="G33" s="129"/>
      <c r="H33" s="129"/>
    </row>
    <row r="34" spans="2:9" x14ac:dyDescent="0.3">
      <c r="C34" s="4">
        <v>2016</v>
      </c>
      <c r="D34" s="4">
        <v>2017</v>
      </c>
      <c r="E34" s="4">
        <v>2018</v>
      </c>
      <c r="F34" s="4">
        <v>2019</v>
      </c>
      <c r="G34" s="4">
        <v>2020</v>
      </c>
      <c r="H34" s="4" t="s">
        <v>6</v>
      </c>
    </row>
    <row r="35" spans="2:9" x14ac:dyDescent="0.3">
      <c r="B35" t="s">
        <v>63</v>
      </c>
      <c r="C35" s="28">
        <f>SUM('Direct Summary'!D7,'Direct Summary'!D11,'Direct Summary'!D15)*Escalators!$C$10</f>
        <v>4892.9973964783167</v>
      </c>
      <c r="D35" s="28">
        <f>SUM('Direct Summary'!E7,'Direct Summary'!E11,'Direct Summary'!E15)*Escalators!$C$10</f>
        <v>48489.001614112574</v>
      </c>
      <c r="E35" s="28">
        <f>SUM('Direct Summary'!F7,'Direct Summary'!F11,'Direct Summary'!F15)*Escalators!$C$10</f>
        <v>23820.538826794673</v>
      </c>
      <c r="F35" s="28">
        <f>SUM('Direct Summary'!G7,'Direct Summary'!G11,'Direct Summary'!G15)*Escalators!$C$10</f>
        <v>110.48930958333332</v>
      </c>
      <c r="G35" s="28">
        <f>SUM('Direct Summary'!H7,'Direct Summary'!H11,'Direct Summary'!H15)*Escalators!$C$10</f>
        <v>0</v>
      </c>
      <c r="H35" s="29">
        <f t="shared" ref="H35:H42" si="11">SUM(C35:G35)</f>
        <v>77313.027146968903</v>
      </c>
      <c r="I35" s="48"/>
    </row>
    <row r="36" spans="2:9" x14ac:dyDescent="0.3">
      <c r="B36" t="s">
        <v>64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9">
        <f t="shared" si="11"/>
        <v>0</v>
      </c>
      <c r="I36" s="48"/>
    </row>
    <row r="37" spans="2:9" x14ac:dyDescent="0.3">
      <c r="B37" t="s">
        <v>65</v>
      </c>
      <c r="C37" s="28">
        <f>SUM('Direct Summary'!D8,'Direct Summary'!D12,'Direct Summary'!D16)*Escalators!$C$10</f>
        <v>1889.7305140696515</v>
      </c>
      <c r="D37" s="28">
        <f>SUM('Direct Summary'!E8,'Direct Summary'!E12,'Direct Summary'!E16)*Escalators!$C$10</f>
        <v>9762.7285144861107</v>
      </c>
      <c r="E37" s="28">
        <f>SUM('Direct Summary'!F8,'Direct Summary'!F12,'Direct Summary'!F16)*Escalators!$C$10</f>
        <v>13737.954895233239</v>
      </c>
      <c r="F37" s="28">
        <f>SUM('Direct Summary'!G8,'Direct Summary'!G12,'Direct Summary'!G16)*Escalators!$C$10</f>
        <v>0</v>
      </c>
      <c r="G37" s="28">
        <f>SUM('Direct Summary'!H8,'Direct Summary'!H12,'Direct Summary'!H16)*Escalators!$C$10</f>
        <v>0</v>
      </c>
      <c r="H37" s="29">
        <f t="shared" si="11"/>
        <v>25390.413923789001</v>
      </c>
      <c r="I37" s="48"/>
    </row>
    <row r="38" spans="2:9" x14ac:dyDescent="0.3">
      <c r="B38" t="s">
        <v>103</v>
      </c>
      <c r="C38" s="28">
        <f>'Direct Summary'!D22*Escalators!$C$10</f>
        <v>0</v>
      </c>
      <c r="D38" s="28">
        <f>'Direct Summary'!E22*Escalators!$C$10</f>
        <v>262.30703556152594</v>
      </c>
      <c r="E38" s="28">
        <f>'Direct Summary'!F22*Escalators!$C$10</f>
        <v>365.90866666666665</v>
      </c>
      <c r="F38" s="28">
        <f>'Direct Summary'!G22*Escalators!$C$10</f>
        <v>0</v>
      </c>
      <c r="G38" s="28">
        <f>'Direct Summary'!H22*Escalators!$C$10</f>
        <v>0</v>
      </c>
      <c r="H38" s="29">
        <f t="shared" si="11"/>
        <v>628.21570222819264</v>
      </c>
    </row>
    <row r="39" spans="2:9" x14ac:dyDescent="0.3">
      <c r="B39" t="s">
        <v>104</v>
      </c>
      <c r="C39" s="28">
        <f>Overheads!C60</f>
        <v>183.67833193533298</v>
      </c>
      <c r="D39" s="28">
        <f>Overheads!D60</f>
        <v>1561.6935420088923</v>
      </c>
      <c r="E39" s="28">
        <f>Overheads!E60</f>
        <v>1031.5915723580051</v>
      </c>
      <c r="F39" s="28">
        <f>Overheads!F60</f>
        <v>3.1682381442327623</v>
      </c>
      <c r="G39" s="28">
        <f>Overheads!G60</f>
        <v>0</v>
      </c>
      <c r="H39" s="29">
        <f t="shared" si="11"/>
        <v>2780.1316844464632</v>
      </c>
    </row>
    <row r="40" spans="2:9" x14ac:dyDescent="0.3">
      <c r="B40" t="s">
        <v>105</v>
      </c>
      <c r="C40" s="28">
        <f>'Direct Summary'!D46*Escalators!$C$10</f>
        <v>34.560605809096522</v>
      </c>
      <c r="D40" s="28">
        <f>'Direct Summary'!E46*Escalators!$C$10</f>
        <v>369.23052057073085</v>
      </c>
      <c r="E40" s="28">
        <f>'Direct Summary'!F46*Escalators!$C$10</f>
        <v>319.83480249132816</v>
      </c>
      <c r="F40" s="28">
        <f>'Direct Summary'!G46*Escalators!$C$10</f>
        <v>4.9505598705265541</v>
      </c>
      <c r="G40" s="28">
        <f>'Direct Summary'!H46*Escalators!$C$10</f>
        <v>0</v>
      </c>
      <c r="H40" s="29">
        <f t="shared" si="11"/>
        <v>728.57648874168217</v>
      </c>
      <c r="I40" s="38"/>
    </row>
    <row r="41" spans="2:9" x14ac:dyDescent="0.3">
      <c r="B41" s="26" t="s">
        <v>106</v>
      </c>
      <c r="C41" s="127">
        <f>SUM(C35:C40)</f>
        <v>7000.9668482923971</v>
      </c>
      <c r="D41" s="127">
        <f t="shared" ref="D41" si="12">SUM(D35:D40)</f>
        <v>60444.961226739833</v>
      </c>
      <c r="E41" s="127">
        <f t="shared" ref="E41" si="13">SUM(E35:E40)</f>
        <v>39275.828763543912</v>
      </c>
      <c r="F41" s="127">
        <f t="shared" ref="F41" si="14">SUM(F35:F40)</f>
        <v>118.60810759809263</v>
      </c>
      <c r="G41" s="127">
        <f t="shared" ref="G41" si="15">SUM(G35:G40)</f>
        <v>0</v>
      </c>
      <c r="H41" s="37">
        <f>SUM(H35:H40)</f>
        <v>106840.36494617425</v>
      </c>
    </row>
    <row r="42" spans="2:9" x14ac:dyDescent="0.3">
      <c r="B42" t="s">
        <v>107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29">
        <f t="shared" si="11"/>
        <v>0</v>
      </c>
    </row>
    <row r="43" spans="2:9" ht="15" thickBot="1" x14ac:dyDescent="0.35">
      <c r="B43" s="26" t="s">
        <v>108</v>
      </c>
      <c r="C43" s="128">
        <f>C41-C42</f>
        <v>7000.9668482923971</v>
      </c>
      <c r="D43" s="128">
        <f t="shared" ref="D43" si="16">D41-D42</f>
        <v>60444.961226739833</v>
      </c>
      <c r="E43" s="128">
        <f t="shared" ref="E43" si="17">E41-E42</f>
        <v>39275.828763543912</v>
      </c>
      <c r="F43" s="128">
        <f t="shared" ref="F43" si="18">F41-F42</f>
        <v>118.60810759809263</v>
      </c>
      <c r="G43" s="128">
        <f t="shared" ref="G43" si="19">G41-G42</f>
        <v>0</v>
      </c>
      <c r="H43" s="128">
        <f t="shared" ref="H43" si="20">H41-H42</f>
        <v>106840.36494617425</v>
      </c>
    </row>
    <row r="44" spans="2:9" x14ac:dyDescent="0.3">
      <c r="B44" s="220" t="s">
        <v>83</v>
      </c>
      <c r="C44" s="11">
        <f>C43-('Direct Summary'!D69*Escalators!$C$10+Overheads!C60)</f>
        <v>0</v>
      </c>
      <c r="D44" s="11">
        <f>D43-('Direct Summary'!E69*Escalators!$C$10+Overheads!D60)</f>
        <v>0</v>
      </c>
      <c r="E44" s="11">
        <f>E43-('Direct Summary'!F69*Escalators!$C$10+Overheads!E60)</f>
        <v>0</v>
      </c>
      <c r="F44" s="11">
        <f>F43-('Direct Summary'!G69*Escalators!$C$10+Overheads!F60)</f>
        <v>0</v>
      </c>
      <c r="G44" s="11">
        <f>G43-('Direct Summary'!H69*Escalators!$C$10+Overheads!G60)</f>
        <v>0</v>
      </c>
      <c r="H44" s="11">
        <f>H43-('Direct Summary'!I69*Escalators!$C$10+Overheads!H60)</f>
        <v>0</v>
      </c>
    </row>
    <row r="47" spans="2:9" ht="18" customHeight="1" x14ac:dyDescent="0.3">
      <c r="B47" s="130" t="s">
        <v>169</v>
      </c>
      <c r="C47" s="129"/>
      <c r="D47" s="129"/>
      <c r="E47" s="129"/>
      <c r="F47" s="129"/>
      <c r="G47" s="129"/>
      <c r="H47" s="129"/>
    </row>
    <row r="48" spans="2:9" x14ac:dyDescent="0.3">
      <c r="B48" s="53" t="s">
        <v>114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 t="s">
        <v>6</v>
      </c>
    </row>
    <row r="49" spans="2:8" x14ac:dyDescent="0.3">
      <c r="B49" t="s">
        <v>63</v>
      </c>
      <c r="C49" s="154">
        <f>SUM('Direct Summary'!D53,'Direct Summary'!D57,'Direct Summary'!D61)*Escalators!$C$10</f>
        <v>4918.596136288671</v>
      </c>
      <c r="D49" s="154">
        <f>SUM('Direct Summary'!E53,'Direct Summary'!E57,'Direct Summary'!E61)*Escalators!$C$10</f>
        <v>48799.380420178466</v>
      </c>
      <c r="E49" s="154">
        <f>SUM('Direct Summary'!F53,'Direct Summary'!F57,'Direct Summary'!F61)*Escalators!$C$10</f>
        <v>24049.959063612201</v>
      </c>
      <c r="F49" s="154">
        <f>SUM('Direct Summary'!G53,'Direct Summary'!G57,'Direct Summary'!G61)*Escalators!$C$10</f>
        <v>115.43986945385988</v>
      </c>
      <c r="G49" s="154">
        <f>SUM('Direct Summary'!H53,'Direct Summary'!H57,'Direct Summary'!H61)*Escalators!$C$10</f>
        <v>0</v>
      </c>
      <c r="H49" s="29">
        <f t="shared" ref="H49:H56" si="21">SUM(C49:G49)</f>
        <v>77883.375489533195</v>
      </c>
    </row>
    <row r="50" spans="2:8" x14ac:dyDescent="0.3">
      <c r="B50" t="s">
        <v>64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29">
        <f t="shared" si="21"/>
        <v>0</v>
      </c>
    </row>
    <row r="51" spans="2:8" x14ac:dyDescent="0.3">
      <c r="B51" t="s">
        <v>65</v>
      </c>
      <c r="C51" s="154">
        <f>SUM('Direct Summary'!D54,'Direct Summary'!D58,'Direct Summary'!D62)*Escalators!$C$10</f>
        <v>1898.6923800683944</v>
      </c>
      <c r="D51" s="154">
        <f>SUM('Direct Summary'!E54,'Direct Summary'!E58,'Direct Summary'!E62)*Escalators!$C$10</f>
        <v>9821.184933397868</v>
      </c>
      <c r="E51" s="154">
        <f>SUM('Direct Summary'!F54,'Direct Summary'!F58,'Direct Summary'!F62)*Escalators!$C$10</f>
        <v>13828.369460907033</v>
      </c>
      <c r="F51" s="154">
        <f>SUM('Direct Summary'!G54,'Direct Summary'!G58,'Direct Summary'!G62)*Escalators!$C$10</f>
        <v>0</v>
      </c>
      <c r="G51" s="154">
        <f>SUM('Direct Summary'!H54,'Direct Summary'!H58,'Direct Summary'!H62)*Escalators!$C$10</f>
        <v>0</v>
      </c>
      <c r="H51" s="29">
        <f t="shared" si="21"/>
        <v>25548.246774373296</v>
      </c>
    </row>
    <row r="52" spans="2:8" x14ac:dyDescent="0.3">
      <c r="B52" t="s">
        <v>103</v>
      </c>
      <c r="C52" s="154">
        <f>'Direct Summary'!D68*Escalators!$C$10</f>
        <v>0</v>
      </c>
      <c r="D52" s="154">
        <f>'Direct Summary'!E68*Escalators!$C$10</f>
        <v>262.70233115460843</v>
      </c>
      <c r="E52" s="154">
        <f>'Direct Summary'!F68*Escalators!$C$10</f>
        <v>365.90866666666665</v>
      </c>
      <c r="F52" s="154">
        <f>'Direct Summary'!G68*Escalators!$C$10</f>
        <v>0</v>
      </c>
      <c r="G52" s="154">
        <f>'Direct Summary'!H68*Escalators!$C$10</f>
        <v>0</v>
      </c>
      <c r="H52" s="29">
        <f t="shared" si="21"/>
        <v>628.61099782127508</v>
      </c>
    </row>
    <row r="53" spans="2:8" x14ac:dyDescent="0.3">
      <c r="B53" t="s">
        <v>104</v>
      </c>
      <c r="C53" s="28">
        <f>Overheads!C60</f>
        <v>183.67833193533298</v>
      </c>
      <c r="D53" s="28">
        <f>Overheads!D60</f>
        <v>1561.6935420088923</v>
      </c>
      <c r="E53" s="28">
        <f>Overheads!E60</f>
        <v>1031.5915723580051</v>
      </c>
      <c r="F53" s="28">
        <f>Overheads!F60</f>
        <v>3.1682381442327623</v>
      </c>
      <c r="G53" s="28">
        <f>Overheads!G60</f>
        <v>0</v>
      </c>
      <c r="H53" s="29">
        <f t="shared" si="21"/>
        <v>2780.1316844464632</v>
      </c>
    </row>
    <row r="54" spans="2:8" x14ac:dyDescent="0.3">
      <c r="B54" t="s">
        <v>105</v>
      </c>
      <c r="C54" s="28"/>
      <c r="D54" s="28"/>
      <c r="E54" s="28"/>
      <c r="F54" s="28"/>
      <c r="G54" s="28"/>
      <c r="H54" s="29">
        <f t="shared" si="21"/>
        <v>0</v>
      </c>
    </row>
    <row r="55" spans="2:8" x14ac:dyDescent="0.3">
      <c r="B55" s="26" t="s">
        <v>106</v>
      </c>
      <c r="C55" s="127">
        <f>SUM(C49:C54)</f>
        <v>7000.966848292398</v>
      </c>
      <c r="D55" s="127">
        <f t="shared" ref="D55" si="22">SUM(D49:D54)</f>
        <v>60444.961226739833</v>
      </c>
      <c r="E55" s="127">
        <f t="shared" ref="E55" si="23">SUM(E49:E54)</f>
        <v>39275.828763543912</v>
      </c>
      <c r="F55" s="127">
        <f t="shared" ref="F55" si="24">SUM(F49:F54)</f>
        <v>118.60810759809264</v>
      </c>
      <c r="G55" s="127">
        <f t="shared" ref="G55" si="25">SUM(G49:G54)</f>
        <v>0</v>
      </c>
      <c r="H55" s="37">
        <f>SUM(H49:H54)</f>
        <v>106840.36494617423</v>
      </c>
    </row>
    <row r="56" spans="2:8" x14ac:dyDescent="0.3">
      <c r="B56" t="s">
        <v>107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29">
        <f t="shared" si="21"/>
        <v>0</v>
      </c>
    </row>
    <row r="57" spans="2:8" ht="15" thickBot="1" x14ac:dyDescent="0.35">
      <c r="B57" s="26" t="s">
        <v>108</v>
      </c>
      <c r="C57" s="128">
        <f>C55-C56</f>
        <v>7000.966848292398</v>
      </c>
      <c r="D57" s="128">
        <f t="shared" ref="D57" si="26">D55-D56</f>
        <v>60444.961226739833</v>
      </c>
      <c r="E57" s="128">
        <f t="shared" ref="E57" si="27">E55-E56</f>
        <v>39275.828763543912</v>
      </c>
      <c r="F57" s="128">
        <f t="shared" ref="F57" si="28">F55-F56</f>
        <v>118.60810759809264</v>
      </c>
      <c r="G57" s="128">
        <f t="shared" ref="G57" si="29">G55-G56</f>
        <v>0</v>
      </c>
      <c r="H57" s="128">
        <f t="shared" ref="H57" si="30">H55-H56</f>
        <v>106840.36494617423</v>
      </c>
    </row>
    <row r="58" spans="2:8" x14ac:dyDescent="0.3">
      <c r="B58" s="220" t="s">
        <v>83</v>
      </c>
      <c r="C58" s="11">
        <f>C57-C43</f>
        <v>0</v>
      </c>
      <c r="D58" s="11">
        <f t="shared" ref="D58:H58" si="31">D57-D43</f>
        <v>0</v>
      </c>
      <c r="E58" s="11">
        <f t="shared" si="31"/>
        <v>0</v>
      </c>
      <c r="F58" s="11">
        <f t="shared" si="31"/>
        <v>0</v>
      </c>
      <c r="G58" s="11">
        <f t="shared" si="31"/>
        <v>0</v>
      </c>
      <c r="H58" s="11">
        <f t="shared" si="31"/>
        <v>0</v>
      </c>
    </row>
    <row r="59" spans="2:8" x14ac:dyDescent="0.3">
      <c r="B59" s="26" t="s">
        <v>154</v>
      </c>
      <c r="C59" s="29">
        <f>SUM(C49:C52)</f>
        <v>6817.2885163570654</v>
      </c>
      <c r="D59" s="29">
        <f t="shared" ref="D59:H59" si="32">SUM(D49:D52)</f>
        <v>58883.267684730941</v>
      </c>
      <c r="E59" s="29">
        <f t="shared" si="32"/>
        <v>38244.237191185908</v>
      </c>
      <c r="F59" s="29">
        <f t="shared" si="32"/>
        <v>115.43986945385988</v>
      </c>
      <c r="G59" s="29">
        <f t="shared" si="32"/>
        <v>0</v>
      </c>
      <c r="H59" s="29">
        <f t="shared" si="32"/>
        <v>104060.23326172777</v>
      </c>
    </row>
    <row r="60" spans="2:8" x14ac:dyDescent="0.3">
      <c r="C60" s="38"/>
      <c r="D60" s="38"/>
      <c r="E60" s="38"/>
      <c r="F60" s="38"/>
      <c r="G60" s="38"/>
      <c r="H60" s="38"/>
    </row>
    <row r="61" spans="2:8" ht="19.8" customHeight="1" x14ac:dyDescent="0.3">
      <c r="B61" s="130" t="s">
        <v>123</v>
      </c>
      <c r="C61" s="129"/>
      <c r="D61" s="129"/>
      <c r="E61" s="129"/>
      <c r="F61" s="129"/>
      <c r="G61" s="129"/>
      <c r="H61" s="129"/>
    </row>
    <row r="62" spans="2:8" x14ac:dyDescent="0.3">
      <c r="B62" s="53" t="s">
        <v>114</v>
      </c>
      <c r="C62" s="4">
        <v>2016</v>
      </c>
      <c r="D62" s="4">
        <v>2017</v>
      </c>
      <c r="E62" s="4">
        <v>2018</v>
      </c>
      <c r="F62" s="4">
        <v>2019</v>
      </c>
      <c r="G62" s="4">
        <v>2020</v>
      </c>
      <c r="H62" s="4" t="s">
        <v>6</v>
      </c>
    </row>
    <row r="63" spans="2:8" x14ac:dyDescent="0.3">
      <c r="B63" t="s">
        <v>63</v>
      </c>
      <c r="C63" s="28">
        <f>C49+C21</f>
        <v>68342.165469270301</v>
      </c>
      <c r="D63" s="28">
        <f t="shared" ref="D63:G63" si="33">D49+D21</f>
        <v>123695.83097846142</v>
      </c>
      <c r="E63" s="28">
        <f t="shared" si="33"/>
        <v>84551.682148562744</v>
      </c>
      <c r="F63" s="28">
        <f t="shared" si="33"/>
        <v>54390.754579437169</v>
      </c>
      <c r="G63" s="28">
        <f t="shared" si="33"/>
        <v>51063.654180052014</v>
      </c>
      <c r="H63" s="29">
        <f t="shared" ref="H63:H68" si="34">SUM(C63:G63)</f>
        <v>382044.08735578367</v>
      </c>
    </row>
    <row r="64" spans="2:8" x14ac:dyDescent="0.3">
      <c r="B64" t="s">
        <v>64</v>
      </c>
      <c r="C64" s="28">
        <f t="shared" ref="C64:G64" si="35">C50+C22</f>
        <v>80517.525314748113</v>
      </c>
      <c r="D64" s="28">
        <f t="shared" si="35"/>
        <v>79624.398660671781</v>
      </c>
      <c r="E64" s="28">
        <f t="shared" si="35"/>
        <v>82461.554266143488</v>
      </c>
      <c r="F64" s="28">
        <f t="shared" si="35"/>
        <v>78719.295134663669</v>
      </c>
      <c r="G64" s="28">
        <f t="shared" si="35"/>
        <v>78999.190322479466</v>
      </c>
      <c r="H64" s="29">
        <f t="shared" si="34"/>
        <v>400321.96369870647</v>
      </c>
    </row>
    <row r="65" spans="2:8" x14ac:dyDescent="0.3">
      <c r="B65" t="s">
        <v>65</v>
      </c>
      <c r="C65" s="28">
        <f t="shared" ref="C65:G65" si="36">C51+C23</f>
        <v>135707.97588145843</v>
      </c>
      <c r="D65" s="28">
        <f t="shared" si="36"/>
        <v>149672.03637022254</v>
      </c>
      <c r="E65" s="28">
        <f t="shared" si="36"/>
        <v>153781.23316739249</v>
      </c>
      <c r="F65" s="28">
        <f t="shared" si="36"/>
        <v>143313.58322190412</v>
      </c>
      <c r="G65" s="28">
        <f t="shared" si="36"/>
        <v>136697.31597111924</v>
      </c>
      <c r="H65" s="29">
        <f t="shared" si="34"/>
        <v>719172.14461209683</v>
      </c>
    </row>
    <row r="66" spans="2:8" x14ac:dyDescent="0.3">
      <c r="B66" t="s">
        <v>103</v>
      </c>
      <c r="C66" s="28">
        <f t="shared" ref="C66:G66" si="37">C52+C24</f>
        <v>44503.945570807191</v>
      </c>
      <c r="D66" s="28">
        <f t="shared" si="37"/>
        <v>58605.554298592295</v>
      </c>
      <c r="E66" s="28">
        <f t="shared" si="37"/>
        <v>40609.803577078506</v>
      </c>
      <c r="F66" s="28">
        <f t="shared" si="37"/>
        <v>46671.881140214624</v>
      </c>
      <c r="G66" s="28">
        <f t="shared" si="37"/>
        <v>39314.832701092259</v>
      </c>
      <c r="H66" s="29">
        <f t="shared" si="34"/>
        <v>229706.01728778487</v>
      </c>
    </row>
    <row r="67" spans="2:8" x14ac:dyDescent="0.3">
      <c r="B67" t="s">
        <v>104</v>
      </c>
      <c r="C67" s="28">
        <f t="shared" ref="C67:G67" si="38">C53+C25</f>
        <v>33445.063850986357</v>
      </c>
      <c r="D67" s="28">
        <f t="shared" si="38"/>
        <v>36411.808295341703</v>
      </c>
      <c r="E67" s="28">
        <f t="shared" si="38"/>
        <v>34945.554173638695</v>
      </c>
      <c r="F67" s="28">
        <f t="shared" si="38"/>
        <v>33831.422635047129</v>
      </c>
      <c r="G67" s="28">
        <f t="shared" si="38"/>
        <v>33782.204994937783</v>
      </c>
      <c r="H67" s="29">
        <f t="shared" si="34"/>
        <v>172416.05394995169</v>
      </c>
    </row>
    <row r="68" spans="2:8" x14ac:dyDescent="0.3">
      <c r="B68" t="s">
        <v>105</v>
      </c>
      <c r="C68" s="28">
        <f t="shared" ref="C68:G68" si="39">C54+C26</f>
        <v>0</v>
      </c>
      <c r="D68" s="28">
        <f t="shared" si="39"/>
        <v>0</v>
      </c>
      <c r="E68" s="28">
        <f t="shared" si="39"/>
        <v>0</v>
      </c>
      <c r="F68" s="28">
        <f t="shared" si="39"/>
        <v>0</v>
      </c>
      <c r="G68" s="28">
        <f t="shared" si="39"/>
        <v>0</v>
      </c>
      <c r="H68" s="29">
        <f t="shared" si="34"/>
        <v>0</v>
      </c>
    </row>
    <row r="69" spans="2:8" x14ac:dyDescent="0.3">
      <c r="B69" s="26" t="s">
        <v>106</v>
      </c>
      <c r="C69" s="127">
        <f>SUM(C63:C68)</f>
        <v>362516.67608727043</v>
      </c>
      <c r="D69" s="127">
        <f t="shared" ref="D69" si="40">SUM(D63:D68)</f>
        <v>448009.62860328972</v>
      </c>
      <c r="E69" s="127">
        <f t="shared" ref="E69" si="41">SUM(E63:E68)</f>
        <v>396349.82733281591</v>
      </c>
      <c r="F69" s="127">
        <f t="shared" ref="F69" si="42">SUM(F63:F68)</f>
        <v>356926.9367112667</v>
      </c>
      <c r="G69" s="127">
        <f t="shared" ref="G69" si="43">SUM(G63:G68)</f>
        <v>339857.19816968078</v>
      </c>
      <c r="H69" s="37">
        <f>SUM(H63:H68)</f>
        <v>1903660.2669043236</v>
      </c>
    </row>
    <row r="70" spans="2:8" x14ac:dyDescent="0.3">
      <c r="B70" t="s">
        <v>107</v>
      </c>
      <c r="C70" s="28">
        <f t="shared" ref="C70:G70" si="44">C56+C28</f>
        <v>39336.106443631594</v>
      </c>
      <c r="D70" s="28">
        <f t="shared" si="44"/>
        <v>38956.561621772482</v>
      </c>
      <c r="E70" s="28">
        <f t="shared" si="44"/>
        <v>40520.062107075064</v>
      </c>
      <c r="F70" s="28">
        <f t="shared" si="44"/>
        <v>38661.075317990333</v>
      </c>
      <c r="G70" s="28">
        <f t="shared" si="44"/>
        <v>38927.886809860618</v>
      </c>
      <c r="H70" s="29">
        <f t="shared" ref="H70" si="45">SUM(C70:G70)</f>
        <v>196401.69230033009</v>
      </c>
    </row>
    <row r="71" spans="2:8" ht="15" thickBot="1" x14ac:dyDescent="0.35">
      <c r="B71" s="26" t="s">
        <v>108</v>
      </c>
      <c r="C71" s="128">
        <f>C69-C70</f>
        <v>323180.56964363885</v>
      </c>
      <c r="D71" s="128">
        <f t="shared" ref="D71" si="46">D69-D70</f>
        <v>409053.06698151724</v>
      </c>
      <c r="E71" s="128">
        <f t="shared" ref="E71" si="47">E69-E70</f>
        <v>355829.76522574085</v>
      </c>
      <c r="F71" s="128">
        <f t="shared" ref="F71" si="48">F69-F70</f>
        <v>318265.86139327637</v>
      </c>
      <c r="G71" s="128">
        <f t="shared" ref="G71" si="49">G69-G70</f>
        <v>300929.31135982019</v>
      </c>
      <c r="H71" s="128">
        <f t="shared" ref="H71" si="50">H69-H70</f>
        <v>1707258.5746039934</v>
      </c>
    </row>
    <row r="72" spans="2:8" x14ac:dyDescent="0.3">
      <c r="B72" s="220" t="s">
        <v>83</v>
      </c>
      <c r="C72" s="11">
        <f>C71-C57-C29</f>
        <v>0</v>
      </c>
      <c r="D72" s="11">
        <f t="shared" ref="D72:H72" si="51">D71-D57-D29</f>
        <v>0</v>
      </c>
      <c r="E72" s="11">
        <f t="shared" si="51"/>
        <v>0</v>
      </c>
      <c r="F72" s="11">
        <f t="shared" si="51"/>
        <v>0</v>
      </c>
      <c r="G72" s="11">
        <f t="shared" si="51"/>
        <v>0</v>
      </c>
      <c r="H72" s="11">
        <f t="shared" si="51"/>
        <v>0</v>
      </c>
    </row>
  </sheetData>
  <pageMargins left="0.7" right="0.7" top="0.75" bottom="0.75" header="0.3" footer="0.3"/>
  <pageSetup paperSize="9" orientation="portrait" verticalDpi="0" r:id="rId1"/>
  <ignoredErrors>
    <ignoredError sqref="C69:H6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zoomScale="85" zoomScaleNormal="85" workbookViewId="0">
      <selection activeCell="J10" sqref="J10"/>
    </sheetView>
  </sheetViews>
  <sheetFormatPr defaultRowHeight="14.4" x14ac:dyDescent="0.3"/>
  <cols>
    <col min="1" max="1" width="4.33203125" customWidth="1"/>
    <col min="2" max="2" width="20.6640625" customWidth="1"/>
    <col min="3" max="3" width="11.88671875" customWidth="1"/>
    <col min="4" max="4" width="12" customWidth="1"/>
    <col min="5" max="6" width="10.33203125" customWidth="1"/>
    <col min="7" max="7" width="11.6640625" customWidth="1"/>
    <col min="8" max="8" width="9.88671875" customWidth="1"/>
    <col min="9" max="9" width="10.33203125" bestFit="1" customWidth="1"/>
  </cols>
  <sheetData>
    <row r="1" spans="2:10" ht="15.6" x14ac:dyDescent="0.3">
      <c r="B1" s="135" t="s">
        <v>111</v>
      </c>
    </row>
    <row r="2" spans="2:10" ht="15.6" x14ac:dyDescent="0.3">
      <c r="B2" s="135"/>
    </row>
    <row r="3" spans="2:10" x14ac:dyDescent="0.3">
      <c r="B3" s="26" t="s">
        <v>112</v>
      </c>
    </row>
    <row r="5" spans="2:10" ht="28.8" x14ac:dyDescent="0.3">
      <c r="C5" s="13" t="s">
        <v>66</v>
      </c>
      <c r="D5" s="13" t="s">
        <v>37</v>
      </c>
      <c r="E5" s="13" t="s">
        <v>8</v>
      </c>
      <c r="F5" s="13" t="s">
        <v>67</v>
      </c>
      <c r="G5" s="13" t="s">
        <v>68</v>
      </c>
      <c r="H5" s="13" t="s">
        <v>93</v>
      </c>
      <c r="I5" s="13" t="s">
        <v>6</v>
      </c>
      <c r="J5" s="13" t="s">
        <v>83</v>
      </c>
    </row>
    <row r="6" spans="2:10" x14ac:dyDescent="0.3">
      <c r="B6" t="s">
        <v>9</v>
      </c>
      <c r="C6" s="28">
        <f>SUMIF('Direct $ Composition'!$B$7:$B$25,$B6,'Direct $ Composition'!$AM$7:$AM$25)</f>
        <v>3850.8944131136068</v>
      </c>
      <c r="D6" s="28">
        <f>'Direct $ Composition'!AM28</f>
        <v>994.30912370407111</v>
      </c>
      <c r="E6" s="28">
        <f>'Direct $ Composition'!AM39</f>
        <v>1532.8567550376551</v>
      </c>
      <c r="F6" s="28">
        <f>SUM('Direct $ Composition'!AM50+'Direct $ Composition'!AM61+'Direct $ Composition'!AM72)</f>
        <v>651.01514337686581</v>
      </c>
      <c r="G6" s="28">
        <f>'Direct $ Composition'!AM83</f>
        <v>1180.3812713809089</v>
      </c>
      <c r="H6" s="28"/>
      <c r="I6" s="28">
        <f t="shared" ref="I6:I14" si="0">SUM(C6:H6)</f>
        <v>8209.4567066131076</v>
      </c>
      <c r="J6" s="203">
        <f>I6-'Direct $ Composition'!AM99</f>
        <v>0</v>
      </c>
    </row>
    <row r="7" spans="2:10" x14ac:dyDescent="0.3">
      <c r="B7" t="s">
        <v>10</v>
      </c>
      <c r="C7" s="28">
        <f>SUMIF('Direct $ Composition'!$B$7:$B$25,$B7,'Direct $ Composition'!$AM$7:$AM$25)</f>
        <v>4187.0737626765358</v>
      </c>
      <c r="D7" s="28">
        <f>'Direct $ Composition'!AM29</f>
        <v>1469.630859793393</v>
      </c>
      <c r="E7" s="28">
        <f>'Direct $ Composition'!AM40</f>
        <v>1601.749193466314</v>
      </c>
      <c r="F7" s="28">
        <f>SUM('Direct $ Composition'!AM51+'Direct $ Composition'!AM62+'Direct $ Composition'!AM73)</f>
        <v>426.45336194029841</v>
      </c>
      <c r="G7" s="28">
        <f>'Direct $ Composition'!AM84</f>
        <v>3541.1438141427266</v>
      </c>
      <c r="H7" s="28"/>
      <c r="I7" s="28">
        <f t="shared" si="0"/>
        <v>11226.050992019267</v>
      </c>
      <c r="J7" s="203">
        <f>I7-'Direct $ Composition'!AM100</f>
        <v>0</v>
      </c>
    </row>
    <row r="8" spans="2:10" x14ac:dyDescent="0.3">
      <c r="B8" t="s">
        <v>11</v>
      </c>
      <c r="C8" s="28">
        <f>SUMIF('Direct $ Composition'!$B$7:$B$25,$B8,'Direct $ Composition'!$AM$7:$AM$25)</f>
        <v>3751.9716444452824</v>
      </c>
      <c r="D8" s="28">
        <f>'Direct $ Composition'!AM30</f>
        <v>850.99706454109582</v>
      </c>
      <c r="E8" s="28">
        <f>'Direct $ Composition'!AM41</f>
        <v>442.87996132709145</v>
      </c>
      <c r="F8" s="28">
        <f>SUM('Direct $ Composition'!AM52+'Direct $ Composition'!AM63+'Direct $ Composition'!AM74)</f>
        <v>63.246268656716403</v>
      </c>
      <c r="G8" s="28">
        <f>'Direct $ Composition'!AM85</f>
        <v>2360.7625427618177</v>
      </c>
      <c r="H8" s="28"/>
      <c r="I8" s="28">
        <f t="shared" si="0"/>
        <v>7469.8574817320032</v>
      </c>
      <c r="J8" s="203">
        <f>I8-'Direct $ Composition'!AM101</f>
        <v>0</v>
      </c>
    </row>
    <row r="9" spans="2:10" x14ac:dyDescent="0.3">
      <c r="B9" t="s">
        <v>12</v>
      </c>
      <c r="C9" s="28">
        <f>SUMIF('Direct $ Composition'!$B$7:$B$25,$B9,'Direct $ Composition'!$AM$7:$AM$25)</f>
        <v>7080.5870496854504</v>
      </c>
      <c r="D9" s="28">
        <f>'Direct $ Composition'!AM31</f>
        <v>819.10317448750425</v>
      </c>
      <c r="E9" s="28">
        <f>'Direct $ Composition'!AM42</f>
        <v>391.2106325055974</v>
      </c>
      <c r="F9" s="28">
        <f>SUM('Direct $ Composition'!AM53+'Direct $ Composition'!AM64+'Direct $ Composition'!AM75)</f>
        <v>379.4776119402984</v>
      </c>
      <c r="G9" s="28">
        <f>'Direct $ Composition'!AM86</f>
        <v>0</v>
      </c>
      <c r="H9" s="28"/>
      <c r="I9" s="28">
        <f t="shared" si="0"/>
        <v>8670.3784686188501</v>
      </c>
      <c r="J9" s="203">
        <f>I9-'Direct $ Composition'!AM102</f>
        <v>0</v>
      </c>
    </row>
    <row r="10" spans="2:10" x14ac:dyDescent="0.3">
      <c r="B10" t="s">
        <v>13</v>
      </c>
      <c r="C10" s="28">
        <f>SUMIF('Direct $ Composition'!$B$7:$B$25,$B10,'Direct $ Composition'!$AM$7:$AM$25)</f>
        <v>9691.3530842869659</v>
      </c>
      <c r="D10" s="28">
        <f>'Direct $ Composition'!AM32</f>
        <v>3411.7700903905297</v>
      </c>
      <c r="E10" s="28">
        <f>'Direct $ Composition'!AM43</f>
        <v>2054.4709317117854</v>
      </c>
      <c r="F10" s="28">
        <f>SUM('Direct $ Composition'!AM54+'Direct $ Composition'!AM65+'Direct $ Composition'!AM76)</f>
        <v>646.89739925373124</v>
      </c>
      <c r="G10" s="28">
        <f>'Direct $ Composition'!AM87</f>
        <v>2360.7625427618177</v>
      </c>
      <c r="H10" s="28"/>
      <c r="I10" s="28">
        <f t="shared" si="0"/>
        <v>18165.25404840483</v>
      </c>
      <c r="J10" s="203">
        <f>I10-'Direct $ Composition'!AM103</f>
        <v>0</v>
      </c>
    </row>
    <row r="11" spans="2:10" x14ac:dyDescent="0.3">
      <c r="B11" t="s">
        <v>14</v>
      </c>
      <c r="C11" s="28">
        <f>SUMIF('Direct $ Composition'!$B$7:$B$25,$B11,'Direct $ Composition'!$AM$7:$AM$25)</f>
        <v>8041.5980939569199</v>
      </c>
      <c r="D11" s="28">
        <f>'Direct $ Composition'!AM33</f>
        <v>3750.3869723694461</v>
      </c>
      <c r="E11" s="28">
        <f>'Direct $ Composition'!AM44</f>
        <v>2539.1784449419906</v>
      </c>
      <c r="F11" s="28">
        <f>SUM('Direct $ Composition'!AM55+'Direct $ Composition'!AM66+'Direct $ Composition'!AM77)</f>
        <v>1241.4821113526116</v>
      </c>
      <c r="G11" s="28">
        <f>'Direct $ Composition'!AM88</f>
        <v>2360.7625427618177</v>
      </c>
      <c r="H11" s="28"/>
      <c r="I11" s="28">
        <f t="shared" si="0"/>
        <v>17933.408165382785</v>
      </c>
      <c r="J11" s="203">
        <f>I11-'Direct $ Composition'!AM104</f>
        <v>0</v>
      </c>
    </row>
    <row r="12" spans="2:10" x14ac:dyDescent="0.3">
      <c r="B12" t="s">
        <v>15</v>
      </c>
      <c r="C12" s="28">
        <f>SUMIF('Direct $ Composition'!$B$7:$B$25,$B12,'Direct $ Composition'!$AM$7:$AM$25)</f>
        <v>3569.7825990082661</v>
      </c>
      <c r="D12" s="28">
        <f>'Direct $ Composition'!AM34</f>
        <v>3030.5990150220041</v>
      </c>
      <c r="E12" s="28">
        <f>'Direct $ Composition'!AM45</f>
        <v>1796.1242876043152</v>
      </c>
      <c r="F12" s="28">
        <f>SUM('Direct $ Composition'!AM56+'Direct $ Composition'!AM67+'Direct $ Composition'!AM78)</f>
        <v>1248.9204394123133</v>
      </c>
      <c r="G12" s="28">
        <f>'Direct $ Composition'!AM89</f>
        <v>1180.3812713809089</v>
      </c>
      <c r="H12" s="28"/>
      <c r="I12" s="28">
        <f t="shared" si="0"/>
        <v>10825.807612427807</v>
      </c>
      <c r="J12" s="203">
        <f>I12-'Direct $ Composition'!AM105</f>
        <v>0</v>
      </c>
    </row>
    <row r="13" spans="2:10" x14ac:dyDescent="0.3">
      <c r="B13" t="s">
        <v>16</v>
      </c>
      <c r="C13" s="28">
        <f>SUMIF('Direct $ Composition'!$B$7:$B$25,$B13,'Direct $ Composition'!$AM$7:$AM$25)</f>
        <v>3434.9344542207496</v>
      </c>
      <c r="D13" s="28">
        <f>'Direct $ Composition'!AM35</f>
        <v>1202.0220439483105</v>
      </c>
      <c r="E13" s="28">
        <f>'Direct $ Composition'!AM46</f>
        <v>962.0336937716263</v>
      </c>
      <c r="F13" s="28">
        <f>SUM('Direct $ Composition'!AM57+'Direct $ Composition'!AM68+'Direct $ Composition'!AM79)</f>
        <v>379.4776119402984</v>
      </c>
      <c r="G13" s="28">
        <f>'Direct $ Composition'!AM90</f>
        <v>0</v>
      </c>
      <c r="H13" s="28"/>
      <c r="I13" s="28">
        <f t="shared" si="0"/>
        <v>5978.4678038809852</v>
      </c>
      <c r="J13" s="203">
        <f>I13-'Direct $ Composition'!AM106</f>
        <v>0</v>
      </c>
    </row>
    <row r="14" spans="2:10" x14ac:dyDescent="0.3">
      <c r="B14" t="s">
        <v>17</v>
      </c>
      <c r="C14" s="28">
        <f>SUMIF('Direct $ Composition'!$B$7:$B$25,$B14,'Direct $ Composition'!$AM$7:$AM$25)</f>
        <v>2957.7335662581454</v>
      </c>
      <c r="D14" s="28">
        <f>'Direct $ Composition'!AM36</f>
        <v>1573.7041655156436</v>
      </c>
      <c r="E14" s="28">
        <f>'Direct $ Composition'!AM47</f>
        <v>767.65859963362516</v>
      </c>
      <c r="F14" s="28">
        <f>SUM('Direct $ Composition'!AM58+'Direct $ Composition'!AM69+'Direct $ Composition'!AM80)</f>
        <v>546.12796750000007</v>
      </c>
      <c r="G14" s="28">
        <f>'Direct $ Composition'!AM91</f>
        <v>1180.3812713809089</v>
      </c>
      <c r="H14" s="28"/>
      <c r="I14" s="28">
        <f t="shared" si="0"/>
        <v>7025.6055702883241</v>
      </c>
      <c r="J14" s="203">
        <f>I14-'Direct $ Composition'!AM107</f>
        <v>0</v>
      </c>
    </row>
    <row r="15" spans="2:10" x14ac:dyDescent="0.3">
      <c r="B15" t="s">
        <v>228</v>
      </c>
      <c r="C15" s="28"/>
      <c r="D15" s="28"/>
      <c r="E15" s="28"/>
      <c r="F15" s="28"/>
      <c r="G15" s="28"/>
      <c r="H15" s="28">
        <f>'Direct $ Composition'!AM94+'Direct $ Composition'!AM96+'Direct $ Composition'!AM95</f>
        <v>8988.3997750000017</v>
      </c>
      <c r="I15" s="28">
        <f>SUM(C15:H15)</f>
        <v>8988.3997750000017</v>
      </c>
      <c r="J15" s="203">
        <f>I15-'Direct $ Composition'!AM108</f>
        <v>0</v>
      </c>
    </row>
    <row r="16" spans="2:10" x14ac:dyDescent="0.3">
      <c r="B16" t="s">
        <v>6</v>
      </c>
      <c r="C16" s="37">
        <f>SUM(C6:C15)</f>
        <v>46565.928667651919</v>
      </c>
      <c r="D16" s="37">
        <f t="shared" ref="D16:I16" si="1">SUM(D6:D15)</f>
        <v>17102.522509771999</v>
      </c>
      <c r="E16" s="37">
        <f t="shared" si="1"/>
        <v>12088.1625</v>
      </c>
      <c r="F16" s="37">
        <f t="shared" si="1"/>
        <v>5583.0979153731332</v>
      </c>
      <c r="G16" s="37">
        <f t="shared" si="1"/>
        <v>14164.575256570908</v>
      </c>
      <c r="H16" s="37">
        <f t="shared" si="1"/>
        <v>8988.3997750000017</v>
      </c>
      <c r="I16" s="37">
        <f t="shared" si="1"/>
        <v>104492.68662436795</v>
      </c>
      <c r="J16" s="203">
        <f>SUM(J6:J15)</f>
        <v>0</v>
      </c>
    </row>
    <row r="17" spans="2:11" x14ac:dyDescent="0.3">
      <c r="B17" s="41" t="s">
        <v>83</v>
      </c>
      <c r="C17" s="203">
        <f>SUM('Direct $ Composition'!AM7:AM25)-C16</f>
        <v>0</v>
      </c>
      <c r="D17" s="203">
        <f>SUM('Direct $ Composition'!AM28:AM36)-D16</f>
        <v>0</v>
      </c>
      <c r="E17" s="203">
        <f>SUM('Direct $ Composition'!AM39:AM47)-E16</f>
        <v>0</v>
      </c>
      <c r="F17" s="203">
        <f>SUM('Direct $ Composition'!AM50:AM80)-F16</f>
        <v>0</v>
      </c>
      <c r="G17" s="203">
        <f>SUM('Direct $ Composition'!AM83:AM91)-G16</f>
        <v>0</v>
      </c>
      <c r="H17" s="203">
        <f>SUM('Direct $ Composition'!AM94:AM96)-H16</f>
        <v>0</v>
      </c>
      <c r="I17" s="217">
        <f>I16-'Direct $ Composition'!AM109</f>
        <v>0</v>
      </c>
    </row>
    <row r="18" spans="2:11" x14ac:dyDescent="0.3">
      <c r="C18" s="29"/>
      <c r="I18" s="11"/>
    </row>
    <row r="19" spans="2:11" x14ac:dyDescent="0.3">
      <c r="B19" s="136" t="s">
        <v>113</v>
      </c>
    </row>
    <row r="21" spans="2:11" ht="43.2" x14ac:dyDescent="0.3">
      <c r="C21" s="13" t="s">
        <v>66</v>
      </c>
      <c r="D21" s="13" t="s">
        <v>37</v>
      </c>
      <c r="E21" s="13" t="s">
        <v>8</v>
      </c>
      <c r="F21" s="13" t="s">
        <v>67</v>
      </c>
      <c r="G21" s="13" t="s">
        <v>68</v>
      </c>
      <c r="H21" s="13" t="s">
        <v>93</v>
      </c>
      <c r="I21" s="13" t="s">
        <v>6</v>
      </c>
      <c r="K21" s="13" t="s">
        <v>196</v>
      </c>
    </row>
    <row r="22" spans="2:11" x14ac:dyDescent="0.3">
      <c r="B22" t="s">
        <v>9</v>
      </c>
      <c r="C22" s="6">
        <f>C6/Thousands*Escalators!$C$10</f>
        <v>3.8081066974123443</v>
      </c>
      <c r="D22" s="6">
        <f>D6/Thousands*Escalators!$C$10</f>
        <v>0.98326124455180353</v>
      </c>
      <c r="E22" s="6">
        <f>E6/Thousands*Escalators!$C$10</f>
        <v>1.5158250133150144</v>
      </c>
      <c r="F22" s="6">
        <f>F6/Thousands*Escalators!$C$10</f>
        <v>0.64378164178378949</v>
      </c>
      <c r="G22" s="6">
        <f>G6/Thousands*Escalators!$C$10</f>
        <v>1.1672659239211207</v>
      </c>
      <c r="H22" s="6">
        <f>H6/Thousands*Escalators!$C$10</f>
        <v>0</v>
      </c>
      <c r="I22" s="14">
        <f t="shared" ref="I22:I30" si="2">SUM(C22:H22)</f>
        <v>8.118240520984072</v>
      </c>
      <c r="K22" s="14">
        <f>I22-G22-H22</f>
        <v>6.9509745970629515</v>
      </c>
    </row>
    <row r="23" spans="2:11" x14ac:dyDescent="0.3">
      <c r="B23" t="s">
        <v>10</v>
      </c>
      <c r="C23" s="6">
        <f>C7/Thousands*Escalators!$C$10</f>
        <v>4.1405507208690189</v>
      </c>
      <c r="D23" s="6">
        <f>D7/Thousands*Escalators!$C$10</f>
        <v>1.4533016280179107</v>
      </c>
      <c r="E23" s="6">
        <f>E7/Thousands*Escalators!$C$10</f>
        <v>1.583951980205577</v>
      </c>
      <c r="F23" s="6">
        <f>F7/Thousands*Escalators!$C$10</f>
        <v>0.42171499125207285</v>
      </c>
      <c r="G23" s="6">
        <f>G7/Thousands*Escalators!$C$10</f>
        <v>3.5017977717633628</v>
      </c>
      <c r="H23" s="6">
        <f>H7/Thousands*Escalators!$C$10</f>
        <v>0</v>
      </c>
      <c r="I23" s="14">
        <f t="shared" si="2"/>
        <v>11.101317092107942</v>
      </c>
      <c r="K23" s="14">
        <f t="shared" ref="K23:K31" si="3">I23-G23-H23</f>
        <v>7.5995193203445801</v>
      </c>
    </row>
    <row r="24" spans="2:11" x14ac:dyDescent="0.3">
      <c r="B24" t="s">
        <v>11</v>
      </c>
      <c r="C24" s="6">
        <f>C8/Thousands*Escalators!$C$10</f>
        <v>3.7102830706181127</v>
      </c>
      <c r="D24" s="6">
        <f>D8/Thousands*Escalators!$C$10</f>
        <v>0.84154154160175021</v>
      </c>
      <c r="E24" s="6">
        <f>E8/Thousands*Escalators!$C$10</f>
        <v>0.43795907286790153</v>
      </c>
      <c r="F24" s="6">
        <f>F8/Thousands*Escalators!$C$10</f>
        <v>6.2543532338308436E-2</v>
      </c>
      <c r="G24" s="6">
        <f>G8/Thousands*Escalators!$C$10</f>
        <v>2.3345318478422414</v>
      </c>
      <c r="H24" s="6">
        <f>H8/Thousands*Escalators!$C$10</f>
        <v>0</v>
      </c>
      <c r="I24" s="14">
        <f t="shared" si="2"/>
        <v>7.3868590652683146</v>
      </c>
      <c r="K24" s="14">
        <f t="shared" si="3"/>
        <v>5.0523272174260736</v>
      </c>
    </row>
    <row r="25" spans="2:11" x14ac:dyDescent="0.3">
      <c r="B25" t="s">
        <v>12</v>
      </c>
      <c r="C25" s="6">
        <f>C9/Thousands*Escalators!$C$10</f>
        <v>7.0019138602445006</v>
      </c>
      <c r="D25" s="6">
        <f>D9/Thousands*Escalators!$C$10</f>
        <v>0.81000202810430966</v>
      </c>
      <c r="E25" s="6">
        <f>E9/Thousands*Escalators!$C$10</f>
        <v>0.38686384769997961</v>
      </c>
      <c r="F25" s="6">
        <f>F9/Thousands*Escalators!$C$10</f>
        <v>0.37526119402985059</v>
      </c>
      <c r="G25" s="6">
        <f>G9/Thousands*Escalators!$C$10</f>
        <v>0</v>
      </c>
      <c r="H25" s="6">
        <f>H9/Thousands*Escalators!$C$10</f>
        <v>0</v>
      </c>
      <c r="I25" s="14">
        <f t="shared" si="2"/>
        <v>8.57404093007864</v>
      </c>
      <c r="K25" s="14">
        <f t="shared" si="3"/>
        <v>8.57404093007864</v>
      </c>
    </row>
    <row r="26" spans="2:11" x14ac:dyDescent="0.3">
      <c r="B26" t="s">
        <v>13</v>
      </c>
      <c r="C26" s="6">
        <f>C10/Thousands*Escalators!$C$10</f>
        <v>9.5836713833504437</v>
      </c>
      <c r="D26" s="6">
        <f>D10/Thousands*Escalators!$C$10</f>
        <v>3.373861533830635</v>
      </c>
      <c r="E26" s="6">
        <f>E10/Thousands*Escalators!$C$10</f>
        <v>2.0316434769149874</v>
      </c>
      <c r="F26" s="6">
        <f>F10/Thousands*Escalators!$C$10</f>
        <v>0.63970965037313421</v>
      </c>
      <c r="G26" s="6">
        <f>G10/Thousands*Escalators!$C$10</f>
        <v>2.3345318478422414</v>
      </c>
      <c r="H26" s="6">
        <f>H10/Thousands*Escalators!$C$10</f>
        <v>0</v>
      </c>
      <c r="I26" s="14">
        <f t="shared" si="2"/>
        <v>17.963417892311444</v>
      </c>
      <c r="K26" s="14">
        <f t="shared" si="3"/>
        <v>15.628886044469203</v>
      </c>
    </row>
    <row r="27" spans="2:11" x14ac:dyDescent="0.3">
      <c r="B27" t="s">
        <v>14</v>
      </c>
      <c r="C27" s="6">
        <f>C11/Thousands*Escalators!$C$10</f>
        <v>7.9522470040240636</v>
      </c>
      <c r="D27" s="6">
        <f>D11/Thousands*Escalators!$C$10</f>
        <v>3.7087160060097855</v>
      </c>
      <c r="E27" s="6">
        <f>E11/Thousands*Escalators!$C$10</f>
        <v>2.5109653511093017</v>
      </c>
      <c r="F27" s="6">
        <f>F11/Thousands*Escalators!$C$10</f>
        <v>1.2276878656709158</v>
      </c>
      <c r="G27" s="6">
        <f>G11/Thousands*Escalators!$C$10</f>
        <v>2.3345318478422414</v>
      </c>
      <c r="H27" s="6">
        <f>H11/Thousands*Escalators!$C$10</f>
        <v>0</v>
      </c>
      <c r="I27" s="14">
        <f t="shared" si="2"/>
        <v>17.734148074656311</v>
      </c>
      <c r="K27" s="14">
        <f t="shared" si="3"/>
        <v>15.39961622681407</v>
      </c>
    </row>
    <row r="28" spans="2:11" x14ac:dyDescent="0.3">
      <c r="B28" t="s">
        <v>15</v>
      </c>
      <c r="C28" s="6">
        <f>C12/Thousands*Escalators!$C$10</f>
        <v>3.5301183479081741</v>
      </c>
      <c r="D28" s="6">
        <f>D12/Thousands*Escalators!$C$10</f>
        <v>2.9969256926328707</v>
      </c>
      <c r="E28" s="6">
        <f>E12/Thousands*Escalators!$C$10</f>
        <v>1.7761673510753784</v>
      </c>
      <c r="F28" s="6">
        <f>F12/Thousands*Escalators!$C$10</f>
        <v>1.2350435456410651</v>
      </c>
      <c r="G28" s="6">
        <f>G12/Thousands*Escalators!$C$10</f>
        <v>1.1672659239211207</v>
      </c>
      <c r="H28" s="6">
        <f>H12/Thousands*Escalators!$C$10</f>
        <v>0</v>
      </c>
      <c r="I28" s="14">
        <f t="shared" si="2"/>
        <v>10.705520861178609</v>
      </c>
      <c r="K28" s="14">
        <f t="shared" si="3"/>
        <v>9.5382549372574879</v>
      </c>
    </row>
    <row r="29" spans="2:11" x14ac:dyDescent="0.3">
      <c r="B29" t="s">
        <v>16</v>
      </c>
      <c r="C29" s="6">
        <f>C13/Thousands*Escalators!$C$10</f>
        <v>3.396768515840519</v>
      </c>
      <c r="D29" s="6">
        <f>D13/Thousands*Escalators!$C$10</f>
        <v>1.1886662434599957</v>
      </c>
      <c r="E29" s="6">
        <f>E13/Thousands*Escalators!$C$10</f>
        <v>0.95134443050749706</v>
      </c>
      <c r="F29" s="6">
        <f>F13/Thousands*Escalators!$C$10</f>
        <v>0.37526119402985059</v>
      </c>
      <c r="G29" s="6">
        <f>G13/Thousands*Escalators!$C$10</f>
        <v>0</v>
      </c>
      <c r="H29" s="6">
        <f>H13/Thousands*Escalators!$C$10</f>
        <v>0</v>
      </c>
      <c r="I29" s="14">
        <f t="shared" si="2"/>
        <v>5.912040383837863</v>
      </c>
      <c r="K29" s="14">
        <f t="shared" si="3"/>
        <v>5.912040383837863</v>
      </c>
    </row>
    <row r="30" spans="2:11" x14ac:dyDescent="0.3">
      <c r="B30" t="s">
        <v>17</v>
      </c>
      <c r="C30" s="6">
        <f>C14/Thousands*Escalators!$C$10</f>
        <v>2.924869859966388</v>
      </c>
      <c r="D30" s="6">
        <f>D14/Thousands*Escalators!$C$10</f>
        <v>1.5562185636765808</v>
      </c>
      <c r="E30" s="6">
        <f>E14/Thousands*Escalators!$C$10</f>
        <v>0.75912905963769595</v>
      </c>
      <c r="F30" s="6">
        <f>F14/Thousands*Escalators!$C$10</f>
        <v>0.54005987897222218</v>
      </c>
      <c r="G30" s="6">
        <f>G14/Thousands*Escalators!$C$10</f>
        <v>1.1672659239211207</v>
      </c>
      <c r="H30" s="6">
        <f>H14/Thousands*Escalators!$C$10</f>
        <v>0</v>
      </c>
      <c r="I30" s="14">
        <f t="shared" si="2"/>
        <v>6.9475432861740085</v>
      </c>
      <c r="K30" s="14">
        <f t="shared" si="3"/>
        <v>5.780277362252888</v>
      </c>
    </row>
    <row r="31" spans="2:11" x14ac:dyDescent="0.3">
      <c r="B31" t="s">
        <v>228</v>
      </c>
      <c r="C31" s="6">
        <f>C15/Thousands*Escalators!$C$10</f>
        <v>0</v>
      </c>
      <c r="D31" s="6">
        <f>D15/Thousands*Escalators!$C$10</f>
        <v>0</v>
      </c>
      <c r="E31" s="6">
        <f>E15/Thousands*Escalators!$C$10</f>
        <v>0</v>
      </c>
      <c r="F31" s="6">
        <f>F15/Thousands*Escalators!$C$10</f>
        <v>0</v>
      </c>
      <c r="G31" s="6">
        <f>G15/Thousands*Escalators!$C$10</f>
        <v>0</v>
      </c>
      <c r="H31" s="6">
        <f>H15/Thousands*Escalators!$C$10</f>
        <v>8.8885286663888898</v>
      </c>
      <c r="I31" s="14">
        <f>SUM(C31:H31)</f>
        <v>8.8885286663888898</v>
      </c>
      <c r="K31" s="14">
        <f t="shared" si="3"/>
        <v>0</v>
      </c>
    </row>
    <row r="32" spans="2:11" x14ac:dyDescent="0.3">
      <c r="B32" t="s">
        <v>6</v>
      </c>
      <c r="C32" s="21">
        <f>SUM(C22:C31)</f>
        <v>46.04852946023356</v>
      </c>
      <c r="D32" s="21">
        <f t="shared" ref="D32:I32" si="4">SUM(D22:D31)</f>
        <v>16.912494481885641</v>
      </c>
      <c r="E32" s="21">
        <f t="shared" si="4"/>
        <v>11.953849583333332</v>
      </c>
      <c r="F32" s="21">
        <f t="shared" si="4"/>
        <v>5.5210634940912096</v>
      </c>
      <c r="G32" s="21">
        <f t="shared" si="4"/>
        <v>14.00719108705345</v>
      </c>
      <c r="H32" s="21">
        <f t="shared" si="4"/>
        <v>8.8885286663888898</v>
      </c>
      <c r="I32" s="21">
        <f t="shared" si="4"/>
        <v>103.33165677298611</v>
      </c>
      <c r="K32" s="21">
        <f>SUM(K22:K30)</f>
        <v>80.435937019543758</v>
      </c>
    </row>
    <row r="34" spans="2:11" x14ac:dyDescent="0.3">
      <c r="B34" t="s">
        <v>300</v>
      </c>
      <c r="I34" s="14">
        <f>AVERAGE(I22:I30)</f>
        <v>10.493680900733024</v>
      </c>
      <c r="K34" s="14">
        <f>AVERAGE(K22:K30)</f>
        <v>8.9373263355048618</v>
      </c>
    </row>
    <row r="35" spans="2:11" x14ac:dyDescent="0.3">
      <c r="I35" s="14"/>
      <c r="K35" s="14"/>
    </row>
    <row r="36" spans="2:11" x14ac:dyDescent="0.3">
      <c r="B36" s="206" t="s">
        <v>229</v>
      </c>
    </row>
    <row r="37" spans="2:11" x14ac:dyDescent="0.3">
      <c r="I37" s="11"/>
    </row>
    <row r="38" spans="2:11" x14ac:dyDescent="0.3">
      <c r="C38" s="14"/>
      <c r="D38" s="14"/>
      <c r="E38" s="14"/>
      <c r="F38" s="14"/>
      <c r="G38" s="14"/>
      <c r="I38" s="14"/>
    </row>
    <row r="39" spans="2:11" x14ac:dyDescent="0.3">
      <c r="C39" s="14"/>
      <c r="D39" s="14"/>
      <c r="E39" s="14"/>
      <c r="F39" s="14"/>
      <c r="G39" s="14"/>
      <c r="I39" s="14"/>
    </row>
    <row r="40" spans="2:11" x14ac:dyDescent="0.3">
      <c r="C40" s="14"/>
      <c r="D40" s="14"/>
      <c r="E40" s="14"/>
      <c r="F40" s="14"/>
      <c r="G40" s="14"/>
      <c r="I40" s="14"/>
    </row>
    <row r="41" spans="2:11" x14ac:dyDescent="0.3">
      <c r="C41" s="14"/>
      <c r="D41" s="14"/>
      <c r="E41" s="14"/>
      <c r="F41" s="14"/>
      <c r="G41" s="14"/>
      <c r="I41" s="14"/>
    </row>
    <row r="42" spans="2:11" x14ac:dyDescent="0.3">
      <c r="C42" s="14"/>
      <c r="D42" s="14"/>
      <c r="E42" s="14"/>
      <c r="F42" s="14"/>
      <c r="G42" s="14"/>
      <c r="I42" s="14"/>
    </row>
    <row r="43" spans="2:11" x14ac:dyDescent="0.3">
      <c r="C43" s="14"/>
      <c r="D43" s="14"/>
      <c r="E43" s="14"/>
      <c r="F43" s="14"/>
      <c r="G43" s="14"/>
      <c r="I43" s="14"/>
    </row>
    <row r="44" spans="2:11" x14ac:dyDescent="0.3">
      <c r="C44" s="14"/>
      <c r="D44" s="14"/>
      <c r="E44" s="14"/>
      <c r="F44" s="14"/>
      <c r="G44" s="14"/>
      <c r="I44" s="14"/>
    </row>
    <row r="45" spans="2:11" x14ac:dyDescent="0.3">
      <c r="C45" s="14"/>
      <c r="D45" s="14"/>
      <c r="E45" s="14"/>
      <c r="F45" s="14"/>
      <c r="G45" s="14"/>
      <c r="I45" s="14"/>
    </row>
    <row r="46" spans="2:11" x14ac:dyDescent="0.3">
      <c r="C46" s="14"/>
      <c r="D46" s="14"/>
      <c r="E46" s="14"/>
      <c r="F46" s="14"/>
      <c r="G46" s="14"/>
      <c r="I46" s="14"/>
    </row>
    <row r="47" spans="2:11" x14ac:dyDescent="0.3">
      <c r="C47" s="14"/>
      <c r="D47" s="14"/>
      <c r="E47" s="14"/>
      <c r="F47" s="14"/>
      <c r="G47" s="14"/>
      <c r="H47" s="14"/>
      <c r="I47" s="14"/>
    </row>
    <row r="48" spans="2:11" x14ac:dyDescent="0.3">
      <c r="C48" s="11"/>
      <c r="D48" s="11"/>
      <c r="E48" s="11"/>
      <c r="F48" s="11"/>
      <c r="G48" s="11"/>
    </row>
    <row r="49" spans="3:7" x14ac:dyDescent="0.3">
      <c r="C49" s="11"/>
      <c r="D49" s="11"/>
      <c r="E49" s="11"/>
      <c r="F49" s="11"/>
      <c r="G49" s="1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zoomScale="85" zoomScaleNormal="85" workbookViewId="0">
      <selection activeCell="B11" sqref="B11"/>
    </sheetView>
  </sheetViews>
  <sheetFormatPr defaultRowHeight="14.4" x14ac:dyDescent="0.3"/>
  <cols>
    <col min="1" max="1" width="3.77734375" customWidth="1"/>
    <col min="2" max="2" width="48.88671875" customWidth="1"/>
  </cols>
  <sheetData>
    <row r="1" spans="2:8" x14ac:dyDescent="0.3">
      <c r="B1" s="23" t="s">
        <v>302</v>
      </c>
    </row>
    <row r="3" spans="2:8" x14ac:dyDescent="0.3">
      <c r="B3" s="26" t="s">
        <v>301</v>
      </c>
    </row>
    <row r="4" spans="2:8" x14ac:dyDescent="0.3">
      <c r="B4" s="210"/>
      <c r="C4" s="50">
        <v>2016</v>
      </c>
      <c r="D4" s="50">
        <v>2017</v>
      </c>
      <c r="E4" s="50">
        <v>2018</v>
      </c>
      <c r="F4" s="50">
        <v>2019</v>
      </c>
      <c r="G4" s="50">
        <v>2020</v>
      </c>
      <c r="H4" s="50" t="s">
        <v>6</v>
      </c>
    </row>
    <row r="5" spans="2:8" x14ac:dyDescent="0.3">
      <c r="B5" s="46" t="s">
        <v>288</v>
      </c>
      <c r="C5" s="39">
        <f>SUM('Direct $ Composition'!AG99:AG107)/1000</f>
        <v>6.8589383365091825</v>
      </c>
      <c r="D5" s="39">
        <f>SUM('Direct $ Composition'!AH99:AH107)/1000</f>
        <v>56.180326812142361</v>
      </c>
      <c r="E5" s="39">
        <f>SUM('Direct $ Composition'!AI99:AI107)/1000</f>
        <v>32.353290938216425</v>
      </c>
      <c r="F5" s="39">
        <f>SUM('Direct $ Composition'!AJ99:AJ107)/1000</f>
        <v>0.1117307625</v>
      </c>
      <c r="G5" s="39">
        <f>SUM('Direct $ Composition'!AK99:AK107)/1000</f>
        <v>0</v>
      </c>
      <c r="H5" s="39">
        <f>SUM(C5:G5)</f>
        <v>95.504286849367972</v>
      </c>
    </row>
    <row r="6" spans="2:8" x14ac:dyDescent="0.3">
      <c r="B6" s="46" t="s">
        <v>287</v>
      </c>
      <c r="C6" s="39">
        <f>'Direct $ Composition'!AG94/1000</f>
        <v>0</v>
      </c>
      <c r="D6" s="39">
        <f>'Direct $ Composition'!AH94/1000</f>
        <v>2.2895614437500003</v>
      </c>
      <c r="E6" s="39">
        <f>'Direct $ Composition'!AI94/1000</f>
        <v>5.6272083312500012</v>
      </c>
      <c r="F6" s="39">
        <f>'Direct $ Composition'!AJ94/1000</f>
        <v>0</v>
      </c>
      <c r="G6" s="39">
        <f>'Direct $ Composition'!AK94/1000</f>
        <v>0</v>
      </c>
      <c r="H6" s="39">
        <f>SUM(C6:G6)</f>
        <v>7.9167697750000015</v>
      </c>
    </row>
    <row r="7" spans="2:8" x14ac:dyDescent="0.3">
      <c r="B7" s="46" t="s">
        <v>153</v>
      </c>
      <c r="C7" s="39">
        <f>'Direct $ Composition'!AG95/1000</f>
        <v>0</v>
      </c>
      <c r="D7" s="39">
        <f>'Direct $ Composition'!AH95/1000</f>
        <v>0.22500999999999999</v>
      </c>
      <c r="E7" s="39">
        <f>'Direct $ Composition'!AI95/1000</f>
        <v>0.37001999999999996</v>
      </c>
      <c r="F7" s="39">
        <f>'Direct $ Composition'!AJ95/1000</f>
        <v>0</v>
      </c>
      <c r="G7" s="39">
        <f>'Direct $ Composition'!AK95/1000</f>
        <v>0</v>
      </c>
      <c r="H7" s="39">
        <f>SUM(C7:G7)</f>
        <v>0.59502999999999995</v>
      </c>
    </row>
    <row r="8" spans="2:8" x14ac:dyDescent="0.3">
      <c r="B8" s="46" t="s">
        <v>197</v>
      </c>
      <c r="C8" s="39">
        <f>'Direct $ Composition'!AG96/1000</f>
        <v>0</v>
      </c>
      <c r="D8" s="39">
        <f>'Direct $ Composition'!AH96/1000</f>
        <v>0.47660000000000002</v>
      </c>
      <c r="E8" s="39">
        <f>'Direct $ Composition'!AI96/1000</f>
        <v>0</v>
      </c>
      <c r="F8" s="39">
        <f>'Direct $ Composition'!AJ96/1000</f>
        <v>0</v>
      </c>
      <c r="G8" s="39">
        <f>'Direct $ Composition'!AK96/1000</f>
        <v>0</v>
      </c>
      <c r="H8" s="39">
        <f>SUM(C8:G8)</f>
        <v>0.47660000000000002</v>
      </c>
    </row>
    <row r="9" spans="2:8" x14ac:dyDescent="0.3">
      <c r="B9" s="155" t="s">
        <v>306</v>
      </c>
      <c r="C9" s="211">
        <f t="shared" ref="C9:H9" si="0">SUM(C5:C8)</f>
        <v>6.8589383365091825</v>
      </c>
      <c r="D9" s="211">
        <f t="shared" si="0"/>
        <v>59.171498255892359</v>
      </c>
      <c r="E9" s="211">
        <f t="shared" si="0"/>
        <v>38.350519269466425</v>
      </c>
      <c r="F9" s="211">
        <f t="shared" si="0"/>
        <v>0.1117307625</v>
      </c>
      <c r="G9" s="211">
        <f t="shared" si="0"/>
        <v>0</v>
      </c>
      <c r="H9" s="211">
        <f t="shared" si="0"/>
        <v>104.49268662436798</v>
      </c>
    </row>
    <row r="10" spans="2:8" x14ac:dyDescent="0.3">
      <c r="B10" s="46"/>
      <c r="C10" s="46"/>
      <c r="D10" s="46"/>
      <c r="E10" s="46"/>
      <c r="F10" s="46"/>
      <c r="G10" s="46"/>
      <c r="H10" s="46"/>
    </row>
    <row r="11" spans="2:8" x14ac:dyDescent="0.3">
      <c r="B11" s="46" t="s">
        <v>304</v>
      </c>
      <c r="C11" s="39">
        <f>'Direct Summary'!D46/Thousands</f>
        <v>3.4948927222681885E-2</v>
      </c>
      <c r="D11" s="39">
        <f>'Direct Summary'!E46/Thousands</f>
        <v>0.37337917810523347</v>
      </c>
      <c r="E11" s="39">
        <f>'Direct Summary'!F46/Thousands</f>
        <v>0.3234284519575229</v>
      </c>
      <c r="F11" s="39">
        <f>'Direct Summary'!G46/Thousands</f>
        <v>5.0061841387347185E-3</v>
      </c>
      <c r="G11" s="39">
        <f>'Direct Summary'!H46/Thousands</f>
        <v>0</v>
      </c>
      <c r="H11" s="212">
        <f>SUM(C11:G11)</f>
        <v>0.73676274142417308</v>
      </c>
    </row>
    <row r="12" spans="2:8" x14ac:dyDescent="0.3">
      <c r="B12" s="46" t="s">
        <v>303</v>
      </c>
      <c r="C12" s="6">
        <f>Overheads!C60/Escalators!$C$10/Thousands</f>
        <v>0.18574213341775245</v>
      </c>
      <c r="D12" s="6">
        <f>Overheads!D60/Escalators!$C$10/Thousands</f>
        <v>1.5792406604584306</v>
      </c>
      <c r="E12" s="6">
        <f>Overheads!E60/Escalators!$C$10/Thousands</f>
        <v>1.0431824889013535</v>
      </c>
      <c r="F12" s="6">
        <f>Overheads!F60/Escalators!$C$10/Thousands</f>
        <v>3.2038363256286363E-3</v>
      </c>
      <c r="G12" s="6">
        <f>Overheads!G60/Escalators!$C$10/Thousands</f>
        <v>0</v>
      </c>
      <c r="H12" s="39">
        <f>SUM(C12:G12)</f>
        <v>2.8113691191031651</v>
      </c>
    </row>
    <row r="14" spans="2:8" ht="15" thickBot="1" x14ac:dyDescent="0.35">
      <c r="B14" s="26" t="s">
        <v>305</v>
      </c>
      <c r="C14" s="200">
        <f>C9+C12+C11</f>
        <v>7.0796293971496169</v>
      </c>
      <c r="D14" s="200">
        <f t="shared" ref="D14:H14" si="1">D9+D12+D11</f>
        <v>61.124118094456023</v>
      </c>
      <c r="E14" s="200">
        <f t="shared" si="1"/>
        <v>39.717130210325301</v>
      </c>
      <c r="F14" s="200">
        <f t="shared" si="1"/>
        <v>0.11994078296436335</v>
      </c>
      <c r="G14" s="200">
        <f t="shared" si="1"/>
        <v>0</v>
      </c>
      <c r="H14" s="200">
        <f t="shared" si="1"/>
        <v>108.04081848489531</v>
      </c>
    </row>
    <row r="15" spans="2:8" x14ac:dyDescent="0.3">
      <c r="B15" s="41" t="s">
        <v>83</v>
      </c>
      <c r="C15" s="213">
        <f>C14-('PTRM Inputs'!C14+'PTRM Inputs'!C26)/Escalators!$C$10</f>
        <v>0</v>
      </c>
      <c r="D15" s="213">
        <f>D14-('PTRM Inputs'!D14+'PTRM Inputs'!D26)/Escalators!$C$10</f>
        <v>0</v>
      </c>
      <c r="E15" s="213">
        <f>E14-('PTRM Inputs'!E14+'PTRM Inputs'!E26)/Escalators!$C$10</f>
        <v>0</v>
      </c>
      <c r="F15" s="213">
        <f>F14-('PTRM Inputs'!F14+'PTRM Inputs'!F26)/Escalators!$C$10</f>
        <v>0</v>
      </c>
      <c r="G15" s="213">
        <f>G14-('PTRM Inputs'!G14+'PTRM Inputs'!G26)/Escalators!$C$10</f>
        <v>0</v>
      </c>
      <c r="H15" s="213">
        <f>H14-('PTRM Inputs'!H14+'PTRM Inputs'!H26)/Escalators!$C$10</f>
        <v>0</v>
      </c>
    </row>
    <row r="19" spans="2:13" x14ac:dyDescent="0.3">
      <c r="B19" s="136" t="s">
        <v>295</v>
      </c>
    </row>
    <row r="20" spans="2:13" x14ac:dyDescent="0.3">
      <c r="B20" t="s">
        <v>296</v>
      </c>
    </row>
    <row r="22" spans="2:13" x14ac:dyDescent="0.3">
      <c r="B22" t="s">
        <v>286</v>
      </c>
      <c r="C22" s="191" t="s">
        <v>9</v>
      </c>
      <c r="D22" s="191" t="s">
        <v>10</v>
      </c>
      <c r="E22" s="191" t="s">
        <v>11</v>
      </c>
      <c r="F22" s="191" t="s">
        <v>12</v>
      </c>
      <c r="G22" s="191" t="s">
        <v>13</v>
      </c>
      <c r="H22" s="191" t="s">
        <v>14</v>
      </c>
      <c r="I22" s="191" t="s">
        <v>15</v>
      </c>
      <c r="J22" s="191" t="s">
        <v>16</v>
      </c>
      <c r="K22" s="191" t="s">
        <v>17</v>
      </c>
      <c r="L22" s="191" t="s">
        <v>25</v>
      </c>
    </row>
    <row r="23" spans="2:13" x14ac:dyDescent="0.3">
      <c r="B23" t="s">
        <v>269</v>
      </c>
      <c r="C23" s="28">
        <f>SUMIFS('Direct $ Composition'!$AM$7:$AM$91,'Direct $ Composition'!$B$7:$B$91,'Other Tables'!C$22,'Direct $ Composition'!$H$7:$H$91,'Other Tables'!$B23)</f>
        <v>2025.7237275010134</v>
      </c>
      <c r="D23" s="28">
        <f>SUMIFS('Direct $ Composition'!$AM$7:$AM$91,'Direct $ Composition'!$B$7:$B$91,'Other Tables'!D$22,'Direct $ Composition'!$H$7:$H$91,'Other Tables'!$B23)</f>
        <v>2748.6326368925093</v>
      </c>
      <c r="E23" s="28">
        <f>SUMIFS('Direct $ Composition'!$AM$7:$AM$91,'Direct $ Composition'!$B$7:$B$91,'Other Tables'!E$22,'Direct $ Composition'!$H$7:$H$91,'Other Tables'!$B23)</f>
        <v>1973.6864140397247</v>
      </c>
      <c r="F23" s="28">
        <f>SUMIFS('Direct $ Composition'!$AM$7:$AM$91,'Direct $ Composition'!$B$7:$B$91,'Other Tables'!F$22,'Direct $ Composition'!$H$7:$H$91,'Other Tables'!$B23)</f>
        <v>4608.0988289738343</v>
      </c>
      <c r="G23" s="28">
        <f>SUMIFS('Direct $ Composition'!$AM$7:$AM$91,'Direct $ Composition'!$B$7:$B$91,'Other Tables'!G$22,'Direct $ Composition'!$H$7:$H$91,'Other Tables'!$B23)</f>
        <v>6361.953691996111</v>
      </c>
      <c r="H23" s="28">
        <f>SUMIFS('Direct $ Composition'!$AM$7:$AM$91,'Direct $ Composition'!$B$7:$B$91,'Other Tables'!H$22,'Direct $ Composition'!$H$7:$H$91,'Other Tables'!$B23)</f>
        <v>5278.9609705116009</v>
      </c>
      <c r="I23" s="28">
        <f>SUMIFS('Direct $ Composition'!$AM$7:$AM$91,'Direct $ Composition'!$B$7:$B$91,'Other Tables'!I$22,'Direct $ Composition'!$H$7:$H$91,'Other Tables'!$B23)</f>
        <v>1877.8477249871935</v>
      </c>
      <c r="J23" s="28">
        <f>SUMIFS('Direct $ Composition'!$AM$7:$AM$91,'Direct $ Composition'!$B$7:$B$91,'Other Tables'!J$22,'Direct $ Composition'!$H$7:$H$91,'Other Tables'!$B23)</f>
        <v>1806.9122338515904</v>
      </c>
      <c r="K23" s="28">
        <f>SUMIFS('Direct $ Composition'!$AM$7:$AM$91,'Direct $ Composition'!$B$7:$B$91,'Other Tables'!K$22,'Direct $ Composition'!$H$7:$H$91,'Other Tables'!$B23)</f>
        <v>1555.8855741128721</v>
      </c>
      <c r="L23" s="29">
        <f t="shared" ref="L23:L29" si="2">SUM(C23:K23)</f>
        <v>28237.701802866453</v>
      </c>
    </row>
    <row r="24" spans="2:13" x14ac:dyDescent="0.3">
      <c r="B24" t="s">
        <v>272</v>
      </c>
      <c r="C24" s="28">
        <f>SUMIFS('Direct $ Composition'!$AM$7:$AM$91,'Direct $ Composition'!$B$7:$B$91,'Other Tables'!C$22,'Direct $ Composition'!$H$7:$H$91,'Other Tables'!$B24)</f>
        <v>0</v>
      </c>
      <c r="D24" s="28">
        <f>SUMIFS('Direct $ Composition'!$AM$7:$AM$91,'Direct $ Composition'!$B$7:$B$91,'Other Tables'!D$22,'Direct $ Composition'!$H$7:$H$91,'Other Tables'!$B24)</f>
        <v>0</v>
      </c>
      <c r="E24" s="28">
        <f>SUMIFS('Direct $ Composition'!$AM$7:$AM$91,'Direct $ Composition'!$B$7:$B$91,'Other Tables'!E$22,'Direct $ Composition'!$H$7:$H$91,'Other Tables'!$B24)</f>
        <v>0</v>
      </c>
      <c r="F24" s="28">
        <f>SUMIFS('Direct $ Composition'!$AM$7:$AM$91,'Direct $ Composition'!$B$7:$B$91,'Other Tables'!F$22,'Direct $ Composition'!$H$7:$H$91,'Other Tables'!$B24)</f>
        <v>0</v>
      </c>
      <c r="G24" s="28">
        <f>SUMIFS('Direct $ Composition'!$AM$7:$AM$91,'Direct $ Composition'!$B$7:$B$91,'Other Tables'!G$22,'Direct $ Composition'!$H$7:$H$91,'Other Tables'!$B24)</f>
        <v>0</v>
      </c>
      <c r="H24" s="28">
        <f>SUMIFS('Direct $ Composition'!$AM$7:$AM$91,'Direct $ Composition'!$B$7:$B$91,'Other Tables'!H$22,'Direct $ Composition'!$H$7:$H$91,'Other Tables'!$B24)</f>
        <v>0</v>
      </c>
      <c r="I24" s="28">
        <f>SUMIFS('Direct $ Composition'!$AM$7:$AM$91,'Direct $ Composition'!$B$7:$B$91,'Other Tables'!I$22,'Direct $ Composition'!$H$7:$H$91,'Other Tables'!$B24)</f>
        <v>0</v>
      </c>
      <c r="J24" s="28">
        <f>SUMIFS('Direct $ Composition'!$AM$7:$AM$91,'Direct $ Composition'!$B$7:$B$91,'Other Tables'!J$22,'Direct $ Composition'!$H$7:$H$91,'Other Tables'!$B24)</f>
        <v>0</v>
      </c>
      <c r="K24" s="28">
        <f>SUMIFS('Direct $ Composition'!$AM$7:$AM$91,'Direct $ Composition'!$B$7:$B$91,'Other Tables'!K$22,'Direct $ Composition'!$H$7:$H$91,'Other Tables'!$B24)</f>
        <v>0</v>
      </c>
      <c r="L24" s="29">
        <f t="shared" si="2"/>
        <v>0</v>
      </c>
    </row>
    <row r="25" spans="2:13" x14ac:dyDescent="0.3">
      <c r="B25" t="s">
        <v>267</v>
      </c>
      <c r="C25" s="28">
        <f>SUMIFS('Direct $ Composition'!$AM$7:$AM$91,'Direct $ Composition'!$B$7:$B$91,'Other Tables'!C$22,'Direct $ Composition'!$H$7:$H$91,'Other Tables'!$B25)</f>
        <v>2174.6903950849801</v>
      </c>
      <c r="D25" s="28">
        <f>SUMIFS('Direct $ Composition'!$AM$7:$AM$91,'Direct $ Composition'!$B$7:$B$91,'Other Tables'!D$22,'Direct $ Composition'!$H$7:$H$91,'Other Tables'!$B25)</f>
        <v>5010.7746739361191</v>
      </c>
      <c r="E25" s="28">
        <f>SUMIFS('Direct $ Composition'!$AM$7:$AM$91,'Direct $ Composition'!$B$7:$B$91,'Other Tables'!E$22,'Direct $ Composition'!$H$7:$H$91,'Other Tables'!$B25)</f>
        <v>3211.7596073029135</v>
      </c>
      <c r="F25" s="28">
        <f>SUMIFS('Direct $ Composition'!$AM$7:$AM$91,'Direct $ Composition'!$B$7:$B$91,'Other Tables'!F$22,'Direct $ Composition'!$H$7:$H$91,'Other Tables'!$B25)</f>
        <v>819.10317448750425</v>
      </c>
      <c r="G25" s="28">
        <f>SUMIFS('Direct $ Composition'!$AM$7:$AM$91,'Direct $ Composition'!$B$7:$B$91,'Other Tables'!G$22,'Direct $ Composition'!$H$7:$H$91,'Other Tables'!$B25)</f>
        <v>5772.5326331523474</v>
      </c>
      <c r="H25" s="28">
        <f>SUMIFS('Direct $ Composition'!$AM$7:$AM$91,'Direct $ Composition'!$B$7:$B$91,'Other Tables'!H$22,'Direct $ Composition'!$H$7:$H$91,'Other Tables'!$B25)</f>
        <v>6111.1495151312638</v>
      </c>
      <c r="I25" s="28">
        <f>SUMIFS('Direct $ Composition'!$AM$7:$AM$91,'Direct $ Composition'!$B$7:$B$91,'Other Tables'!I$22,'Direct $ Composition'!$H$7:$H$91,'Other Tables'!$B25)</f>
        <v>4210.9802864029134</v>
      </c>
      <c r="J25" s="28">
        <f>SUMIFS('Direct $ Composition'!$AM$7:$AM$91,'Direct $ Composition'!$B$7:$B$91,'Other Tables'!J$22,'Direct $ Composition'!$H$7:$H$91,'Other Tables'!$B25)</f>
        <v>1202.0220439483105</v>
      </c>
      <c r="K25" s="28">
        <f>SUMIFS('Direct $ Composition'!$AM$7:$AM$91,'Direct $ Composition'!$B$7:$B$91,'Other Tables'!K$22,'Direct $ Composition'!$H$7:$H$91,'Other Tables'!$B25)</f>
        <v>2754.0854368965524</v>
      </c>
      <c r="L25" s="29">
        <f t="shared" si="2"/>
        <v>31267.0977663429</v>
      </c>
    </row>
    <row r="26" spans="2:13" x14ac:dyDescent="0.3">
      <c r="B26" t="s">
        <v>268</v>
      </c>
      <c r="C26" s="28">
        <f>SUMIFS('Direct $ Composition'!$AM$7:$AM$91,'Direct $ Composition'!$B$7:$B$91,'Other Tables'!C$22,'Direct $ Composition'!$H$7:$H$91,'Other Tables'!$B26)</f>
        <v>2183.8718984145212</v>
      </c>
      <c r="D26" s="28">
        <f>SUMIFS('Direct $ Composition'!$AM$7:$AM$91,'Direct $ Composition'!$B$7:$B$91,'Other Tables'!D$22,'Direct $ Composition'!$H$7:$H$91,'Other Tables'!$B26)</f>
        <v>2028.2025554066124</v>
      </c>
      <c r="E26" s="28">
        <f>SUMIFS('Direct $ Composition'!$AM$7:$AM$91,'Direct $ Composition'!$B$7:$B$91,'Other Tables'!E$22,'Direct $ Composition'!$H$7:$H$91,'Other Tables'!$B26)</f>
        <v>506.12622998380783</v>
      </c>
      <c r="F26" s="28">
        <f>SUMIFS('Direct $ Composition'!$AM$7:$AM$91,'Direct $ Composition'!$B$7:$B$91,'Other Tables'!F$22,'Direct $ Composition'!$H$7:$H$91,'Other Tables'!$B26)</f>
        <v>770.68824444589586</v>
      </c>
      <c r="G26" s="28">
        <f>SUMIFS('Direct $ Composition'!$AM$7:$AM$91,'Direct $ Composition'!$B$7:$B$91,'Other Tables'!G$22,'Direct $ Composition'!$H$7:$H$91,'Other Tables'!$B26)</f>
        <v>2701.3683309655166</v>
      </c>
      <c r="H26" s="28">
        <f>SUMIFS('Direct $ Composition'!$AM$7:$AM$91,'Direct $ Composition'!$B$7:$B$91,'Other Tables'!H$22,'Direct $ Composition'!$H$7:$H$91,'Other Tables'!$B26)</f>
        <v>3780.660556294602</v>
      </c>
      <c r="I26" s="28">
        <f>SUMIFS('Direct $ Composition'!$AM$7:$AM$91,'Direct $ Composition'!$B$7:$B$91,'Other Tables'!I$22,'Direct $ Composition'!$H$7:$H$91,'Other Tables'!$B26)</f>
        <v>3045.0447270166283</v>
      </c>
      <c r="J26" s="28">
        <f>SUMIFS('Direct $ Composition'!$AM$7:$AM$91,'Direct $ Composition'!$B$7:$B$91,'Other Tables'!J$22,'Direct $ Composition'!$H$7:$H$91,'Other Tables'!$B26)</f>
        <v>1341.5113057119247</v>
      </c>
      <c r="K26" s="28">
        <f>SUMIFS('Direct $ Composition'!$AM$7:$AM$91,'Direct $ Composition'!$B$7:$B$91,'Other Tables'!K$22,'Direct $ Composition'!$H$7:$H$91,'Other Tables'!$B26)</f>
        <v>1313.7865671336253</v>
      </c>
      <c r="L26" s="29">
        <f t="shared" si="2"/>
        <v>17671.260415373134</v>
      </c>
    </row>
    <row r="27" spans="2:13" x14ac:dyDescent="0.3">
      <c r="B27" t="s">
        <v>271</v>
      </c>
      <c r="C27" s="28">
        <f>SUMIFS('Direct $ Composition'!$AM$7:$AM$91,'Direct $ Composition'!$B$7:$B$91,'Other Tables'!C$22,'Direct $ Composition'!$H$7:$H$91,'Other Tables'!$B27)</f>
        <v>1825.1706856125936</v>
      </c>
      <c r="D27" s="28">
        <f>SUMIFS('Direct $ Composition'!$AM$7:$AM$91,'Direct $ Composition'!$B$7:$B$91,'Other Tables'!D$22,'Direct $ Composition'!$H$7:$H$91,'Other Tables'!$B27)</f>
        <v>1438.4411257840263</v>
      </c>
      <c r="E27" s="28">
        <f>SUMIFS('Direct $ Composition'!$AM$7:$AM$91,'Direct $ Composition'!$B$7:$B$91,'Other Tables'!E$22,'Direct $ Composition'!$H$7:$H$91,'Other Tables'!$B27)</f>
        <v>1778.285230405558</v>
      </c>
      <c r="F27" s="28">
        <f>SUMIFS('Direct $ Composition'!$AM$7:$AM$91,'Direct $ Composition'!$B$7:$B$91,'Other Tables'!F$22,'Direct $ Composition'!$H$7:$H$91,'Other Tables'!$B27)</f>
        <v>2432.4882207116161</v>
      </c>
      <c r="G27" s="28">
        <f>SUMIFS('Direct $ Composition'!$AM$7:$AM$91,'Direct $ Composition'!$B$7:$B$91,'Other Tables'!G$22,'Direct $ Composition'!$H$7:$H$91,'Other Tables'!$B27)</f>
        <v>3329.3993922908548</v>
      </c>
      <c r="H27" s="28">
        <f>SUMIFS('Direct $ Composition'!$AM$7:$AM$91,'Direct $ Composition'!$B$7:$B$91,'Other Tables'!H$22,'Direct $ Composition'!$H$7:$H$91,'Other Tables'!$B27)</f>
        <v>2762.637123445319</v>
      </c>
      <c r="I27" s="28">
        <f>SUMIFS('Direct $ Composition'!$AM$7:$AM$91,'Direct $ Composition'!$B$7:$B$91,'Other Tables'!I$22,'Direct $ Composition'!$H$7:$H$91,'Other Tables'!$B27)</f>
        <v>1691.9348740210726</v>
      </c>
      <c r="J27" s="28">
        <f>SUMIFS('Direct $ Composition'!$AM$7:$AM$91,'Direct $ Composition'!$B$7:$B$91,'Other Tables'!J$22,'Direct $ Composition'!$H$7:$H$91,'Other Tables'!$B27)</f>
        <v>1628.0222203691592</v>
      </c>
      <c r="K27" s="28">
        <f>SUMIFS('Direct $ Composition'!$AM$7:$AM$91,'Direct $ Composition'!$B$7:$B$91,'Other Tables'!K$22,'Direct $ Composition'!$H$7:$H$91,'Other Tables'!$B27)</f>
        <v>1401.8479921452731</v>
      </c>
      <c r="L27" s="29">
        <f t="shared" si="2"/>
        <v>18288.226864785476</v>
      </c>
    </row>
    <row r="28" spans="2:13" x14ac:dyDescent="0.3">
      <c r="B28" t="s">
        <v>270</v>
      </c>
      <c r="C28" s="28">
        <f>SUMIFS('Direct $ Composition'!$AM$7:$AM$91,'Direct $ Composition'!$B$7:$B$91,'Other Tables'!C$22,'Direct $ Composition'!$H$7:$H$91,'Other Tables'!$B28)</f>
        <v>0</v>
      </c>
      <c r="D28" s="28">
        <f>SUMIFS('Direct $ Composition'!$AM$7:$AM$91,'Direct $ Composition'!$B$7:$B$91,'Other Tables'!D$22,'Direct $ Composition'!$H$7:$H$91,'Other Tables'!$B28)</f>
        <v>0</v>
      </c>
      <c r="E28" s="28">
        <f>SUMIFS('Direct $ Composition'!$AM$7:$AM$91,'Direct $ Composition'!$B$7:$B$91,'Other Tables'!E$22,'Direct $ Composition'!$H$7:$H$91,'Other Tables'!$B28)</f>
        <v>0</v>
      </c>
      <c r="F28" s="28">
        <f>SUMIFS('Direct $ Composition'!$AM$7:$AM$91,'Direct $ Composition'!$B$7:$B$91,'Other Tables'!F$22,'Direct $ Composition'!$H$7:$H$91,'Other Tables'!$B28)</f>
        <v>0</v>
      </c>
      <c r="G28" s="28">
        <f>SUMIFS('Direct $ Composition'!$AM$7:$AM$91,'Direct $ Composition'!$B$7:$B$91,'Other Tables'!G$22,'Direct $ Composition'!$H$7:$H$91,'Other Tables'!$B28)</f>
        <v>0</v>
      </c>
      <c r="H28" s="28">
        <f>SUMIFS('Direct $ Composition'!$AM$7:$AM$91,'Direct $ Composition'!$B$7:$B$91,'Other Tables'!H$22,'Direct $ Composition'!$H$7:$H$91,'Other Tables'!$B28)</f>
        <v>0</v>
      </c>
      <c r="I28" s="28">
        <f>SUMIFS('Direct $ Composition'!$AM$7:$AM$91,'Direct $ Composition'!$B$7:$B$91,'Other Tables'!I$22,'Direct $ Composition'!$H$7:$H$91,'Other Tables'!$B28)</f>
        <v>0</v>
      </c>
      <c r="J28" s="28">
        <f>SUMIFS('Direct $ Composition'!$AM$7:$AM$91,'Direct $ Composition'!$B$7:$B$91,'Other Tables'!J$22,'Direct $ Composition'!$H$7:$H$91,'Other Tables'!$B28)</f>
        <v>0</v>
      </c>
      <c r="K28" s="28">
        <f>SUMIFS('Direct $ Composition'!$AM$7:$AM$91,'Direct $ Composition'!$B$7:$B$91,'Other Tables'!K$22,'Direct $ Composition'!$H$7:$H$91,'Other Tables'!$B28)</f>
        <v>0</v>
      </c>
      <c r="L28" s="29">
        <f t="shared" si="2"/>
        <v>0</v>
      </c>
    </row>
    <row r="29" spans="2:13" x14ac:dyDescent="0.3">
      <c r="B29" t="s">
        <v>294</v>
      </c>
      <c r="C29" s="28">
        <f>SUMIFS('Direct $ Composition'!$AM$7:$AM$91,'Direct $ Composition'!$B$7:$B$91,'Other Tables'!C$22,'Direct $ Composition'!$H$7:$H$91,'Other Tables'!$B29)</f>
        <v>0</v>
      </c>
      <c r="D29" s="28">
        <f>SUMIFS('Direct $ Composition'!$AM$7:$AM$91,'Direct $ Composition'!$B$7:$B$91,'Other Tables'!D$22,'Direct $ Composition'!$H$7:$H$91,'Other Tables'!$B29)</f>
        <v>0</v>
      </c>
      <c r="E29" s="28">
        <f>SUMIFS('Direct $ Composition'!$AM$7:$AM$91,'Direct $ Composition'!$B$7:$B$91,'Other Tables'!E$22,'Direct $ Composition'!$H$7:$H$91,'Other Tables'!$B29)</f>
        <v>0</v>
      </c>
      <c r="F29" s="28">
        <f>SUMIFS('Direct $ Composition'!$AM$7:$AM$91,'Direct $ Composition'!$B$7:$B$91,'Other Tables'!F$22,'Direct $ Composition'!$H$7:$H$91,'Other Tables'!$B29)</f>
        <v>40</v>
      </c>
      <c r="G29" s="28">
        <f>SUMIFS('Direct $ Composition'!$AM$7:$AM$91,'Direct $ Composition'!$B$7:$B$91,'Other Tables'!G$22,'Direct $ Composition'!$H$7:$H$91,'Other Tables'!$B29)</f>
        <v>0</v>
      </c>
      <c r="H29" s="28">
        <f>SUMIFS('Direct $ Composition'!$AM$7:$AM$91,'Direct $ Composition'!$B$7:$B$91,'Other Tables'!H$22,'Direct $ Composition'!$H$7:$H$91,'Other Tables'!$B29)</f>
        <v>0</v>
      </c>
      <c r="I29" s="28">
        <f>SUMIFS('Direct $ Composition'!$AM$7:$AM$91,'Direct $ Composition'!$B$7:$B$91,'Other Tables'!I$22,'Direct $ Composition'!$H$7:$H$91,'Other Tables'!$B29)</f>
        <v>0</v>
      </c>
      <c r="J29" s="28">
        <f>SUMIFS('Direct $ Composition'!$AM$7:$AM$91,'Direct $ Composition'!$B$7:$B$91,'Other Tables'!J$22,'Direct $ Composition'!$H$7:$H$91,'Other Tables'!$B29)</f>
        <v>0</v>
      </c>
      <c r="K29" s="28">
        <f>SUMIFS('Direct $ Composition'!$AM$7:$AM$91,'Direct $ Composition'!$B$7:$B$91,'Other Tables'!K$22,'Direct $ Composition'!$H$7:$H$91,'Other Tables'!$B29)</f>
        <v>0</v>
      </c>
      <c r="L29" s="29">
        <f t="shared" si="2"/>
        <v>40</v>
      </c>
    </row>
    <row r="30" spans="2:13" x14ac:dyDescent="0.3">
      <c r="B30" s="26" t="s">
        <v>213</v>
      </c>
      <c r="C30" s="37">
        <f t="shared" ref="C30:L30" si="3">SUM(C23:C29)</f>
        <v>8209.4567066131076</v>
      </c>
      <c r="D30" s="37">
        <f t="shared" si="3"/>
        <v>11226.050992019267</v>
      </c>
      <c r="E30" s="37">
        <f t="shared" si="3"/>
        <v>7469.8574817320041</v>
      </c>
      <c r="F30" s="37">
        <f t="shared" si="3"/>
        <v>8670.3784686188519</v>
      </c>
      <c r="G30" s="37">
        <f t="shared" si="3"/>
        <v>18165.25404840483</v>
      </c>
      <c r="H30" s="37">
        <f t="shared" si="3"/>
        <v>17933.408165382785</v>
      </c>
      <c r="I30" s="37">
        <f t="shared" si="3"/>
        <v>10825.807612427809</v>
      </c>
      <c r="J30" s="37">
        <f t="shared" si="3"/>
        <v>5978.4678038809852</v>
      </c>
      <c r="K30" s="37">
        <f t="shared" si="3"/>
        <v>7025.6055702883223</v>
      </c>
      <c r="L30" s="37">
        <f t="shared" si="3"/>
        <v>95504.286849367971</v>
      </c>
      <c r="M30" s="19">
        <f>L30/Thousands-H5</f>
        <v>0</v>
      </c>
    </row>
    <row r="31" spans="2:13" x14ac:dyDescent="0.3">
      <c r="C31" s="29"/>
      <c r="D31" s="29"/>
      <c r="E31" s="29"/>
      <c r="F31" s="29"/>
      <c r="G31" s="29"/>
      <c r="H31" s="29"/>
      <c r="I31" s="29"/>
      <c r="J31" s="29"/>
      <c r="K31" s="29"/>
    </row>
    <row r="32" spans="2:13" x14ac:dyDescent="0.3">
      <c r="B32" t="s">
        <v>279</v>
      </c>
      <c r="C32" s="28">
        <f t="array" ref="C32:K32">TRANSPOSE('Direct $ Composition'!$AM$99:$AM$107)</f>
        <v>8209.4567066131076</v>
      </c>
      <c r="D32" s="28">
        <v>11226.050992019267</v>
      </c>
      <c r="E32" s="28">
        <v>7469.8574817320041</v>
      </c>
      <c r="F32" s="28">
        <v>8670.3784686188501</v>
      </c>
      <c r="G32" s="28">
        <v>18165.254048404833</v>
      </c>
      <c r="H32" s="28">
        <v>17933.408165382785</v>
      </c>
      <c r="I32" s="28">
        <v>10825.807612427809</v>
      </c>
      <c r="J32" s="28">
        <v>5978.4678038809861</v>
      </c>
      <c r="K32" s="28">
        <v>7025.6055702883223</v>
      </c>
      <c r="L32" s="28">
        <f>'Direct $ Composition'!AM109-'Direct $ Composition'!AM108</f>
        <v>95504.286849367956</v>
      </c>
    </row>
    <row r="33" spans="2:12" x14ac:dyDescent="0.3">
      <c r="B33" s="41" t="s">
        <v>83</v>
      </c>
      <c r="C33" s="203">
        <f t="shared" ref="C33:L33" si="4">C30-C32</f>
        <v>0</v>
      </c>
      <c r="D33" s="203">
        <f t="shared" si="4"/>
        <v>0</v>
      </c>
      <c r="E33" s="203">
        <f t="shared" si="4"/>
        <v>0</v>
      </c>
      <c r="F33" s="203">
        <f t="shared" si="4"/>
        <v>0</v>
      </c>
      <c r="G33" s="203">
        <f t="shared" si="4"/>
        <v>0</v>
      </c>
      <c r="H33" s="203">
        <f t="shared" si="4"/>
        <v>0</v>
      </c>
      <c r="I33" s="203">
        <f t="shared" si="4"/>
        <v>0</v>
      </c>
      <c r="J33" s="203">
        <f t="shared" si="4"/>
        <v>0</v>
      </c>
      <c r="K33" s="203">
        <f t="shared" si="4"/>
        <v>0</v>
      </c>
      <c r="L33" s="203">
        <f t="shared" si="4"/>
        <v>0</v>
      </c>
    </row>
    <row r="34" spans="2:12" x14ac:dyDescent="0.3">
      <c r="C34" s="29"/>
      <c r="D34" s="29"/>
      <c r="E34" s="29"/>
      <c r="F34" s="29"/>
      <c r="G34" s="29"/>
      <c r="H34" s="29"/>
      <c r="I34" s="29"/>
      <c r="J34" s="29"/>
      <c r="K34" s="29"/>
    </row>
    <row r="35" spans="2:12" x14ac:dyDescent="0.3">
      <c r="B35" t="s">
        <v>286</v>
      </c>
      <c r="C35" s="191" t="s">
        <v>9</v>
      </c>
      <c r="D35" s="191" t="s">
        <v>10</v>
      </c>
      <c r="E35" s="191" t="s">
        <v>11</v>
      </c>
      <c r="F35" s="191" t="s">
        <v>12</v>
      </c>
      <c r="G35" s="191" t="s">
        <v>13</v>
      </c>
      <c r="H35" s="191" t="s">
        <v>14</v>
      </c>
      <c r="I35" s="191" t="s">
        <v>15</v>
      </c>
      <c r="J35" s="191" t="s">
        <v>16</v>
      </c>
      <c r="K35" s="191" t="s">
        <v>17</v>
      </c>
      <c r="L35" s="191" t="s">
        <v>280</v>
      </c>
    </row>
    <row r="36" spans="2:12" x14ac:dyDescent="0.3">
      <c r="B36" t="s">
        <v>269</v>
      </c>
      <c r="C36" s="15">
        <f t="shared" ref="C36:K36" si="5">C23/C$30</f>
        <v>0.24675490716324708</v>
      </c>
      <c r="D36" s="15">
        <f t="shared" si="5"/>
        <v>0.24484412540496608</v>
      </c>
      <c r="E36" s="15">
        <f t="shared" si="5"/>
        <v>0.26422008972279543</v>
      </c>
      <c r="F36" s="15">
        <f t="shared" si="5"/>
        <v>0.53147608788384082</v>
      </c>
      <c r="G36" s="15">
        <f t="shared" si="5"/>
        <v>0.35022651899298829</v>
      </c>
      <c r="H36" s="15">
        <f t="shared" si="5"/>
        <v>0.29436462505223543</v>
      </c>
      <c r="I36" s="15">
        <f t="shared" si="5"/>
        <v>0.17346028972761923</v>
      </c>
      <c r="J36" s="15">
        <f t="shared" si="5"/>
        <v>0.30223667553726963</v>
      </c>
      <c r="K36" s="15">
        <f t="shared" si="5"/>
        <v>0.22145928326702524</v>
      </c>
      <c r="L36" s="16">
        <f t="shared" ref="L36:L42" si="6">AVERAGE(C36:K36)</f>
        <v>0.29211584475022079</v>
      </c>
    </row>
    <row r="37" spans="2:12" x14ac:dyDescent="0.3">
      <c r="B37" t="s">
        <v>272</v>
      </c>
      <c r="C37" s="15">
        <f t="shared" ref="C37:K37" si="7">C24/C$30</f>
        <v>0</v>
      </c>
      <c r="D37" s="15">
        <f t="shared" si="7"/>
        <v>0</v>
      </c>
      <c r="E37" s="15">
        <f t="shared" si="7"/>
        <v>0</v>
      </c>
      <c r="F37" s="15">
        <f t="shared" si="7"/>
        <v>0</v>
      </c>
      <c r="G37" s="15">
        <f t="shared" si="7"/>
        <v>0</v>
      </c>
      <c r="H37" s="15">
        <f t="shared" si="7"/>
        <v>0</v>
      </c>
      <c r="I37" s="15">
        <f t="shared" si="7"/>
        <v>0</v>
      </c>
      <c r="J37" s="15">
        <f t="shared" si="7"/>
        <v>0</v>
      </c>
      <c r="K37" s="15">
        <f t="shared" si="7"/>
        <v>0</v>
      </c>
      <c r="L37" s="16">
        <f t="shared" si="6"/>
        <v>0</v>
      </c>
    </row>
    <row r="38" spans="2:12" x14ac:dyDescent="0.3">
      <c r="B38" t="s">
        <v>267</v>
      </c>
      <c r="C38" s="15">
        <f t="shared" ref="C38:K38" si="8">C25/C$30</f>
        <v>0.26490064724175516</v>
      </c>
      <c r="D38" s="15">
        <f t="shared" si="8"/>
        <v>0.4463523885200894</v>
      </c>
      <c r="E38" s="15">
        <f t="shared" si="8"/>
        <v>0.42996263518513828</v>
      </c>
      <c r="F38" s="15">
        <f t="shared" si="8"/>
        <v>9.4471444061193705E-2</v>
      </c>
      <c r="G38" s="15">
        <f t="shared" si="8"/>
        <v>0.31777879999752928</v>
      </c>
      <c r="H38" s="15">
        <f t="shared" si="8"/>
        <v>0.34076899710160713</v>
      </c>
      <c r="I38" s="15">
        <f t="shared" si="8"/>
        <v>0.38897608724995197</v>
      </c>
      <c r="J38" s="15">
        <f t="shared" si="8"/>
        <v>0.20105854599869305</v>
      </c>
      <c r="K38" s="15">
        <f t="shared" si="8"/>
        <v>0.39200683974399775</v>
      </c>
      <c r="L38" s="16">
        <f t="shared" si="6"/>
        <v>0.31958626501110621</v>
      </c>
    </row>
    <row r="39" spans="2:12" x14ac:dyDescent="0.3">
      <c r="B39" t="s">
        <v>268</v>
      </c>
      <c r="C39" s="15">
        <f t="shared" ref="C39:K39" si="9">C26/C$30</f>
        <v>0.26601905296063116</v>
      </c>
      <c r="D39" s="15">
        <f t="shared" si="9"/>
        <v>0.18066928048416006</v>
      </c>
      <c r="E39" s="15">
        <f t="shared" si="9"/>
        <v>6.775580808891879E-2</v>
      </c>
      <c r="F39" s="15">
        <f t="shared" si="9"/>
        <v>8.888749749913312E-2</v>
      </c>
      <c r="G39" s="15">
        <f t="shared" si="9"/>
        <v>0.14871073775060886</v>
      </c>
      <c r="H39" s="15">
        <f t="shared" si="9"/>
        <v>0.2108166234454244</v>
      </c>
      <c r="I39" s="15">
        <f t="shared" si="9"/>
        <v>0.28127644939126561</v>
      </c>
      <c r="J39" s="15">
        <f t="shared" si="9"/>
        <v>0.22439048761642047</v>
      </c>
      <c r="K39" s="15">
        <f t="shared" si="9"/>
        <v>0.18699976165609153</v>
      </c>
      <c r="L39" s="16">
        <f t="shared" si="6"/>
        <v>0.18394729987696154</v>
      </c>
    </row>
    <row r="40" spans="2:12" x14ac:dyDescent="0.3">
      <c r="B40" t="s">
        <v>271</v>
      </c>
      <c r="C40" s="15">
        <f t="shared" ref="C40:K40" si="10">C27/C$30</f>
        <v>0.22232539263436665</v>
      </c>
      <c r="D40" s="15">
        <f t="shared" si="10"/>
        <v>0.12813420559078442</v>
      </c>
      <c r="E40" s="15">
        <f t="shared" si="10"/>
        <v>0.23806146700314751</v>
      </c>
      <c r="F40" s="15">
        <f t="shared" si="10"/>
        <v>0.28055156179348412</v>
      </c>
      <c r="G40" s="15">
        <f t="shared" si="10"/>
        <v>0.18328394325887359</v>
      </c>
      <c r="H40" s="15">
        <f t="shared" si="10"/>
        <v>0.15404975440073307</v>
      </c>
      <c r="I40" s="15">
        <f t="shared" si="10"/>
        <v>0.15628717363116315</v>
      </c>
      <c r="J40" s="15">
        <f t="shared" si="10"/>
        <v>0.27231429084761677</v>
      </c>
      <c r="K40" s="15">
        <f t="shared" si="10"/>
        <v>0.19953411533288554</v>
      </c>
      <c r="L40" s="16">
        <f t="shared" si="6"/>
        <v>0.2038379893881172</v>
      </c>
    </row>
    <row r="41" spans="2:12" x14ac:dyDescent="0.3">
      <c r="B41" t="s">
        <v>270</v>
      </c>
      <c r="C41" s="207">
        <f t="shared" ref="C41:K41" si="11">C28/C$30</f>
        <v>0</v>
      </c>
      <c r="D41" s="207">
        <f t="shared" si="11"/>
        <v>0</v>
      </c>
      <c r="E41" s="207">
        <f t="shared" si="11"/>
        <v>0</v>
      </c>
      <c r="F41" s="207">
        <f t="shared" si="11"/>
        <v>0</v>
      </c>
      <c r="G41" s="207">
        <f t="shared" si="11"/>
        <v>0</v>
      </c>
      <c r="H41" s="207">
        <f t="shared" si="11"/>
        <v>0</v>
      </c>
      <c r="I41" s="207">
        <f t="shared" si="11"/>
        <v>0</v>
      </c>
      <c r="J41" s="207">
        <f t="shared" si="11"/>
        <v>0</v>
      </c>
      <c r="K41" s="207">
        <f t="shared" si="11"/>
        <v>0</v>
      </c>
      <c r="L41" s="208">
        <f t="shared" si="6"/>
        <v>0</v>
      </c>
    </row>
    <row r="42" spans="2:12" x14ac:dyDescent="0.3">
      <c r="B42" t="s">
        <v>294</v>
      </c>
      <c r="C42" s="204">
        <f t="shared" ref="C42:K42" si="12">C29/C$30</f>
        <v>0</v>
      </c>
      <c r="D42" s="204">
        <f t="shared" si="12"/>
        <v>0</v>
      </c>
      <c r="E42" s="204">
        <f t="shared" si="12"/>
        <v>0</v>
      </c>
      <c r="F42" s="209">
        <f t="shared" si="12"/>
        <v>4.6134087623480409E-3</v>
      </c>
      <c r="G42" s="204">
        <f t="shared" si="12"/>
        <v>0</v>
      </c>
      <c r="H42" s="204">
        <f t="shared" si="12"/>
        <v>0</v>
      </c>
      <c r="I42" s="204">
        <f t="shared" si="12"/>
        <v>0</v>
      </c>
      <c r="J42" s="204">
        <f t="shared" si="12"/>
        <v>0</v>
      </c>
      <c r="K42" s="204">
        <f t="shared" si="12"/>
        <v>0</v>
      </c>
      <c r="L42" s="205">
        <f t="shared" si="6"/>
        <v>5.1260097359422671E-4</v>
      </c>
    </row>
    <row r="43" spans="2:12" x14ac:dyDescent="0.3">
      <c r="B43" s="26" t="s">
        <v>6</v>
      </c>
      <c r="C43" s="16">
        <f t="shared" ref="C43:L43" si="13">SUM(C36:C42)</f>
        <v>1</v>
      </c>
      <c r="D43" s="16">
        <f t="shared" si="13"/>
        <v>1</v>
      </c>
      <c r="E43" s="16">
        <f t="shared" si="13"/>
        <v>1</v>
      </c>
      <c r="F43" s="16">
        <f t="shared" si="13"/>
        <v>0.99999999999999989</v>
      </c>
      <c r="G43" s="16">
        <f t="shared" si="13"/>
        <v>1</v>
      </c>
      <c r="H43" s="16">
        <f t="shared" si="13"/>
        <v>1</v>
      </c>
      <c r="I43" s="16">
        <f t="shared" si="13"/>
        <v>1</v>
      </c>
      <c r="J43" s="16">
        <f t="shared" si="13"/>
        <v>1</v>
      </c>
      <c r="K43" s="16">
        <f t="shared" si="13"/>
        <v>1</v>
      </c>
      <c r="L43" s="16">
        <f t="shared" si="13"/>
        <v>0.99999999999999989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U64"/>
  <sheetViews>
    <sheetView zoomScale="85" zoomScaleNormal="85" workbookViewId="0">
      <selection activeCell="H28" sqref="H28"/>
    </sheetView>
  </sheetViews>
  <sheetFormatPr defaultRowHeight="14.4" x14ac:dyDescent="0.3"/>
  <cols>
    <col min="1" max="1" width="3.6640625" customWidth="1"/>
    <col min="2" max="2" width="44.88671875" customWidth="1"/>
    <col min="3" max="7" width="8" customWidth="1"/>
    <col min="8" max="8" width="9.44140625" customWidth="1"/>
    <col min="9" max="9" width="8.21875" customWidth="1"/>
    <col min="10" max="10" width="31.77734375" customWidth="1"/>
  </cols>
  <sheetData>
    <row r="1" spans="2:17" ht="15.6" x14ac:dyDescent="0.3">
      <c r="B1" s="135" t="s">
        <v>81</v>
      </c>
    </row>
    <row r="2" spans="2:17" x14ac:dyDescent="0.3">
      <c r="B2" s="23"/>
    </row>
    <row r="3" spans="2:17" x14ac:dyDescent="0.3">
      <c r="B3" s="26" t="s">
        <v>45</v>
      </c>
      <c r="J3" s="26" t="s">
        <v>49</v>
      </c>
    </row>
    <row r="4" spans="2:17" x14ac:dyDescent="0.3">
      <c r="B4" t="s">
        <v>89</v>
      </c>
      <c r="J4" t="s">
        <v>90</v>
      </c>
    </row>
    <row r="5" spans="2:17" x14ac:dyDescent="0.3">
      <c r="B5" s="26" t="s">
        <v>170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 t="s">
        <v>6</v>
      </c>
      <c r="K5" s="4">
        <v>2016</v>
      </c>
      <c r="L5" s="4">
        <v>2017</v>
      </c>
      <c r="M5" s="4">
        <v>2018</v>
      </c>
      <c r="N5" s="4">
        <v>2019</v>
      </c>
      <c r="O5" s="4">
        <v>2020</v>
      </c>
      <c r="P5" s="4" t="s">
        <v>6</v>
      </c>
    </row>
    <row r="6" spans="2:17" x14ac:dyDescent="0.3">
      <c r="B6" t="s">
        <v>38</v>
      </c>
      <c r="C6" s="6">
        <f>'Direct Summary'!D55/Thousands*Escalators!$C$10</f>
        <v>2.8569348530918495</v>
      </c>
      <c r="D6" s="6">
        <f>'Direct Summary'!E55/Thousands*Escalators!$C$10</f>
        <v>16.37608172424687</v>
      </c>
      <c r="E6" s="6">
        <f>'Direct Summary'!F55/Thousands*Escalators!$C$10</f>
        <v>8.9558761645204079</v>
      </c>
      <c r="F6" s="6">
        <f>'Direct Summary'!G55/Thousands*Escalators!$C$10</f>
        <v>6.4105762582477993E-2</v>
      </c>
      <c r="G6" s="6">
        <f>'Direct Summary'!H55/Thousands*Escalators!$C$10</f>
        <v>0</v>
      </c>
      <c r="H6" s="14">
        <f>SUM(C6:G6)</f>
        <v>28.252998504441607</v>
      </c>
      <c r="J6" t="s">
        <v>74</v>
      </c>
      <c r="K6" s="6">
        <f>'Opex Inputs'!C15/Thousands*Escalators!$C$10</f>
        <v>0</v>
      </c>
      <c r="L6" s="6">
        <f>'Opex Inputs'!D15/Thousands*Escalators!$C$10</f>
        <v>0.60011859444444438</v>
      </c>
      <c r="M6" s="6">
        <f>'Opex Inputs'!E15/Thousands*Escalators!$C$10</f>
        <v>0.69741932777777771</v>
      </c>
      <c r="N6" s="6">
        <f>'Opex Inputs'!F15/Thousands*Escalators!$C$10</f>
        <v>0.76181231111111103</v>
      </c>
      <c r="O6" s="6">
        <f>'Opex Inputs'!G15/Thousands*Escalators!$C$10</f>
        <v>0.70168489999999994</v>
      </c>
      <c r="P6" s="14">
        <f>SUM(K6:O6)</f>
        <v>2.7610351333333334</v>
      </c>
    </row>
    <row r="7" spans="2:17" x14ac:dyDescent="0.3">
      <c r="B7" t="s">
        <v>39</v>
      </c>
      <c r="C7" s="6">
        <f>'Direct Summary'!D59/Thousands*Escalators!$C$10</f>
        <v>1.8986923800683946</v>
      </c>
      <c r="D7" s="6">
        <f>'Direct Summary'!E59/Thousands*Escalators!$C$10</f>
        <v>28.801995154749644</v>
      </c>
      <c r="E7" s="6">
        <f>'Direct Summary'!F59/Thousands*Escalators!$C$10</f>
        <v>18.288688138142092</v>
      </c>
      <c r="F7" s="6">
        <f>'Direct Summary'!G59/Thousands*Escalators!$C$10</f>
        <v>0</v>
      </c>
      <c r="G7" s="6">
        <f>'Direct Summary'!H59/Thousands*Escalators!$C$10</f>
        <v>0</v>
      </c>
      <c r="H7" s="14">
        <f t="shared" ref="H7:H13" si="0">SUM(C7:G7)</f>
        <v>48.989375672960129</v>
      </c>
      <c r="J7" t="s">
        <v>48</v>
      </c>
      <c r="K7" s="47">
        <f>Escalators!D39*'Opex Inputs'!C15/Thousands*Escalators!$C$10*(Escalators!D36-1)</f>
        <v>0</v>
      </c>
      <c r="L7" s="47">
        <f>Escalators!E39*'Opex Inputs'!D15/Thousands*Escalators!$C$10*(Escalators!E36-1)</f>
        <v>9.9964294108454838E-3</v>
      </c>
      <c r="M7" s="47">
        <f>Escalators!F39*'Opex Inputs'!E15/Thousands*Escalators!$C$10*(Escalators!F36-1)</f>
        <v>1.5102754012498689E-2</v>
      </c>
      <c r="N7" s="47">
        <f>Escalators!G39*'Opex Inputs'!F15/Thousands*Escalators!$C$10*(Escalators!G36-1)</f>
        <v>2.1177013713366884E-2</v>
      </c>
      <c r="O7" s="47">
        <f>Escalators!H39*'Opex Inputs'!G15/Thousands*Escalators!$C$10*(Escalators!H36-1)</f>
        <v>2.4138770478946033E-2</v>
      </c>
      <c r="P7" s="11">
        <f>SUM(K7:O7)</f>
        <v>7.041496761565709E-2</v>
      </c>
      <c r="Q7" s="36">
        <f>P7/P6</f>
        <v>2.5503104529730029E-2</v>
      </c>
    </row>
    <row r="8" spans="2:17" x14ac:dyDescent="0.3">
      <c r="B8" t="s">
        <v>40</v>
      </c>
      <c r="C8" s="6"/>
      <c r="D8" s="6"/>
      <c r="E8" s="6"/>
      <c r="F8" s="6"/>
      <c r="G8" s="6"/>
      <c r="H8" s="14">
        <f t="shared" si="0"/>
        <v>0</v>
      </c>
      <c r="J8" s="26" t="s">
        <v>76</v>
      </c>
      <c r="K8" s="134">
        <f>SUM(K6:K7)</f>
        <v>0</v>
      </c>
      <c r="L8" s="134">
        <f t="shared" ref="L8:P8" si="1">SUM(L6:L7)</f>
        <v>0.61011502385528982</v>
      </c>
      <c r="M8" s="134">
        <f t="shared" si="1"/>
        <v>0.71252208179027643</v>
      </c>
      <c r="N8" s="134">
        <f t="shared" si="1"/>
        <v>0.78298932482447792</v>
      </c>
      <c r="O8" s="134">
        <f t="shared" si="1"/>
        <v>0.72582367047894603</v>
      </c>
      <c r="P8" s="145">
        <f t="shared" si="1"/>
        <v>2.8314501009489903</v>
      </c>
    </row>
    <row r="9" spans="2:17" x14ac:dyDescent="0.3">
      <c r="B9" t="s">
        <v>41</v>
      </c>
      <c r="C9" s="5"/>
      <c r="D9" s="5"/>
      <c r="E9" s="5"/>
      <c r="F9" s="5"/>
      <c r="G9" s="5"/>
      <c r="H9" s="14">
        <f t="shared" si="0"/>
        <v>0</v>
      </c>
      <c r="J9" s="41" t="s">
        <v>83</v>
      </c>
      <c r="K9" s="214">
        <f>K8-('Opex Inputs'!C15/Thousands*Escalators!$C$10*Escalators!D40+'Opex Inputs'!C15/Thousands*Escalators!$C$10*Escalators!D39*Escalators!D36)</f>
        <v>0</v>
      </c>
      <c r="L9" s="214">
        <f>L8-('Opex Inputs'!D15/Thousands*Escalators!$C$10*Escalators!E40+'Opex Inputs'!D15/Thousands*Escalators!$C$10*Escalators!E39*Escalators!E36)</f>
        <v>0</v>
      </c>
      <c r="M9" s="214">
        <f>M8-('Opex Inputs'!E15/Thousands*Escalators!$C$10*Escalators!F40+'Opex Inputs'!E15/Thousands*Escalators!$C$10*Escalators!F39*Escalators!F36)</f>
        <v>0</v>
      </c>
      <c r="N9" s="214">
        <f>N8-('Opex Inputs'!F15/Thousands*Escalators!$C$10*Escalators!G40+'Opex Inputs'!F15/Thousands*Escalators!$C$10*Escalators!G39*Escalators!G36)</f>
        <v>0</v>
      </c>
      <c r="O9" s="214">
        <f>O8-('Opex Inputs'!G15/Thousands*Escalators!$C$10*Escalators!H40+'Opex Inputs'!G15/Thousands*Escalators!$C$10*Escalators!H39*Escalators!H36)</f>
        <v>0</v>
      </c>
      <c r="P9" s="5"/>
    </row>
    <row r="10" spans="2:17" x14ac:dyDescent="0.3">
      <c r="B10" t="s">
        <v>42</v>
      </c>
      <c r="C10" s="6">
        <f>'Direct Summary'!D63/Thousands*Escalators!$C$10</f>
        <v>2.0616612831968211</v>
      </c>
      <c r="D10" s="6">
        <f>'Direct Summary'!E63/Thousands*Escalators!$C$10</f>
        <v>13.442488474579816</v>
      </c>
      <c r="E10" s="6">
        <f>'Direct Summary'!F63/Thousands*Escalators!$C$10</f>
        <v>10.633764221856739</v>
      </c>
      <c r="F10" s="6">
        <f>'Direct Summary'!G63/Thousands*Escalators!$C$10</f>
        <v>5.1334106871381888E-2</v>
      </c>
      <c r="G10" s="6">
        <f>'Direct Summary'!H63/Thousands*Escalators!$C$10</f>
        <v>0</v>
      </c>
      <c r="H10" s="14">
        <f t="shared" si="0"/>
        <v>26.189248086504758</v>
      </c>
    </row>
    <row r="11" spans="2:17" x14ac:dyDescent="0.3">
      <c r="B11" t="s">
        <v>43</v>
      </c>
      <c r="C11" s="5">
        <f>'Direct Summary'!D65/Thousands*Escalators!$C$10</f>
        <v>0</v>
      </c>
      <c r="D11" s="5">
        <f>'Direct Summary'!E65/Thousands*Escalators!$C$10</f>
        <v>0</v>
      </c>
      <c r="E11" s="5">
        <f>'Direct Summary'!F65/Thousands*Escalators!$C$10</f>
        <v>0</v>
      </c>
      <c r="F11" s="5">
        <f>'Direct Summary'!G65/Thousands*Escalators!$C$10</f>
        <v>0</v>
      </c>
      <c r="G11" s="5">
        <f>'Direct Summary'!H65/Thousands*Escalators!$C$10</f>
        <v>0</v>
      </c>
      <c r="H11" s="14">
        <f t="shared" si="0"/>
        <v>0</v>
      </c>
      <c r="J11" t="s">
        <v>298</v>
      </c>
      <c r="K11" s="5">
        <f>K8/Escalators!$C$10</f>
        <v>0</v>
      </c>
      <c r="L11" s="6">
        <f>L8/Escalators!$C$10</f>
        <v>0.6169702488424279</v>
      </c>
      <c r="M11" s="6">
        <f>M8/Escalators!$C$10</f>
        <v>0.72052794787780772</v>
      </c>
      <c r="N11" s="6">
        <f>N8/Escalators!$C$10</f>
        <v>0.79178695768767438</v>
      </c>
      <c r="O11" s="6">
        <f>O8/Escalators!$C$10</f>
        <v>0.733978992619159</v>
      </c>
      <c r="P11" s="14">
        <f>SUM(K11:O11)</f>
        <v>2.8632641470270688</v>
      </c>
    </row>
    <row r="12" spans="2:17" x14ac:dyDescent="0.3">
      <c r="B12" t="s">
        <v>44</v>
      </c>
      <c r="C12" s="6">
        <f>'Direct Summary'!D66/Thousands*Escalators!$C$10</f>
        <v>0</v>
      </c>
      <c r="D12" s="6">
        <f>'Direct Summary'!E66/Thousands*Escalators!$C$10</f>
        <v>0.22250988888888887</v>
      </c>
      <c r="E12" s="6">
        <f>'Direct Summary'!F66/Thousands*Escalators!$C$10</f>
        <v>0.3659086666666666</v>
      </c>
      <c r="F12" s="6">
        <f>'Direct Summary'!G66/Thousands*Escalators!$C$10</f>
        <v>0</v>
      </c>
      <c r="G12" s="6">
        <f>'Direct Summary'!H66/Thousands*Escalators!$C$10</f>
        <v>0</v>
      </c>
      <c r="H12" s="14">
        <f t="shared" si="0"/>
        <v>0.58841855555555544</v>
      </c>
      <c r="J12" t="s">
        <v>290</v>
      </c>
      <c r="K12" s="19">
        <f>K8*Escalators!D7</f>
        <v>0</v>
      </c>
      <c r="L12" s="19">
        <f>L8*Escalators!E7</f>
        <v>0.63879120262941569</v>
      </c>
      <c r="M12" s="19">
        <f>M8*Escalators!F7</f>
        <v>0.76334196510550911</v>
      </c>
      <c r="N12" s="19">
        <f>N8*Escalators!G7</f>
        <v>0.85832202115019918</v>
      </c>
      <c r="O12" s="19">
        <f>O8*Escalators!H7</f>
        <v>0.81414009722518754</v>
      </c>
      <c r="P12" s="14">
        <f>SUM(K12:O12)</f>
        <v>3.0745952861103114</v>
      </c>
    </row>
    <row r="13" spans="2:17" x14ac:dyDescent="0.3">
      <c r="B13" t="s">
        <v>291</v>
      </c>
      <c r="C13" s="6">
        <f>'Direct Summary'!D67/Thousands*Escalators!$C$10</f>
        <v>0</v>
      </c>
      <c r="D13" s="6">
        <f>'Direct Summary'!E67/Thousands*Escalators!$C$10</f>
        <v>4.019244226571958E-2</v>
      </c>
      <c r="E13" s="6">
        <f>'Direct Summary'!F67/Thousands*Escalators!$C$10</f>
        <v>0</v>
      </c>
      <c r="F13" s="6">
        <f>'Direct Summary'!G67/Thousands*Escalators!$C$10</f>
        <v>0</v>
      </c>
      <c r="G13" s="6">
        <f>'Direct Summary'!H67/Thousands*Escalators!$C$10</f>
        <v>0</v>
      </c>
      <c r="H13" s="14">
        <f t="shared" si="0"/>
        <v>4.019244226571958E-2</v>
      </c>
    </row>
    <row r="14" spans="2:17" x14ac:dyDescent="0.3">
      <c r="B14" s="26" t="s">
        <v>199</v>
      </c>
      <c r="C14" s="133">
        <f>SUM(C6:C13)</f>
        <v>6.8172885163570651</v>
      </c>
      <c r="D14" s="133">
        <f t="shared" ref="D14:H14" si="2">SUM(D6:D13)</f>
        <v>58.883267684730939</v>
      </c>
      <c r="E14" s="133">
        <f t="shared" si="2"/>
        <v>38.24423719118591</v>
      </c>
      <c r="F14" s="133">
        <f t="shared" si="2"/>
        <v>0.11543986945385988</v>
      </c>
      <c r="G14" s="133">
        <f t="shared" si="2"/>
        <v>0</v>
      </c>
      <c r="H14" s="133">
        <f t="shared" si="2"/>
        <v>104.06023326172776</v>
      </c>
    </row>
    <row r="15" spans="2:17" x14ac:dyDescent="0.3">
      <c r="B15" s="41" t="s">
        <v>83</v>
      </c>
      <c r="C15" s="218">
        <f>C14-'Capex by Purpose'!C59/Thousands</f>
        <v>0</v>
      </c>
      <c r="D15" s="218">
        <f>D14-'Capex by Purpose'!D59/Thousands</f>
        <v>0</v>
      </c>
      <c r="E15" s="218">
        <f>E14-'Capex by Purpose'!E59/Thousands</f>
        <v>0</v>
      </c>
      <c r="F15" s="218">
        <f>F14-'Capex by Purpose'!F59/Thousands</f>
        <v>0</v>
      </c>
      <c r="G15" s="218">
        <f>G14-'Capex by Purpose'!G59/Thousands</f>
        <v>0</v>
      </c>
      <c r="H15" s="218">
        <f>H14-'Direct Summary'!I69/Thousands*Escalators!$C$10</f>
        <v>0</v>
      </c>
    </row>
    <row r="17" spans="2:21" x14ac:dyDescent="0.3">
      <c r="B17" s="26" t="s">
        <v>206</v>
      </c>
      <c r="C17" s="4">
        <v>2016</v>
      </c>
      <c r="D17" s="4">
        <v>2017</v>
      </c>
      <c r="E17" s="4">
        <v>2018</v>
      </c>
      <c r="F17" s="4">
        <v>2019</v>
      </c>
      <c r="G17" s="4">
        <v>2020</v>
      </c>
      <c r="H17" s="4" t="s">
        <v>6</v>
      </c>
    </row>
    <row r="18" spans="2:21" x14ac:dyDescent="0.3">
      <c r="B18" t="s">
        <v>38</v>
      </c>
      <c r="C18" s="6">
        <f>Overheads!C64/Thousands</f>
        <v>7.697444915302476E-2</v>
      </c>
      <c r="D18" s="6">
        <f>Overheads!D64/Thousands</f>
        <v>0.43627046102184913</v>
      </c>
      <c r="E18" s="6">
        <f>Overheads!E64/Thousands</f>
        <v>0.24390744613825197</v>
      </c>
      <c r="F18" s="6">
        <f>Overheads!F64/Thousands</f>
        <v>1.7593776157215253E-3</v>
      </c>
      <c r="G18" s="6">
        <f>Overheads!G64/Thousands</f>
        <v>0</v>
      </c>
      <c r="H18" s="14">
        <f>SUM(C18:G18)</f>
        <v>0.75891173392884748</v>
      </c>
      <c r="K18" s="11"/>
      <c r="L18" s="11"/>
      <c r="M18" s="11"/>
      <c r="N18" s="11"/>
      <c r="O18" s="11"/>
      <c r="Q18" s="11"/>
      <c r="R18" s="11"/>
      <c r="S18" s="11"/>
      <c r="T18" s="11"/>
      <c r="U18" s="11"/>
    </row>
    <row r="19" spans="2:21" x14ac:dyDescent="0.3">
      <c r="B19" t="s">
        <v>39</v>
      </c>
      <c r="C19" s="6">
        <f>Overheads!C65/Thousands</f>
        <v>5.115650428942823E-2</v>
      </c>
      <c r="D19" s="6">
        <f>Overheads!D65/Thousands</f>
        <v>0.76730563000958485</v>
      </c>
      <c r="E19" s="6">
        <f>Overheads!E65/Thousands</f>
        <v>0.49808049319226538</v>
      </c>
      <c r="F19" s="6">
        <f>Overheads!F65/Thousands</f>
        <v>0</v>
      </c>
      <c r="G19" s="6">
        <f>Overheads!G65/Thousands</f>
        <v>0</v>
      </c>
      <c r="H19" s="14">
        <f t="shared" ref="H19:H24" si="3">SUM(C19:G19)</f>
        <v>1.3165426274912784</v>
      </c>
      <c r="K19" s="11"/>
      <c r="L19" s="11"/>
      <c r="M19" s="11"/>
      <c r="N19" s="11"/>
      <c r="O19" s="11"/>
      <c r="Q19" s="11"/>
      <c r="R19" s="11"/>
      <c r="S19" s="11"/>
      <c r="T19" s="11"/>
      <c r="U19" s="11"/>
    </row>
    <row r="20" spans="2:21" x14ac:dyDescent="0.3">
      <c r="B20" t="s">
        <v>40</v>
      </c>
      <c r="C20" s="6"/>
      <c r="D20" s="6"/>
      <c r="E20" s="6"/>
      <c r="F20" s="6"/>
      <c r="G20" s="6"/>
      <c r="H20" s="14">
        <f t="shared" si="3"/>
        <v>0</v>
      </c>
      <c r="K20" s="11"/>
      <c r="L20" s="11"/>
      <c r="M20" s="11"/>
      <c r="N20" s="11"/>
      <c r="O20" s="11"/>
      <c r="Q20" s="11"/>
      <c r="R20" s="11"/>
      <c r="S20" s="11"/>
      <c r="T20" s="11"/>
      <c r="U20" s="11"/>
    </row>
    <row r="21" spans="2:21" x14ac:dyDescent="0.3">
      <c r="B21" t="s">
        <v>41</v>
      </c>
      <c r="C21" s="6"/>
      <c r="D21" s="6"/>
      <c r="E21" s="6"/>
      <c r="F21" s="6"/>
      <c r="G21" s="6"/>
      <c r="H21" s="14">
        <f t="shared" si="3"/>
        <v>0</v>
      </c>
      <c r="K21" s="11"/>
      <c r="L21" s="11"/>
      <c r="M21" s="11"/>
      <c r="N21" s="11"/>
      <c r="O21" s="11"/>
      <c r="Q21" s="11"/>
      <c r="R21" s="11"/>
      <c r="S21" s="11"/>
      <c r="T21" s="11"/>
      <c r="U21" s="11"/>
    </row>
    <row r="22" spans="2:21" x14ac:dyDescent="0.3">
      <c r="B22" t="s">
        <v>42</v>
      </c>
      <c r="C22" s="6">
        <f>Overheads!C66/Thousands</f>
        <v>5.5547378492880002E-2</v>
      </c>
      <c r="D22" s="6">
        <f>Overheads!D66/Thousands</f>
        <v>0.35811745097745834</v>
      </c>
      <c r="E22" s="6">
        <f>Overheads!E66/Thousands</f>
        <v>0.28960363302748771</v>
      </c>
      <c r="F22" s="6">
        <f>Overheads!F66/Thousands</f>
        <v>1.4088605285112372E-3</v>
      </c>
      <c r="G22" s="6">
        <f>Overheads!G66/Thousands</f>
        <v>0</v>
      </c>
      <c r="H22" s="14">
        <f t="shared" si="3"/>
        <v>0.70467732302633723</v>
      </c>
      <c r="K22" s="11"/>
      <c r="L22" s="11"/>
      <c r="M22" s="11"/>
      <c r="N22" s="11"/>
      <c r="O22" s="11"/>
      <c r="Q22" s="11"/>
      <c r="R22" s="11"/>
      <c r="S22" s="11"/>
      <c r="T22" s="11"/>
      <c r="U22" s="11"/>
    </row>
    <row r="23" spans="2:21" x14ac:dyDescent="0.3">
      <c r="B23" t="s">
        <v>43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4">
        <f t="shared" si="3"/>
        <v>0</v>
      </c>
    </row>
    <row r="24" spans="2:21" x14ac:dyDescent="0.3">
      <c r="B24" t="s">
        <v>44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4">
        <f t="shared" si="3"/>
        <v>0</v>
      </c>
    </row>
    <row r="25" spans="2:21" x14ac:dyDescent="0.3">
      <c r="B25" t="s">
        <v>291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4"/>
    </row>
    <row r="26" spans="2:21" x14ac:dyDescent="0.3">
      <c r="B26" s="26" t="s">
        <v>200</v>
      </c>
      <c r="C26" s="133">
        <f>SUM(C18:C25)</f>
        <v>0.18367833193533298</v>
      </c>
      <c r="D26" s="133">
        <f t="shared" ref="D26:H26" si="4">SUM(D18:D25)</f>
        <v>1.5616935420088922</v>
      </c>
      <c r="E26" s="133">
        <f t="shared" si="4"/>
        <v>1.0315915723580051</v>
      </c>
      <c r="F26" s="133">
        <f t="shared" si="4"/>
        <v>3.1682381442327623E-3</v>
      </c>
      <c r="G26" s="133">
        <f t="shared" si="4"/>
        <v>0</v>
      </c>
      <c r="H26" s="133">
        <f t="shared" si="4"/>
        <v>2.780131684446463</v>
      </c>
    </row>
    <row r="27" spans="2:21" x14ac:dyDescent="0.3">
      <c r="B27" s="41" t="s">
        <v>83</v>
      </c>
      <c r="C27" s="217">
        <f>C26-Overheads!C60/Thousands</f>
        <v>0</v>
      </c>
      <c r="D27" s="217">
        <f>D26-Overheads!D60/Thousands</f>
        <v>0</v>
      </c>
      <c r="E27" s="217">
        <f>E26-Overheads!E60/Thousands</f>
        <v>0</v>
      </c>
      <c r="F27" s="217">
        <f>F26-Overheads!F60/Thousands</f>
        <v>0</v>
      </c>
      <c r="G27" s="217">
        <f>G26-Overheads!G60/Thousands</f>
        <v>0</v>
      </c>
      <c r="H27" s="217">
        <f>H26-Overheads!H60/Thousands</f>
        <v>0</v>
      </c>
    </row>
    <row r="28" spans="2:21" x14ac:dyDescent="0.3">
      <c r="C28" s="11"/>
      <c r="D28" s="11"/>
      <c r="E28" s="11"/>
      <c r="F28" s="11"/>
      <c r="G28" s="11"/>
      <c r="H28" s="11"/>
    </row>
    <row r="29" spans="2:21" x14ac:dyDescent="0.3">
      <c r="B29" s="26" t="s">
        <v>91</v>
      </c>
      <c r="C29" s="11"/>
      <c r="D29" s="11"/>
      <c r="E29" s="11"/>
      <c r="F29" s="11"/>
      <c r="G29" s="11"/>
    </row>
    <row r="30" spans="2:21" x14ac:dyDescent="0.3">
      <c r="B30" s="23" t="s">
        <v>46</v>
      </c>
      <c r="C30" s="4">
        <v>2016</v>
      </c>
      <c r="D30" s="4">
        <v>2017</v>
      </c>
      <c r="E30" s="4">
        <v>2018</v>
      </c>
      <c r="F30" s="4">
        <v>2019</v>
      </c>
      <c r="G30" s="4">
        <v>2020</v>
      </c>
      <c r="H30" s="4" t="s">
        <v>6</v>
      </c>
    </row>
    <row r="31" spans="2:21" x14ac:dyDescent="0.3">
      <c r="B31" t="s">
        <v>38</v>
      </c>
      <c r="C31" s="6">
        <f>C18+C6</f>
        <v>2.9339093022448743</v>
      </c>
      <c r="D31" s="6">
        <f t="shared" ref="D31:G31" si="5">D18+D6</f>
        <v>16.812352185268718</v>
      </c>
      <c r="E31" s="6">
        <f t="shared" si="5"/>
        <v>9.1997836106586597</v>
      </c>
      <c r="F31" s="6">
        <f t="shared" si="5"/>
        <v>6.5865140198199515E-2</v>
      </c>
      <c r="G31" s="6">
        <f t="shared" si="5"/>
        <v>0</v>
      </c>
      <c r="H31" s="14">
        <f>SUM(C31:G31)</f>
        <v>29.011910238370451</v>
      </c>
    </row>
    <row r="32" spans="2:21" x14ac:dyDescent="0.3">
      <c r="B32" t="s">
        <v>39</v>
      </c>
      <c r="C32" s="6">
        <f t="shared" ref="C32:G32" si="6">C19+C7</f>
        <v>1.9498488843578228</v>
      </c>
      <c r="D32" s="6">
        <f t="shared" si="6"/>
        <v>29.569300784759228</v>
      </c>
      <c r="E32" s="6">
        <f t="shared" si="6"/>
        <v>18.786768631334358</v>
      </c>
      <c r="F32" s="6">
        <f t="shared" si="6"/>
        <v>0</v>
      </c>
      <c r="G32" s="6">
        <f t="shared" si="6"/>
        <v>0</v>
      </c>
      <c r="H32" s="14">
        <f t="shared" ref="H32:H37" si="7">SUM(C32:G32)</f>
        <v>50.30591830045141</v>
      </c>
    </row>
    <row r="33" spans="2:15" x14ac:dyDescent="0.3">
      <c r="B33" t="s">
        <v>40</v>
      </c>
      <c r="C33" s="6">
        <f t="shared" ref="C33:G33" si="8">C20+C8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14">
        <f t="shared" si="7"/>
        <v>0</v>
      </c>
    </row>
    <row r="34" spans="2:15" x14ac:dyDescent="0.3">
      <c r="B34" t="s">
        <v>41</v>
      </c>
      <c r="C34" s="6">
        <f t="shared" ref="C34:G34" si="9">C21+C9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14">
        <f t="shared" si="7"/>
        <v>0</v>
      </c>
    </row>
    <row r="35" spans="2:15" x14ac:dyDescent="0.3">
      <c r="B35" t="s">
        <v>42</v>
      </c>
      <c r="C35" s="6">
        <f t="shared" ref="C35:G35" si="10">C22+C10</f>
        <v>2.117208661689701</v>
      </c>
      <c r="D35" s="6">
        <f t="shared" si="10"/>
        <v>13.800605925557274</v>
      </c>
      <c r="E35" s="6">
        <f t="shared" si="10"/>
        <v>10.923367854884226</v>
      </c>
      <c r="F35" s="6">
        <f t="shared" si="10"/>
        <v>5.2742967399893127E-2</v>
      </c>
      <c r="G35" s="6">
        <f t="shared" si="10"/>
        <v>0</v>
      </c>
      <c r="H35" s="14">
        <f t="shared" si="7"/>
        <v>26.893925409531096</v>
      </c>
    </row>
    <row r="36" spans="2:15" x14ac:dyDescent="0.3">
      <c r="B36" t="s">
        <v>43</v>
      </c>
      <c r="C36" s="6">
        <f t="shared" ref="C36:G36" si="11">C23+C11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14">
        <f t="shared" si="7"/>
        <v>0</v>
      </c>
      <c r="K36" s="19"/>
      <c r="L36" s="19"/>
      <c r="M36" s="19"/>
      <c r="N36" s="19"/>
      <c r="O36" s="19"/>
    </row>
    <row r="37" spans="2:15" x14ac:dyDescent="0.3">
      <c r="B37" t="s">
        <v>44</v>
      </c>
      <c r="C37" s="6">
        <f t="shared" ref="C37:G38" si="12">C24+C12</f>
        <v>0</v>
      </c>
      <c r="D37" s="6">
        <f t="shared" si="12"/>
        <v>0.22250988888888887</v>
      </c>
      <c r="E37" s="6">
        <f t="shared" si="12"/>
        <v>0.3659086666666666</v>
      </c>
      <c r="F37" s="6">
        <f t="shared" si="12"/>
        <v>0</v>
      </c>
      <c r="G37" s="6">
        <f t="shared" si="12"/>
        <v>0</v>
      </c>
      <c r="H37" s="14">
        <f t="shared" si="7"/>
        <v>0.58841855555555544</v>
      </c>
    </row>
    <row r="38" spans="2:15" x14ac:dyDescent="0.3">
      <c r="B38" t="s">
        <v>291</v>
      </c>
      <c r="C38" s="6">
        <f t="shared" si="12"/>
        <v>0</v>
      </c>
      <c r="D38" s="6">
        <f t="shared" si="12"/>
        <v>4.019244226571958E-2</v>
      </c>
      <c r="E38" s="6">
        <f t="shared" si="12"/>
        <v>0</v>
      </c>
      <c r="F38" s="6">
        <f t="shared" si="12"/>
        <v>0</v>
      </c>
      <c r="G38" s="6">
        <f t="shared" si="12"/>
        <v>0</v>
      </c>
      <c r="H38" s="14">
        <f t="shared" ref="H38" si="13">SUM(C38:G38)</f>
        <v>4.019244226571958E-2</v>
      </c>
    </row>
    <row r="39" spans="2:15" x14ac:dyDescent="0.3">
      <c r="B39" s="26" t="s">
        <v>201</v>
      </c>
      <c r="C39" s="133">
        <f>SUM(C31:C38)</f>
        <v>7.0009668482923981</v>
      </c>
      <c r="D39" s="133">
        <f t="shared" ref="D39:H39" si="14">SUM(D31:D38)</f>
        <v>60.444961226739828</v>
      </c>
      <c r="E39" s="133">
        <f t="shared" si="14"/>
        <v>39.275828763543913</v>
      </c>
      <c r="F39" s="133">
        <f t="shared" si="14"/>
        <v>0.11860810759809265</v>
      </c>
      <c r="G39" s="133">
        <f t="shared" si="14"/>
        <v>0</v>
      </c>
      <c r="H39" s="133">
        <f t="shared" si="14"/>
        <v>106.84036494617422</v>
      </c>
      <c r="I39" s="5"/>
    </row>
    <row r="40" spans="2:15" x14ac:dyDescent="0.3">
      <c r="B40" s="41" t="s">
        <v>83</v>
      </c>
      <c r="C40" s="216">
        <f>C39-'Capex by Purpose'!C43/Thousands</f>
        <v>0</v>
      </c>
      <c r="D40" s="216">
        <f>D39-'Capex by Purpose'!D43/Thousands</f>
        <v>0</v>
      </c>
      <c r="E40" s="216">
        <f>E39-'Capex by Purpose'!E43/Thousands</f>
        <v>0</v>
      </c>
      <c r="F40" s="216">
        <f>F39-'Capex by Purpose'!F43/Thousands</f>
        <v>0</v>
      </c>
      <c r="G40" s="216">
        <f>G39-'Capex by Purpose'!G43/Thousands</f>
        <v>0</v>
      </c>
      <c r="H40" s="216">
        <f>H39-'Capex by Purpose'!H43/Thousands</f>
        <v>0</v>
      </c>
      <c r="I40" s="5"/>
    </row>
    <row r="42" spans="2:15" x14ac:dyDescent="0.3">
      <c r="B42" s="26" t="s">
        <v>202</v>
      </c>
      <c r="C42" s="4">
        <v>2016</v>
      </c>
      <c r="D42" s="4">
        <v>2017</v>
      </c>
      <c r="E42" s="4">
        <v>2018</v>
      </c>
      <c r="F42" s="4">
        <v>2019</v>
      </c>
      <c r="G42" s="4">
        <v>2020</v>
      </c>
      <c r="H42" s="4" t="s">
        <v>6</v>
      </c>
    </row>
    <row r="43" spans="2:15" x14ac:dyDescent="0.3">
      <c r="B43" t="s">
        <v>38</v>
      </c>
      <c r="C43" s="6">
        <v>45.968112685057264</v>
      </c>
      <c r="D43" s="6">
        <v>49.998040007557236</v>
      </c>
      <c r="E43" s="6">
        <v>46.062607374835302</v>
      </c>
      <c r="F43" s="6">
        <v>47.912764965723284</v>
      </c>
      <c r="G43" s="6">
        <v>43.844469431304645</v>
      </c>
      <c r="H43" s="14">
        <f t="shared" ref="H43:H50" si="15">SUM(C43:G43)</f>
        <v>233.78599446447774</v>
      </c>
    </row>
    <row r="44" spans="2:15" x14ac:dyDescent="0.3">
      <c r="B44" t="s">
        <v>39</v>
      </c>
      <c r="C44" s="6">
        <v>256.55716088377756</v>
      </c>
      <c r="D44" s="6">
        <v>270.75483690142318</v>
      </c>
      <c r="E44" s="6">
        <v>264.42631551996362</v>
      </c>
      <c r="F44" s="6">
        <v>255.73958661541312</v>
      </c>
      <c r="G44" s="6">
        <v>251.03690587651178</v>
      </c>
      <c r="H44" s="14">
        <f t="shared" si="15"/>
        <v>1298.5148057970891</v>
      </c>
    </row>
    <row r="45" spans="2:15" x14ac:dyDescent="0.3">
      <c r="B45" t="s">
        <v>40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4">
        <f t="shared" si="15"/>
        <v>0</v>
      </c>
    </row>
    <row r="46" spans="2:15" x14ac:dyDescent="0.3">
      <c r="B46" t="s">
        <v>41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4">
        <f t="shared" si="15"/>
        <v>0</v>
      </c>
    </row>
    <row r="47" spans="2:15" x14ac:dyDescent="0.3">
      <c r="B47" t="s">
        <v>42</v>
      </c>
      <c r="C47" s="6">
        <v>7.0676186105918548</v>
      </c>
      <c r="D47" s="6">
        <v>6.8506149133021621</v>
      </c>
      <c r="E47" s="6">
        <v>4.7431185929478659</v>
      </c>
      <c r="F47" s="6">
        <v>4.6570258549617485</v>
      </c>
      <c r="G47" s="6">
        <v>4.1606481079976545</v>
      </c>
      <c r="H47" s="14">
        <f t="shared" si="15"/>
        <v>27.479026079801287</v>
      </c>
    </row>
    <row r="48" spans="2:15" x14ac:dyDescent="0.3">
      <c r="B48" t="s">
        <v>43</v>
      </c>
      <c r="C48" s="6">
        <v>40.644500479653068</v>
      </c>
      <c r="D48" s="6">
        <v>54.13655604531742</v>
      </c>
      <c r="E48" s="6">
        <v>35.7467063849152</v>
      </c>
      <c r="F48" s="6">
        <v>40.356299247444582</v>
      </c>
      <c r="G48" s="6">
        <v>33.052518502325313</v>
      </c>
      <c r="H48" s="14">
        <f t="shared" si="15"/>
        <v>203.93658065965559</v>
      </c>
    </row>
    <row r="49" spans="2:9" x14ac:dyDescent="0.3">
      <c r="B49" t="s">
        <v>44</v>
      </c>
      <c r="C49" s="6">
        <v>5.2783165798982452</v>
      </c>
      <c r="D49" s="6">
        <v>5.8246195089499144</v>
      </c>
      <c r="E49" s="6">
        <v>6.0952506966100906</v>
      </c>
      <c r="F49" s="6">
        <v>8.1426519201259122</v>
      </c>
      <c r="G49" s="6">
        <v>7.7626562515413751</v>
      </c>
      <c r="H49" s="14">
        <f t="shared" si="15"/>
        <v>33.103494957125534</v>
      </c>
    </row>
    <row r="50" spans="2:9" x14ac:dyDescent="0.3">
      <c r="B50" t="s">
        <v>291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14">
        <f t="shared" si="15"/>
        <v>0</v>
      </c>
    </row>
    <row r="51" spans="2:9" x14ac:dyDescent="0.3">
      <c r="B51" s="26" t="s">
        <v>205</v>
      </c>
      <c r="C51" s="133">
        <f t="shared" ref="C51:G51" si="16">SUM(C43:C50)</f>
        <v>355.51570923897793</v>
      </c>
      <c r="D51" s="133">
        <f t="shared" si="16"/>
        <v>387.56466737654989</v>
      </c>
      <c r="E51" s="133">
        <f t="shared" si="16"/>
        <v>357.07399856927208</v>
      </c>
      <c r="F51" s="133">
        <f t="shared" si="16"/>
        <v>356.80832860366866</v>
      </c>
      <c r="G51" s="133">
        <f t="shared" si="16"/>
        <v>339.85719816968077</v>
      </c>
      <c r="H51" s="133">
        <f>SUM(H43:H50)</f>
        <v>1796.8199019581493</v>
      </c>
      <c r="I51" s="5"/>
    </row>
    <row r="52" spans="2:9" x14ac:dyDescent="0.3">
      <c r="B52" s="41" t="s">
        <v>82</v>
      </c>
      <c r="C52" s="215">
        <f>C51-'Capex by Purpose'!C11/Thousands</f>
        <v>0</v>
      </c>
      <c r="D52" s="215">
        <f>D51-'Capex by Purpose'!D11/Thousands</f>
        <v>0</v>
      </c>
      <c r="E52" s="215">
        <f>E51-'Capex by Purpose'!E11/Thousands</f>
        <v>0</v>
      </c>
      <c r="F52" s="215">
        <f>F51-'Capex by Purpose'!F11/Thousands</f>
        <v>0</v>
      </c>
      <c r="G52" s="215">
        <f>G51-'Capex by Purpose'!G11/Thousands</f>
        <v>0</v>
      </c>
      <c r="H52" s="215">
        <f>H51-'Capex by Purpose'!H11/Thousands</f>
        <v>0</v>
      </c>
    </row>
    <row r="53" spans="2:9" x14ac:dyDescent="0.3">
      <c r="B53" s="53"/>
    </row>
    <row r="54" spans="2:9" x14ac:dyDescent="0.3">
      <c r="B54" s="26" t="s">
        <v>203</v>
      </c>
      <c r="C54" s="4">
        <v>2016</v>
      </c>
      <c r="D54" s="4">
        <v>2017</v>
      </c>
      <c r="E54" s="4">
        <v>2018</v>
      </c>
      <c r="F54" s="4">
        <v>2019</v>
      </c>
      <c r="G54" s="4">
        <v>2020</v>
      </c>
      <c r="H54" s="4" t="s">
        <v>6</v>
      </c>
    </row>
    <row r="55" spans="2:9" x14ac:dyDescent="0.3">
      <c r="B55" t="s">
        <v>38</v>
      </c>
      <c r="C55" s="32">
        <f>C43+C31</f>
        <v>48.902021987302135</v>
      </c>
      <c r="D55" s="32">
        <f t="shared" ref="D55:G55" si="17">D43+D31</f>
        <v>66.810392192825958</v>
      </c>
      <c r="E55" s="32">
        <f t="shared" si="17"/>
        <v>55.262390985493965</v>
      </c>
      <c r="F55" s="32">
        <f t="shared" si="17"/>
        <v>47.978630105921482</v>
      </c>
      <c r="G55" s="32">
        <f t="shared" si="17"/>
        <v>43.844469431304645</v>
      </c>
      <c r="H55" s="14">
        <f t="shared" ref="H55:H62" si="18">SUM(C55:G55)</f>
        <v>262.7979047028482</v>
      </c>
    </row>
    <row r="56" spans="2:9" x14ac:dyDescent="0.3">
      <c r="B56" t="s">
        <v>39</v>
      </c>
      <c r="C56" s="32">
        <f t="shared" ref="C56:G56" si="19">C44+C32</f>
        <v>258.50700976813539</v>
      </c>
      <c r="D56" s="32">
        <f t="shared" si="19"/>
        <v>300.32413768618238</v>
      </c>
      <c r="E56" s="32">
        <f t="shared" si="19"/>
        <v>283.21308415129801</v>
      </c>
      <c r="F56" s="32">
        <f t="shared" si="19"/>
        <v>255.73958661541312</v>
      </c>
      <c r="G56" s="32">
        <f t="shared" si="19"/>
        <v>251.03690587651178</v>
      </c>
      <c r="H56" s="14">
        <f t="shared" si="18"/>
        <v>1348.8207240975407</v>
      </c>
    </row>
    <row r="57" spans="2:9" x14ac:dyDescent="0.3">
      <c r="B57" t="s">
        <v>40</v>
      </c>
      <c r="C57" s="32">
        <f t="shared" ref="C57:G57" si="20">C45+C33</f>
        <v>0</v>
      </c>
      <c r="D57" s="32">
        <f t="shared" si="20"/>
        <v>0</v>
      </c>
      <c r="E57" s="32">
        <f t="shared" si="20"/>
        <v>0</v>
      </c>
      <c r="F57" s="32">
        <f t="shared" si="20"/>
        <v>0</v>
      </c>
      <c r="G57" s="32">
        <f t="shared" si="20"/>
        <v>0</v>
      </c>
      <c r="H57" s="14">
        <f t="shared" si="18"/>
        <v>0</v>
      </c>
    </row>
    <row r="58" spans="2:9" x14ac:dyDescent="0.3">
      <c r="B58" t="s">
        <v>41</v>
      </c>
      <c r="C58" s="32">
        <f t="shared" ref="C58:G58" si="21">C46+C34</f>
        <v>0</v>
      </c>
      <c r="D58" s="32">
        <f t="shared" si="21"/>
        <v>0</v>
      </c>
      <c r="E58" s="32">
        <f t="shared" si="21"/>
        <v>0</v>
      </c>
      <c r="F58" s="32">
        <f t="shared" si="21"/>
        <v>0</v>
      </c>
      <c r="G58" s="32">
        <f t="shared" si="21"/>
        <v>0</v>
      </c>
      <c r="H58" s="14">
        <f t="shared" si="18"/>
        <v>0</v>
      </c>
    </row>
    <row r="59" spans="2:9" x14ac:dyDescent="0.3">
      <c r="B59" t="s">
        <v>42</v>
      </c>
      <c r="C59" s="32">
        <f t="shared" ref="C59:G59" si="22">C47+C35</f>
        <v>9.1848272722815558</v>
      </c>
      <c r="D59" s="32">
        <f t="shared" si="22"/>
        <v>20.651220838859437</v>
      </c>
      <c r="E59" s="32">
        <f t="shared" si="22"/>
        <v>15.666486447832092</v>
      </c>
      <c r="F59" s="32">
        <f t="shared" si="22"/>
        <v>4.7097688223616414</v>
      </c>
      <c r="G59" s="32">
        <f t="shared" si="22"/>
        <v>4.1606481079976545</v>
      </c>
      <c r="H59" s="14">
        <f t="shared" si="18"/>
        <v>54.372951489332372</v>
      </c>
    </row>
    <row r="60" spans="2:9" x14ac:dyDescent="0.3">
      <c r="B60" t="s">
        <v>43</v>
      </c>
      <c r="C60" s="32">
        <f t="shared" ref="C60:G60" si="23">C48+C36</f>
        <v>40.644500479653068</v>
      </c>
      <c r="D60" s="32">
        <f t="shared" si="23"/>
        <v>54.13655604531742</v>
      </c>
      <c r="E60" s="32">
        <f t="shared" si="23"/>
        <v>35.7467063849152</v>
      </c>
      <c r="F60" s="32">
        <f t="shared" si="23"/>
        <v>40.356299247444582</v>
      </c>
      <c r="G60" s="32">
        <f t="shared" si="23"/>
        <v>33.052518502325313</v>
      </c>
      <c r="H60" s="14">
        <f t="shared" si="18"/>
        <v>203.93658065965559</v>
      </c>
    </row>
    <row r="61" spans="2:9" x14ac:dyDescent="0.3">
      <c r="B61" t="s">
        <v>44</v>
      </c>
      <c r="C61" s="32">
        <f t="shared" ref="C61:G62" si="24">C49+C37</f>
        <v>5.2783165798982452</v>
      </c>
      <c r="D61" s="32">
        <f t="shared" si="24"/>
        <v>6.0471293978388037</v>
      </c>
      <c r="E61" s="32">
        <f t="shared" si="24"/>
        <v>6.4611593632767574</v>
      </c>
      <c r="F61" s="32">
        <f t="shared" si="24"/>
        <v>8.1426519201259122</v>
      </c>
      <c r="G61" s="32">
        <f t="shared" si="24"/>
        <v>7.7626562515413751</v>
      </c>
      <c r="H61" s="14">
        <f t="shared" si="18"/>
        <v>33.69191351268109</v>
      </c>
    </row>
    <row r="62" spans="2:9" x14ac:dyDescent="0.3">
      <c r="B62" t="s">
        <v>291</v>
      </c>
      <c r="C62" s="32">
        <f t="shared" si="24"/>
        <v>0</v>
      </c>
      <c r="D62" s="32">
        <f t="shared" si="24"/>
        <v>4.019244226571958E-2</v>
      </c>
      <c r="E62" s="32">
        <f t="shared" si="24"/>
        <v>0</v>
      </c>
      <c r="F62" s="32">
        <f t="shared" si="24"/>
        <v>0</v>
      </c>
      <c r="G62" s="32">
        <f t="shared" si="24"/>
        <v>0</v>
      </c>
      <c r="H62" s="14">
        <f t="shared" si="18"/>
        <v>4.019244226571958E-2</v>
      </c>
    </row>
    <row r="63" spans="2:9" x14ac:dyDescent="0.3">
      <c r="B63" s="26" t="s">
        <v>204</v>
      </c>
      <c r="C63" s="133">
        <f>SUM(C55:C62)</f>
        <v>362.51667608727041</v>
      </c>
      <c r="D63" s="133">
        <f t="shared" ref="D63:H63" si="25">SUM(D55:D62)</f>
        <v>448.0096286032898</v>
      </c>
      <c r="E63" s="133">
        <f t="shared" si="25"/>
        <v>396.34982733281601</v>
      </c>
      <c r="F63" s="133">
        <f t="shared" si="25"/>
        <v>356.92693671126676</v>
      </c>
      <c r="G63" s="133">
        <f t="shared" si="25"/>
        <v>339.85719816968077</v>
      </c>
      <c r="H63" s="133">
        <f t="shared" si="25"/>
        <v>1903.6602669043236</v>
      </c>
      <c r="I63" s="168">
        <f>H63/H51</f>
        <v>1.059460808971306</v>
      </c>
    </row>
    <row r="64" spans="2:9" x14ac:dyDescent="0.3">
      <c r="B64" s="41" t="s">
        <v>83</v>
      </c>
      <c r="C64" s="215">
        <f>C63-'Capex by Purpose'!C69/Thousands</f>
        <v>0</v>
      </c>
      <c r="D64" s="215">
        <f>D63-'Capex by Purpose'!D69/Thousands</f>
        <v>0</v>
      </c>
      <c r="E64" s="215">
        <f>E63-'Capex by Purpose'!E69/Thousands</f>
        <v>0</v>
      </c>
      <c r="F64" s="215">
        <f>F63-'Capex by Purpose'!F69/Thousands</f>
        <v>0</v>
      </c>
      <c r="G64" s="215">
        <f>G63-'Capex by Purpose'!G69/Thousands</f>
        <v>0</v>
      </c>
      <c r="H64" s="215">
        <f>H63-'Capex by Purpose'!H69/Thousands</f>
        <v>0</v>
      </c>
    </row>
  </sheetData>
  <pageMargins left="0.7" right="0.7" top="0.75" bottom="0.75" header="0.3" footer="0.3"/>
  <pageSetup paperSize="9" orientation="portrait" verticalDpi="0" r:id="rId1"/>
  <ignoredErrors>
    <ignoredError sqref="C51:G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Contents</vt:lpstr>
      <vt:lpstr>Escalators</vt:lpstr>
      <vt:lpstr>Opex Inputs</vt:lpstr>
      <vt:lpstr>Direct $ Inputs</vt:lpstr>
      <vt:lpstr>Direct $ Composition</vt:lpstr>
      <vt:lpstr>Direct Summary</vt:lpstr>
      <vt:lpstr>Overheads</vt:lpstr>
      <vt:lpstr>Capex by Purpose</vt:lpstr>
      <vt:lpstr>Station Summary</vt:lpstr>
      <vt:lpstr>Other Tables</vt:lpstr>
      <vt:lpstr>PTRM Inputs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cp:lastPrinted>2017-03-28T23:58:45Z</cp:lastPrinted>
  <dcterms:created xsi:type="dcterms:W3CDTF">2017-02-22T23:29:09Z</dcterms:created>
  <dcterms:modified xsi:type="dcterms:W3CDTF">2017-03-31T01:38:48Z</dcterms:modified>
</cp:coreProperties>
</file>