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40" yWindow="30" windowWidth="16155" windowHeight="12795"/>
  </bookViews>
  <sheets>
    <sheet name="ActewAGL revised proposal" sheetId="10" r:id="rId1"/>
    <sheet name="AER draft decision" sheetId="9" r:id="rId2"/>
  </sheets>
  <externalReferences>
    <externalReference r:id="rId3"/>
  </externalReferences>
  <definedNames>
    <definedName name="CRCP_y1">'[1]Business &amp; other details'!$C$38</definedName>
    <definedName name="CRCP_y2">'[1]Business &amp; other details'!$D$38</definedName>
    <definedName name="CRCP_y3">'[1]Business &amp; other details'!$E$38</definedName>
    <definedName name="CRCP_y4">'[1]Business &amp; other details'!$F$38</definedName>
    <definedName name="CRCP_y5">'[1]Business &amp; other details'!$G$38</definedName>
    <definedName name="dms_DollarReal">'[1]Business &amp; other details'!$C$55</definedName>
    <definedName name="dms_DollarRealPrev_y5">'[1]Business &amp; other details'!$C$56</definedName>
    <definedName name="dms_EBSS_status">'[1]Business &amp; other details'!$C$58</definedName>
    <definedName name="dms_TradingName">'[1]Business &amp; other details'!$C$14</definedName>
    <definedName name="FRCP">'[1]Business &amp; other details'!$C$35:$G$35</definedName>
    <definedName name="FRCP_y1">'[1]Business &amp; other details'!$C$35</definedName>
    <definedName name="FRCP_y5">'[1]Business &amp; other details'!$G$35</definedName>
    <definedName name="PRCP_y4">'[1]Business &amp; other details'!$F$41</definedName>
    <definedName name="PRCP_y5">'[1]Business &amp; other details'!$G$41</definedName>
  </definedNames>
  <calcPr calcId="145621" concurrentCalc="0"/>
</workbook>
</file>

<file path=xl/calcChain.xml><?xml version="1.0" encoding="utf-8"?>
<calcChain xmlns="http://schemas.openxmlformats.org/spreadsheetml/2006/main">
  <c r="S20" i="10" l="1"/>
  <c r="R52" i="10"/>
  <c r="R46" i="10"/>
  <c r="R48" i="10"/>
  <c r="R49" i="10"/>
  <c r="R50" i="10"/>
  <c r="R51" i="10"/>
  <c r="R53" i="10"/>
  <c r="R54" i="10"/>
  <c r="R55" i="10"/>
  <c r="R56" i="10"/>
  <c r="R57" i="10"/>
  <c r="R20" i="10"/>
  <c r="Q20" i="10"/>
  <c r="P20" i="10"/>
  <c r="O20" i="10"/>
  <c r="N20" i="10"/>
  <c r="R29" i="10"/>
  <c r="R31" i="10"/>
  <c r="R32" i="10"/>
  <c r="R33" i="10"/>
  <c r="R34" i="10"/>
  <c r="R35" i="10"/>
  <c r="R36" i="10"/>
  <c r="R37" i="10"/>
  <c r="R38" i="10"/>
  <c r="R39" i="10"/>
  <c r="Q29" i="10"/>
  <c r="Q31" i="10"/>
  <c r="Q32" i="10"/>
  <c r="Q33" i="10"/>
  <c r="Q34" i="10"/>
  <c r="Q35" i="10"/>
  <c r="Q36" i="10"/>
  <c r="Q37" i="10"/>
  <c r="Q38" i="10"/>
  <c r="Q39" i="10"/>
  <c r="Q46" i="10"/>
  <c r="Q48" i="10"/>
  <c r="Q49" i="10"/>
  <c r="Q50" i="10"/>
  <c r="Q51" i="10"/>
  <c r="Q52" i="10"/>
  <c r="Q53" i="10"/>
  <c r="Q54" i="10"/>
  <c r="Q55" i="10"/>
  <c r="Q56" i="10"/>
  <c r="Q57" i="10"/>
  <c r="R61" i="10"/>
  <c r="T69" i="10"/>
  <c r="O29" i="10"/>
  <c r="O31" i="10"/>
  <c r="O32" i="10"/>
  <c r="O33" i="10"/>
  <c r="O34" i="10"/>
  <c r="O35" i="10"/>
  <c r="O36" i="10"/>
  <c r="O37" i="10"/>
  <c r="O38" i="10"/>
  <c r="O39" i="10"/>
  <c r="O46" i="10"/>
  <c r="O48" i="10"/>
  <c r="O49" i="10"/>
  <c r="O50" i="10"/>
  <c r="O51" i="10"/>
  <c r="O52" i="10"/>
  <c r="O53" i="10"/>
  <c r="O54" i="10"/>
  <c r="O55" i="10"/>
  <c r="O56" i="10"/>
  <c r="O57" i="10"/>
  <c r="N29" i="10"/>
  <c r="N31" i="10"/>
  <c r="N32" i="10"/>
  <c r="N33" i="10"/>
  <c r="N34" i="10"/>
  <c r="N35" i="10"/>
  <c r="N36" i="10"/>
  <c r="N37" i="10"/>
  <c r="N38" i="10"/>
  <c r="N39" i="10"/>
  <c r="N46" i="10"/>
  <c r="N48" i="10"/>
  <c r="N49" i="10"/>
  <c r="N50" i="10"/>
  <c r="N51" i="10"/>
  <c r="N52" i="10"/>
  <c r="N53" i="10"/>
  <c r="N54" i="10"/>
  <c r="N55" i="10"/>
  <c r="N56" i="10"/>
  <c r="N57" i="10"/>
  <c r="O61" i="10"/>
  <c r="T66" i="10"/>
  <c r="P29" i="10"/>
  <c r="P31" i="10"/>
  <c r="P32" i="10"/>
  <c r="P33" i="10"/>
  <c r="P34" i="10"/>
  <c r="P35" i="10"/>
  <c r="P36" i="10"/>
  <c r="P37" i="10"/>
  <c r="P38" i="10"/>
  <c r="P39" i="10"/>
  <c r="P46" i="10"/>
  <c r="P48" i="10"/>
  <c r="P49" i="10"/>
  <c r="P50" i="10"/>
  <c r="P51" i="10"/>
  <c r="P52" i="10"/>
  <c r="P53" i="10"/>
  <c r="P54" i="10"/>
  <c r="P55" i="10"/>
  <c r="P56" i="10"/>
  <c r="P57" i="10"/>
  <c r="P61" i="10"/>
  <c r="T67" i="10"/>
  <c r="Q61" i="10"/>
  <c r="T68" i="10"/>
  <c r="T71" i="10"/>
  <c r="T73" i="10"/>
  <c r="T74" i="10"/>
  <c r="U69" i="10"/>
  <c r="U67" i="10"/>
  <c r="U68" i="10"/>
  <c r="U71" i="10"/>
  <c r="U73" i="10"/>
  <c r="U74" i="10"/>
  <c r="V69" i="10"/>
  <c r="V68" i="10"/>
  <c r="V71" i="10"/>
  <c r="V73" i="10"/>
  <c r="V74" i="10"/>
  <c r="W69" i="10"/>
  <c r="W71" i="10"/>
  <c r="W73" i="10"/>
  <c r="W74" i="10"/>
  <c r="S69" i="10"/>
  <c r="N61" i="10"/>
  <c r="S65" i="10"/>
  <c r="S66" i="10"/>
  <c r="S67" i="10"/>
  <c r="S68" i="10"/>
  <c r="S71" i="10"/>
  <c r="S73" i="10"/>
  <c r="S74" i="10"/>
  <c r="J57" i="10"/>
  <c r="S19" i="10"/>
  <c r="R19" i="10"/>
  <c r="Q19" i="10"/>
  <c r="P19" i="10"/>
  <c r="O19" i="10"/>
  <c r="F55" i="10"/>
  <c r="G55" i="10"/>
  <c r="H55" i="10"/>
  <c r="I55" i="10"/>
  <c r="Y73" i="10"/>
  <c r="Y74" i="10"/>
  <c r="X71" i="10"/>
  <c r="X73" i="10"/>
  <c r="X74" i="10"/>
  <c r="Y71" i="10"/>
  <c r="L69" i="10"/>
  <c r="R68" i="10"/>
  <c r="L68" i="10"/>
  <c r="R67" i="10"/>
  <c r="Q67" i="10"/>
  <c r="L67" i="10"/>
  <c r="R66" i="10"/>
  <c r="Q66" i="10"/>
  <c r="P66" i="10"/>
  <c r="L66" i="10"/>
  <c r="R65" i="10"/>
  <c r="Q65" i="10"/>
  <c r="P65" i="10"/>
  <c r="O65" i="10"/>
  <c r="L65" i="10"/>
  <c r="O64" i="10"/>
  <c r="L60" i="10"/>
  <c r="I57" i="10"/>
  <c r="H57" i="10"/>
  <c r="G57" i="10"/>
  <c r="F57" i="10"/>
  <c r="C52" i="10"/>
  <c r="C51" i="10"/>
  <c r="C50" i="10"/>
  <c r="C49" i="10"/>
  <c r="C48" i="10"/>
  <c r="R45" i="10"/>
  <c r="Q45" i="10"/>
  <c r="P45" i="10"/>
  <c r="O45" i="10"/>
  <c r="N45" i="10"/>
  <c r="M45" i="10"/>
  <c r="L45" i="10"/>
  <c r="J45" i="10"/>
  <c r="I45" i="10"/>
  <c r="H45" i="10"/>
  <c r="G45" i="10"/>
  <c r="F45" i="10"/>
  <c r="E45" i="10"/>
  <c r="D45" i="10"/>
  <c r="N44" i="10"/>
  <c r="L44" i="10"/>
  <c r="J39" i="10"/>
  <c r="I39" i="10"/>
  <c r="H39" i="10"/>
  <c r="G39" i="10"/>
  <c r="F39" i="10"/>
  <c r="S28" i="10" a="1"/>
  <c r="S28" i="10"/>
  <c r="T28" i="10"/>
  <c r="U28" i="10"/>
  <c r="V28" i="10"/>
  <c r="W28" i="10"/>
  <c r="R28" i="10"/>
  <c r="Q28" i="10"/>
  <c r="P28" i="10"/>
  <c r="O28" i="10"/>
  <c r="N28" i="10"/>
  <c r="M28" i="10"/>
  <c r="L28" i="10"/>
  <c r="J28" i="10"/>
  <c r="I28" i="10"/>
  <c r="H28" i="10"/>
  <c r="G28" i="10"/>
  <c r="F28" i="10"/>
  <c r="E28" i="10"/>
  <c r="D28" i="10"/>
  <c r="N27" i="10"/>
  <c r="L27" i="10"/>
  <c r="F27" i="10"/>
  <c r="D27" i="10"/>
  <c r="C23" i="10"/>
  <c r="K20" i="10"/>
  <c r="I20" i="10"/>
  <c r="H20" i="10"/>
  <c r="G20" i="10"/>
  <c r="N19" i="10"/>
  <c r="G19" i="10"/>
  <c r="F19" i="10"/>
  <c r="E19" i="10"/>
  <c r="D19" i="10"/>
  <c r="S18" i="10"/>
  <c r="R18" i="10"/>
  <c r="Q18" i="10"/>
  <c r="P18" i="10"/>
  <c r="O18" i="10"/>
  <c r="N18" i="10"/>
  <c r="I18" i="10"/>
  <c r="H18" i="10"/>
  <c r="G18" i="10"/>
  <c r="F18" i="10"/>
  <c r="E18" i="10"/>
  <c r="D18" i="10"/>
  <c r="C3" i="10"/>
  <c r="C2" i="10"/>
  <c r="C3" i="9"/>
  <c r="C23" i="9"/>
  <c r="J57" i="9"/>
  <c r="X71" i="9"/>
  <c r="X73" i="9"/>
  <c r="L69" i="9"/>
  <c r="L68" i="9"/>
  <c r="L67" i="9"/>
  <c r="L66" i="9"/>
  <c r="L65" i="9"/>
  <c r="O64" i="9"/>
  <c r="L60" i="9"/>
  <c r="J55" i="9"/>
  <c r="I55" i="9"/>
  <c r="I57" i="9"/>
  <c r="H55" i="9"/>
  <c r="H57" i="9"/>
  <c r="G55" i="9"/>
  <c r="F55" i="9"/>
  <c r="F57" i="9"/>
  <c r="J52" i="9"/>
  <c r="C52" i="9"/>
  <c r="C51" i="9"/>
  <c r="C50" i="9"/>
  <c r="C49" i="9"/>
  <c r="C48" i="9"/>
  <c r="R45" i="9"/>
  <c r="Q45" i="9"/>
  <c r="P45" i="9"/>
  <c r="O45" i="9"/>
  <c r="N45" i="9"/>
  <c r="M45" i="9"/>
  <c r="L45" i="9"/>
  <c r="J45" i="9"/>
  <c r="I45" i="9"/>
  <c r="H45" i="9"/>
  <c r="G45" i="9"/>
  <c r="F45" i="9"/>
  <c r="E45" i="9"/>
  <c r="D45" i="9"/>
  <c r="N44" i="9"/>
  <c r="L44" i="9"/>
  <c r="J39" i="9"/>
  <c r="I39" i="9"/>
  <c r="H39" i="9"/>
  <c r="G39" i="9"/>
  <c r="F39" i="9"/>
  <c r="S28" i="9" a="1"/>
  <c r="W28" i="9"/>
  <c r="R28" i="9"/>
  <c r="Q28" i="9"/>
  <c r="P28" i="9"/>
  <c r="O28" i="9"/>
  <c r="N28" i="9"/>
  <c r="M28" i="9"/>
  <c r="L28" i="9"/>
  <c r="J28" i="9"/>
  <c r="I28" i="9"/>
  <c r="H28" i="9"/>
  <c r="G28" i="9"/>
  <c r="F28" i="9"/>
  <c r="E28" i="9"/>
  <c r="D28" i="9"/>
  <c r="N27" i="9"/>
  <c r="L27" i="9"/>
  <c r="F27" i="9"/>
  <c r="D27" i="9"/>
  <c r="S20" i="9"/>
  <c r="K20" i="9"/>
  <c r="S19" i="9"/>
  <c r="R19" i="9"/>
  <c r="Q19" i="9"/>
  <c r="P19" i="9"/>
  <c r="O19" i="9"/>
  <c r="N19" i="9"/>
  <c r="S18" i="9"/>
  <c r="R18" i="9"/>
  <c r="Q18" i="9"/>
  <c r="P18" i="9"/>
  <c r="O18" i="9"/>
  <c r="N18" i="9"/>
  <c r="I20" i="9"/>
  <c r="H20" i="9"/>
  <c r="G20" i="9"/>
  <c r="G19" i="9"/>
  <c r="F19" i="9"/>
  <c r="E19" i="9"/>
  <c r="D19" i="9"/>
  <c r="I18" i="9"/>
  <c r="H18" i="9"/>
  <c r="G18" i="9"/>
  <c r="F18" i="9"/>
  <c r="E18" i="9"/>
  <c r="D18" i="9"/>
  <c r="C2" i="9"/>
  <c r="R55" i="9"/>
  <c r="R56" i="9"/>
  <c r="R53" i="9"/>
  <c r="R51" i="9"/>
  <c r="R50" i="9"/>
  <c r="R49" i="9"/>
  <c r="R48" i="9"/>
  <c r="T28" i="9"/>
  <c r="V28" i="9"/>
  <c r="R52" i="9"/>
  <c r="R20" i="9"/>
  <c r="S28" i="9"/>
  <c r="U28" i="9"/>
  <c r="R54" i="9"/>
  <c r="G57" i="9"/>
  <c r="X74" i="9"/>
  <c r="R57" i="9"/>
  <c r="Q56" i="9"/>
  <c r="Q54" i="9"/>
  <c r="Q52" i="9"/>
  <c r="Q46" i="9"/>
  <c r="Q51" i="9"/>
  <c r="Q49" i="9"/>
  <c r="Q53" i="9"/>
  <c r="Q50" i="9"/>
  <c r="Q48" i="9"/>
  <c r="Q20" i="9"/>
  <c r="Q55" i="9"/>
  <c r="P55" i="9"/>
  <c r="P56" i="9"/>
  <c r="P53" i="9"/>
  <c r="P51" i="9"/>
  <c r="P50" i="9"/>
  <c r="P49" i="9"/>
  <c r="P48" i="9"/>
  <c r="P52" i="9"/>
  <c r="P46" i="9"/>
  <c r="P20" i="9"/>
  <c r="P54" i="9"/>
  <c r="Q57" i="9"/>
  <c r="O56" i="9"/>
  <c r="O54" i="9"/>
  <c r="O52" i="9"/>
  <c r="O46" i="9"/>
  <c r="O53" i="9"/>
  <c r="O50" i="9"/>
  <c r="O48" i="9"/>
  <c r="O51" i="9"/>
  <c r="O49" i="9"/>
  <c r="O20" i="9"/>
  <c r="O55" i="9"/>
  <c r="P57" i="9"/>
  <c r="N55" i="9"/>
  <c r="N56" i="9"/>
  <c r="N53" i="9"/>
  <c r="N51" i="9"/>
  <c r="N50" i="9"/>
  <c r="N49" i="9"/>
  <c r="N48" i="9"/>
  <c r="N54" i="9"/>
  <c r="N20" i="9"/>
  <c r="N52" i="9"/>
  <c r="N46" i="9"/>
  <c r="O57" i="9"/>
  <c r="R33" i="9"/>
  <c r="R35" i="9"/>
  <c r="R37" i="9"/>
  <c r="Q32" i="9"/>
  <c r="Q34" i="9"/>
  <c r="Q36" i="9"/>
  <c r="Q38" i="9"/>
  <c r="Q31" i="9"/>
  <c r="P33" i="9"/>
  <c r="P35" i="9"/>
  <c r="P37" i="9"/>
  <c r="P31" i="9"/>
  <c r="Q29" i="9"/>
  <c r="O32" i="9"/>
  <c r="O34" i="9"/>
  <c r="O36" i="9"/>
  <c r="O38" i="9"/>
  <c r="O29" i="9"/>
  <c r="N33" i="9"/>
  <c r="N35" i="9"/>
  <c r="N37" i="9"/>
  <c r="N31" i="9"/>
  <c r="R32" i="9"/>
  <c r="R34" i="9"/>
  <c r="R36" i="9"/>
  <c r="R38" i="9"/>
  <c r="Q33" i="9"/>
  <c r="Q35" i="9"/>
  <c r="Q37" i="9"/>
  <c r="R31" i="9"/>
  <c r="P32" i="9"/>
  <c r="P34" i="9"/>
  <c r="P36" i="9"/>
  <c r="P38" i="9"/>
  <c r="R29" i="9"/>
  <c r="P29" i="9"/>
  <c r="O33" i="9"/>
  <c r="O35" i="9"/>
  <c r="O37" i="9"/>
  <c r="O31" i="9"/>
  <c r="N32" i="9"/>
  <c r="N34" i="9"/>
  <c r="N36" i="9"/>
  <c r="N38" i="9"/>
  <c r="N29" i="9"/>
  <c r="N57" i="9"/>
  <c r="N39" i="9"/>
  <c r="N61" i="9"/>
  <c r="O65" i="9"/>
  <c r="R39" i="9"/>
  <c r="P39" i="9"/>
  <c r="O39" i="9"/>
  <c r="Q39" i="9"/>
  <c r="R65" i="9"/>
  <c r="P65" i="9"/>
  <c r="Q65" i="9"/>
  <c r="S65" i="9"/>
  <c r="R61" i="9"/>
  <c r="U69" i="9"/>
  <c r="O61" i="9"/>
  <c r="P61" i="9"/>
  <c r="S67" i="9"/>
  <c r="Q61" i="9"/>
  <c r="T69" i="9"/>
  <c r="R67" i="9"/>
  <c r="W69" i="9"/>
  <c r="W71" i="9"/>
  <c r="W73" i="9"/>
  <c r="W74" i="9"/>
  <c r="V69" i="9"/>
  <c r="S69" i="9"/>
  <c r="U67" i="9"/>
  <c r="T67" i="9"/>
  <c r="Q67" i="9"/>
  <c r="R66" i="9"/>
  <c r="Q66" i="9"/>
  <c r="T66" i="9"/>
  <c r="P66" i="9"/>
  <c r="S66" i="9"/>
  <c r="T68" i="9"/>
  <c r="U68" i="9"/>
  <c r="V68" i="9"/>
  <c r="V71" i="9"/>
  <c r="V73" i="9"/>
  <c r="V74" i="9"/>
  <c r="R68" i="9"/>
  <c r="S68" i="9"/>
  <c r="S71" i="9"/>
  <c r="S73" i="9"/>
  <c r="T71" i="9"/>
  <c r="T73" i="9"/>
  <c r="T74" i="9"/>
  <c r="U71" i="9"/>
  <c r="U73" i="9"/>
  <c r="U74" i="9"/>
  <c r="Y71" i="9"/>
  <c r="S74" i="9"/>
  <c r="Y73" i="9"/>
  <c r="Y74" i="9"/>
</calcChain>
</file>

<file path=xl/comments1.xml><?xml version="1.0" encoding="utf-8"?>
<comments xmlns="http://schemas.openxmlformats.org/spreadsheetml/2006/main">
  <authors>
    <author>Gillian Symmans</author>
  </authors>
  <commentList>
    <comment ref="J53" authorId="0">
      <text>
        <r>
          <rPr>
            <b/>
            <sz val="9"/>
            <color indexed="81"/>
            <rFont val="Tahoma"/>
            <family val="2"/>
          </rPr>
          <t>ActewAGL Distribution:</t>
        </r>
        <r>
          <rPr>
            <sz val="9"/>
            <color indexed="81"/>
            <rFont val="Tahoma"/>
            <family val="2"/>
          </rPr>
          <t xml:space="preserve">
$921,433 removed due to these costs being returned to customers through a subsequent pass through claim (carbon price change)</t>
        </r>
      </text>
    </comment>
  </commentList>
</comments>
</file>

<file path=xl/sharedStrings.xml><?xml version="1.0" encoding="utf-8"?>
<sst xmlns="http://schemas.openxmlformats.org/spreadsheetml/2006/main" count="174" uniqueCount="74">
  <si>
    <t>REGULATORY REPORTING STATEMENT</t>
  </si>
  <si>
    <t>Instructions</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</si>
  <si>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</si>
  <si>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</si>
  <si>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</si>
  <si>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</si>
  <si>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Actual and estimated inflation</t>
  </si>
  <si>
    <t>Actual</t>
  </si>
  <si>
    <t>Estimate</t>
  </si>
  <si>
    <t>2015-16</t>
  </si>
  <si>
    <t>ABS CPI index - sum of four quarters to December (old base), one year lagged</t>
  </si>
  <si>
    <t>ABS CPI index - sum of four quarters to December (rebased index in Sep 2012), one year lagged</t>
  </si>
  <si>
    <t>Previous period</t>
  </si>
  <si>
    <t>Current regulatory control period</t>
  </si>
  <si>
    <t>Forthcoming regulatory control period</t>
  </si>
  <si>
    <t>ED_EBS7511_00001</t>
  </si>
  <si>
    <t>Total opex allowance</t>
  </si>
  <si>
    <t xml:space="preserve">Less approved excludable expenditure </t>
  </si>
  <si>
    <t>ED_EBS7511_00002</t>
  </si>
  <si>
    <t>Debt raising expenditure</t>
  </si>
  <si>
    <t>ED_EBS7511_00003</t>
  </si>
  <si>
    <t>Self insurance</t>
  </si>
  <si>
    <t>ED_EBS7511_00004</t>
  </si>
  <si>
    <t>Insurance</t>
  </si>
  <si>
    <t>ED_EBS7511_00005</t>
  </si>
  <si>
    <t>Superannuation</t>
  </si>
  <si>
    <t>ED_EBS7511_00006</t>
  </si>
  <si>
    <t>Non controllable expenditure (re: part 6)</t>
  </si>
  <si>
    <t>ED_EBS7511_00007</t>
  </si>
  <si>
    <t>Capitalisation policy changes</t>
  </si>
  <si>
    <t>ED_EBS7511_00008</t>
  </si>
  <si>
    <t>Adjustment due to changes in scope</t>
  </si>
  <si>
    <t>ED_EBS7511_00009</t>
  </si>
  <si>
    <t>Adjustment due to changes in number of connections</t>
  </si>
  <si>
    <t>$m, Actual</t>
  </si>
  <si>
    <t>ED_EBS7512_0001</t>
  </si>
  <si>
    <t xml:space="preserve">Total actual opex </t>
  </si>
  <si>
    <t xml:space="preserve">Approved excludable expenditure - actual </t>
  </si>
  <si>
    <t>ED_EBS7512_0002</t>
  </si>
  <si>
    <t>ED_EBS7512_0003</t>
  </si>
  <si>
    <t>ED_EBS7512_0004</t>
  </si>
  <si>
    <t>ED_EBS7512_0005</t>
  </si>
  <si>
    <t>ED_EBS7512_0006</t>
  </si>
  <si>
    <t>ED_EBS7512_0007</t>
  </si>
  <si>
    <t>Opex associated with approved cost pass through</t>
  </si>
  <si>
    <t>ED_EBS7512_0008</t>
  </si>
  <si>
    <t>ED_EBS7512_0009</t>
  </si>
  <si>
    <t>Movements in provisions related to opex</t>
  </si>
  <si>
    <t>ED_EBS7512_0010</t>
  </si>
  <si>
    <t>Other adjustments or exclusions required by the EBSS</t>
  </si>
  <si>
    <t>ED_EBS7512_0012</t>
  </si>
  <si>
    <t>Carryover</t>
  </si>
  <si>
    <t xml:space="preserve">Total </t>
  </si>
  <si>
    <t>ED_EBS7512_0013</t>
  </si>
  <si>
    <t>ED_EBS7512_0014</t>
  </si>
  <si>
    <t>ED_EBS7512_0015</t>
  </si>
  <si>
    <t>ED_EBS7512_0016</t>
  </si>
  <si>
    <t>ED_EBS7512_0017</t>
  </si>
  <si>
    <t xml:space="preserve">Total Carryover Amount </t>
  </si>
  <si>
    <t>ED_EBS752_00001</t>
  </si>
  <si>
    <t>ED_EBS752_00006</t>
  </si>
  <si>
    <t>2016-17</t>
  </si>
  <si>
    <t>2017-18</t>
  </si>
  <si>
    <t>2018-19</t>
  </si>
  <si>
    <t>2019-20</t>
  </si>
  <si>
    <t>Inflation rate (per cent), no lagging</t>
  </si>
  <si>
    <t>PTRM inputs ($ million, 2015-16)</t>
  </si>
  <si>
    <t>PTRM inputs ($ million,  2014-15)</t>
  </si>
  <si>
    <t>2020-21</t>
  </si>
  <si>
    <t>7.5 EFFICIENCY CARRYOVER MECHANISM  - ROLLING CARRY-OVER MECHANISM</t>
  </si>
  <si>
    <t>Table 7.5.1.1 - Opex allowance applicable to ECM (ECM target)</t>
  </si>
  <si>
    <t>Table 7.5.1.2 - Actual and estimated opex applicable to ECM</t>
  </si>
  <si>
    <t>Actual opex for ECM purposes</t>
  </si>
  <si>
    <t>Forecast opex for ECM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</si>
</sst>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mmm\ yyyy"/>
    <numFmt numFmtId="165" formatCode="0.0"/>
    <numFmt numFmtId="166" formatCode="_(* #,##0.00_);_(* \(#,##0.00\);_(* &quot;-&quot;??_);_(@_)"/>
    <numFmt numFmtId="167" formatCode="_-* #,##0_-;\-* #,##0_-;_-* &quot;-&quot;??_-;_-@_-"/>
    <numFmt numFmtId="168" formatCode="#,##0.0_ ;\-#,##0.0\ "/>
    <numFmt numFmtId="169" formatCode="#,##0_ ;\(#,##0\)_ "/>
    <numFmt numFmtId="170" formatCode="_-* #,##0.0_-;\-* #,##0.0_-;_-* &quot;-&quot;??_-;_-@_-"/>
    <numFmt numFmtId="171" formatCode="_-* #,##0.000_-;\-* #,##0.000_-;_-* &quot;-&quot;??_-;_-@_-"/>
    <numFmt numFmtId="172" formatCode="0.000"/>
    <numFmt numFmtId="173" formatCode="#,##0.00_ ;\-#,##0.00\ "/>
    <numFmt numFmtId="174" formatCode="_(#,##0_);\(#,##0\);_(&quot;-&quot;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6"/>
      <color theme="0"/>
      <name val="Arial"/>
      <family val="2"/>
    </font>
    <font>
      <sz val="18"/>
      <color indexed="9"/>
      <name val="Arial"/>
      <family val="2"/>
    </font>
    <font>
      <b/>
      <sz val="10"/>
      <name val="Arial"/>
      <family val="2"/>
    </font>
    <font>
      <vertAlign val="subscript"/>
      <sz val="10"/>
      <name val="Arial"/>
      <family val="2"/>
    </font>
    <font>
      <sz val="10"/>
      <name val="Arial"/>
      <family val="2"/>
    </font>
    <font>
      <b/>
      <sz val="12"/>
      <name val="Arial"/>
      <family val="2"/>
    </font>
    <font>
      <b/>
      <sz val="14"/>
      <color theme="1"/>
      <name val="Arial"/>
      <family val="2"/>
    </font>
    <font>
      <b/>
      <sz val="14"/>
      <name val="Arial"/>
      <family val="2"/>
    </font>
    <font>
      <b/>
      <sz val="11"/>
      <name val="Arial"/>
      <family val="2"/>
    </font>
    <font>
      <sz val="11"/>
      <color theme="1"/>
      <name val="Arial"/>
      <family val="2"/>
    </font>
    <font>
      <sz val="10"/>
      <color theme="1"/>
      <name val="Arial"/>
      <family val="2"/>
    </font>
    <font>
      <b/>
      <sz val="14"/>
      <color theme="0"/>
      <name val="Arial"/>
      <family val="2"/>
    </font>
    <font>
      <sz val="14"/>
      <name val="Calibri"/>
      <family val="2"/>
      <scheme val="minor"/>
    </font>
    <font>
      <sz val="12"/>
      <color theme="1"/>
      <name val="Calibri"/>
      <family val="2"/>
      <scheme val="minor"/>
    </font>
    <font>
      <sz val="12"/>
      <name val="Calibri"/>
      <family val="2"/>
      <scheme val="minor"/>
    </font>
    <font>
      <b/>
      <sz val="12"/>
      <color theme="1"/>
      <name val="Arial"/>
      <family val="2"/>
    </font>
    <font>
      <b/>
      <sz val="11"/>
      <color theme="1"/>
      <name val="Arial"/>
      <family val="2"/>
    </font>
    <font>
      <i/>
      <sz val="10"/>
      <name val="Arial"/>
      <family val="2"/>
    </font>
    <font>
      <sz val="5"/>
      <name val="Arial"/>
      <family val="2"/>
    </font>
    <font>
      <b/>
      <sz val="11"/>
      <color theme="0"/>
      <name val="Arial"/>
      <family val="2"/>
    </font>
    <font>
      <b/>
      <sz val="10"/>
      <color theme="0"/>
      <name val="Arial"/>
      <family val="2"/>
    </font>
    <font>
      <i/>
      <sz val="11"/>
      <color theme="1"/>
      <name val="Arial"/>
      <family val="2"/>
    </font>
    <font>
      <b/>
      <sz val="12"/>
      <color indexed="8"/>
      <name val="Calibri"/>
      <family val="2"/>
    </font>
    <font>
      <b/>
      <i/>
      <sz val="10"/>
      <name val="Arial"/>
      <family val="2"/>
    </font>
    <font>
      <vertAlign val="superscript"/>
      <sz val="5"/>
      <name val="Arial"/>
      <family val="2"/>
    </font>
    <font>
      <i/>
      <sz val="11"/>
      <color rgb="FF0070C0"/>
      <name val="Calibri"/>
      <family val="2"/>
      <scheme val="minor"/>
    </font>
    <font>
      <sz val="11"/>
      <color rgb="FF0070C0"/>
      <name val="Calibri"/>
      <family val="2"/>
      <scheme val="minor"/>
    </font>
    <font>
      <sz val="9"/>
      <color indexed="81"/>
      <name val="Tahoma"/>
      <family val="2"/>
    </font>
    <font>
      <sz val="8"/>
      <name val="Arial"/>
      <family val="2"/>
    </font>
    <font>
      <sz val="8"/>
      <color theme="1"/>
      <name val="Arial"/>
      <family val="2"/>
    </font>
    <font>
      <sz val="8"/>
      <color indexed="8"/>
      <name val="Calibri"/>
      <family val="2"/>
      <scheme val="minor"/>
    </font>
    <font>
      <b/>
      <sz val="9"/>
      <color indexed="81"/>
      <name val="Tahoma"/>
      <family val="2"/>
    </font>
  </fonts>
  <fills count="18">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6"/>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4" tint="0.39997558519241921"/>
        <bgColor indexed="64"/>
      </patternFill>
    </fill>
    <fill>
      <patternFill patternType="solid">
        <fgColor rgb="FFFF0000"/>
        <bgColor indexed="64"/>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style="thin">
        <color indexed="64"/>
      </right>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medium">
        <color auto="1"/>
      </bottom>
      <diagonal/>
    </border>
    <border>
      <left style="thin">
        <color theme="0" tint="-0.34998626667073579"/>
      </left>
      <right/>
      <top style="thin">
        <color theme="0" tint="-0.34998626667073579"/>
      </top>
      <bottom style="medium">
        <color auto="1"/>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indexed="64"/>
      </right>
      <top/>
      <bottom style="thin">
        <color theme="0" tint="-0.34998626667073579"/>
      </bottom>
      <diagonal/>
    </border>
    <border>
      <left/>
      <right style="medium">
        <color indexed="64"/>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auto="1"/>
      </bottom>
      <diagonal/>
    </border>
    <border>
      <left style="medium">
        <color indexed="64"/>
      </left>
      <right style="thin">
        <color indexed="64"/>
      </right>
      <top/>
      <bottom/>
      <diagonal/>
    </border>
    <border>
      <left style="medium">
        <color indexed="64"/>
      </left>
      <right/>
      <top/>
      <bottom style="thin">
        <color theme="0" tint="-0.24994659260841701"/>
      </bottom>
      <diagonal/>
    </border>
    <border>
      <left/>
      <right/>
      <top/>
      <bottom style="thin">
        <color theme="0" tint="-0.24994659260841701"/>
      </bottom>
      <diagonal/>
    </border>
    <border>
      <left style="thin">
        <color theme="0" tint="-0.34998626667073579"/>
      </left>
      <right/>
      <top/>
      <bottom style="medium">
        <color auto="1"/>
      </bottom>
      <diagonal/>
    </border>
    <border>
      <left style="medium">
        <color indexed="64"/>
      </left>
      <right style="thin">
        <color theme="0" tint="-0.34998626667073579"/>
      </right>
      <top style="medium">
        <color indexed="64"/>
      </top>
      <bottom style="medium">
        <color auto="1"/>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medium">
        <color indexed="64"/>
      </right>
      <top/>
      <bottom style="thin">
        <color indexed="64"/>
      </bottom>
      <diagonal/>
    </border>
    <border>
      <left style="medium">
        <color indexed="64"/>
      </left>
      <right/>
      <top style="medium">
        <color auto="1"/>
      </top>
      <bottom style="thin">
        <color indexed="64"/>
      </bottom>
      <diagonal/>
    </border>
    <border>
      <left/>
      <right/>
      <top style="medium">
        <color indexed="64"/>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medium">
        <color indexed="64"/>
      </top>
      <bottom style="medium">
        <color indexed="64"/>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theme="0" tint="-0.34998626667073579"/>
      </left>
      <right/>
      <top style="medium">
        <color indexed="64"/>
      </top>
      <bottom style="medium">
        <color indexed="64"/>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s>
  <cellStyleXfs count="5">
    <xf numFmtId="0" fontId="0" fillId="0" borderId="0"/>
    <xf numFmtId="0" fontId="1" fillId="0" borderId="0"/>
    <xf numFmtId="174" fontId="35" fillId="0" borderId="89">
      <alignment horizontal="right" vertical="center"/>
      <protection locked="0"/>
    </xf>
    <xf numFmtId="9" fontId="1" fillId="0" borderId="0" applyFont="0" applyFill="0" applyBorder="0" applyAlignment="0" applyProtection="0"/>
    <xf numFmtId="0" fontId="36" fillId="0" borderId="0"/>
  </cellStyleXfs>
  <cellXfs count="377">
    <xf numFmtId="0" fontId="0" fillId="0" borderId="0" xfId="0"/>
    <xf numFmtId="0" fontId="5" fillId="2" borderId="0" xfId="0" applyFont="1" applyFill="1" applyProtection="1"/>
    <xf numFmtId="0" fontId="0" fillId="2" borderId="0" xfId="0" applyFill="1"/>
    <xf numFmtId="0" fontId="6" fillId="3" borderId="0" xfId="0" applyFont="1" applyFill="1" applyBorder="1" applyAlignment="1">
      <alignment vertical="center"/>
    </xf>
    <xf numFmtId="0" fontId="6" fillId="3" borderId="0" xfId="0" applyFont="1" applyFill="1" applyAlignment="1">
      <alignment vertical="center" wrapText="1"/>
    </xf>
    <xf numFmtId="0" fontId="6" fillId="2" borderId="0" xfId="0" applyFont="1" applyFill="1" applyAlignment="1">
      <alignment vertical="center"/>
    </xf>
    <xf numFmtId="0" fontId="6" fillId="3" borderId="0" xfId="0" applyFont="1" applyFill="1" applyBorder="1" applyAlignment="1">
      <alignment horizontal="left" vertical="center"/>
    </xf>
    <xf numFmtId="0" fontId="7" fillId="4" borderId="0" xfId="0" applyFont="1" applyFill="1" applyAlignment="1">
      <alignment vertical="center"/>
    </xf>
    <xf numFmtId="0" fontId="8" fillId="2" borderId="0" xfId="0" applyFont="1" applyFill="1" applyBorder="1" applyAlignment="1">
      <alignment vertical="center"/>
    </xf>
    <xf numFmtId="0" fontId="9" fillId="0" borderId="0" xfId="0" applyFont="1" applyAlignment="1">
      <alignment horizontal="left" wrapText="1"/>
    </xf>
    <xf numFmtId="0" fontId="9" fillId="2" borderId="0" xfId="0" applyFont="1" applyFill="1" applyAlignment="1">
      <alignment horizontal="left" wrapText="1"/>
    </xf>
    <xf numFmtId="0" fontId="9" fillId="5" borderId="0" xfId="0" applyFont="1" applyFill="1" applyAlignment="1">
      <alignment vertical="center" wrapText="1"/>
    </xf>
    <xf numFmtId="0" fontId="9" fillId="2" borderId="0" xfId="0" applyFont="1" applyFill="1" applyAlignment="1">
      <alignment vertical="center" wrapText="1"/>
    </xf>
    <xf numFmtId="0" fontId="0" fillId="2" borderId="0" xfId="0" applyFill="1" applyAlignment="1">
      <alignment vertical="top" wrapText="1"/>
    </xf>
    <xf numFmtId="0" fontId="0" fillId="2" borderId="0" xfId="0" applyFill="1" applyAlignment="1">
      <alignment horizontal="left" vertical="top" wrapText="1"/>
    </xf>
    <xf numFmtId="0" fontId="12" fillId="6" borderId="1" xfId="0" applyFont="1" applyFill="1" applyBorder="1" applyAlignment="1" applyProtection="1">
      <alignment horizontal="left" vertical="center"/>
    </xf>
    <xf numFmtId="0" fontId="12" fillId="6" borderId="2"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5" fillId="2" borderId="0" xfId="0" applyFont="1" applyFill="1" applyAlignment="1" applyProtection="1">
      <alignment vertical="center"/>
    </xf>
    <xf numFmtId="0" fontId="13" fillId="2" borderId="4" xfId="0" applyFont="1" applyFill="1" applyBorder="1"/>
    <xf numFmtId="164" fontId="9" fillId="7" borderId="4" xfId="0" applyNumberFormat="1" applyFont="1" applyFill="1" applyBorder="1" applyAlignment="1">
      <alignment horizontal="right" vertical="top" wrapText="1"/>
    </xf>
    <xf numFmtId="164" fontId="9" fillId="0" borderId="0" xfId="0" applyNumberFormat="1" applyFont="1" applyAlignment="1">
      <alignment horizontal="right" vertical="top" wrapText="1"/>
    </xf>
    <xf numFmtId="0" fontId="0" fillId="2" borderId="0" xfId="0" applyFill="1" applyProtection="1"/>
    <xf numFmtId="0" fontId="4" fillId="2" borderId="5" xfId="0" applyFont="1" applyFill="1" applyBorder="1" applyProtection="1"/>
    <xf numFmtId="2" fontId="0" fillId="0" borderId="6" xfId="0" applyNumberFormat="1" applyFill="1" applyBorder="1" applyAlignment="1" applyProtection="1">
      <alignment horizontal="right" vertical="top" wrapText="1"/>
    </xf>
    <xf numFmtId="165" fontId="11" fillId="0" borderId="7" xfId="0" applyNumberFormat="1" applyFont="1" applyBorder="1" applyAlignment="1">
      <alignment horizontal="right" vertical="top" wrapText="1"/>
    </xf>
    <xf numFmtId="165" fontId="11" fillId="2" borderId="7" xfId="0" applyNumberFormat="1" applyFont="1" applyFill="1" applyBorder="1" applyAlignment="1" applyProtection="1">
      <alignment vertical="center" wrapText="1"/>
    </xf>
    <xf numFmtId="165" fontId="11" fillId="0" borderId="7" xfId="0" applyNumberFormat="1" applyFont="1" applyFill="1" applyBorder="1" applyAlignment="1" applyProtection="1">
      <alignment vertical="center" wrapText="1"/>
    </xf>
    <xf numFmtId="0" fontId="0" fillId="2" borderId="7" xfId="0" applyFill="1" applyBorder="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4" fillId="2" borderId="11" xfId="0" applyFont="1" applyFill="1" applyBorder="1" applyProtection="1"/>
    <xf numFmtId="165" fontId="11" fillId="6" borderId="12" xfId="0" applyNumberFormat="1" applyFont="1" applyFill="1" applyBorder="1" applyAlignment="1" applyProtection="1">
      <alignment vertical="center" wrapText="1"/>
    </xf>
    <xf numFmtId="165" fontId="11" fillId="6" borderId="13" xfId="0" applyNumberFormat="1" applyFont="1" applyFill="1" applyBorder="1" applyAlignment="1" applyProtection="1">
      <alignment vertical="center" wrapText="1"/>
    </xf>
    <xf numFmtId="165" fontId="11" fillId="6" borderId="14" xfId="0" applyNumberFormat="1" applyFont="1" applyFill="1" applyBorder="1" applyAlignment="1" applyProtection="1">
      <alignment vertical="center" wrapText="1"/>
    </xf>
    <xf numFmtId="0" fontId="0" fillId="2" borderId="15" xfId="0" applyFill="1" applyBorder="1" applyProtection="1"/>
    <xf numFmtId="0" fontId="0" fillId="2" borderId="16" xfId="0" applyFill="1" applyBorder="1" applyProtection="1"/>
    <xf numFmtId="0" fontId="5" fillId="0" borderId="0" xfId="0" applyFont="1"/>
    <xf numFmtId="0" fontId="14" fillId="2" borderId="17" xfId="0" applyFont="1" applyFill="1" applyBorder="1" applyAlignment="1" applyProtection="1">
      <alignment vertical="center" wrapText="1"/>
      <protection locked="0"/>
    </xf>
    <xf numFmtId="0" fontId="16" fillId="2" borderId="18" xfId="0" applyFont="1" applyFill="1" applyBorder="1"/>
    <xf numFmtId="0" fontId="14" fillId="2" borderId="24" xfId="0" applyFont="1" applyFill="1" applyBorder="1" applyAlignment="1" applyProtection="1">
      <alignment vertical="center" wrapText="1"/>
      <protection locked="0"/>
    </xf>
    <xf numFmtId="0" fontId="9" fillId="7" borderId="25" xfId="0" applyFont="1" applyFill="1" applyBorder="1" applyAlignment="1" applyProtection="1">
      <alignment horizontal="right" vertical="center"/>
    </xf>
    <xf numFmtId="0" fontId="9" fillId="7" borderId="26" xfId="0" applyFont="1" applyFill="1" applyBorder="1" applyAlignment="1" applyProtection="1">
      <alignment horizontal="right" vertical="center"/>
    </xf>
    <xf numFmtId="0" fontId="9" fillId="7" borderId="27" xfId="0" applyFont="1" applyFill="1" applyBorder="1" applyAlignment="1" applyProtection="1">
      <alignment horizontal="right" vertical="center"/>
    </xf>
    <xf numFmtId="0" fontId="9" fillId="7" borderId="28" xfId="0" applyFont="1" applyFill="1" applyBorder="1" applyAlignment="1" applyProtection="1">
      <alignment horizontal="right" vertical="center"/>
    </xf>
    <xf numFmtId="0" fontId="16" fillId="2" borderId="0" xfId="0" applyFont="1" applyFill="1" applyBorder="1"/>
    <xf numFmtId="0" fontId="15" fillId="2" borderId="29" xfId="0" applyFont="1" applyFill="1" applyBorder="1" applyAlignment="1" applyProtection="1">
      <alignment vertical="center" wrapText="1"/>
      <protection locked="0"/>
    </xf>
    <xf numFmtId="0" fontId="15" fillId="2" borderId="30" xfId="0" applyFont="1" applyFill="1" applyBorder="1" applyAlignment="1" applyProtection="1">
      <alignment vertical="center" wrapText="1"/>
      <protection locked="0"/>
    </xf>
    <xf numFmtId="0" fontId="15" fillId="2" borderId="31" xfId="0" applyFont="1" applyFill="1" applyBorder="1" applyAlignment="1" applyProtection="1">
      <alignment vertical="center" wrapText="1"/>
      <protection locked="0"/>
    </xf>
    <xf numFmtId="0" fontId="9" fillId="7" borderId="32" xfId="0" applyFont="1" applyFill="1" applyBorder="1" applyAlignment="1" applyProtection="1">
      <alignment horizontal="center" vertical="center"/>
      <protection locked="0"/>
    </xf>
    <xf numFmtId="0" fontId="9" fillId="8" borderId="28" xfId="0" applyFont="1" applyFill="1" applyBorder="1" applyAlignment="1" applyProtection="1">
      <alignment horizontal="right" vertical="center"/>
    </xf>
    <xf numFmtId="0" fontId="11" fillId="0" borderId="33" xfId="0" applyFont="1" applyBorder="1" applyAlignment="1" applyProtection="1">
      <alignment horizontal="left" vertical="center" wrapText="1" indent="1"/>
      <protection locked="0"/>
    </xf>
    <xf numFmtId="165" fontId="11" fillId="0" borderId="34" xfId="0" applyNumberFormat="1" applyFont="1" applyFill="1" applyBorder="1" applyAlignment="1" applyProtection="1">
      <alignment vertical="center" wrapText="1"/>
    </xf>
    <xf numFmtId="165" fontId="11" fillId="0" borderId="35" xfId="0" applyNumberFormat="1" applyFont="1" applyFill="1" applyBorder="1" applyAlignment="1" applyProtection="1">
      <alignment vertical="center" wrapText="1"/>
    </xf>
    <xf numFmtId="166" fontId="9" fillId="6" borderId="7" xfId="0" applyNumberFormat="1" applyFont="1" applyFill="1" applyBorder="1" applyAlignment="1" applyProtection="1">
      <alignment horizontal="left"/>
    </xf>
    <xf numFmtId="165" fontId="9" fillId="6" borderId="36" xfId="0" applyNumberFormat="1" applyFont="1" applyFill="1" applyBorder="1" applyAlignment="1" applyProtection="1"/>
    <xf numFmtId="10" fontId="0" fillId="8" borderId="0" xfId="0" applyNumberFormat="1" applyFill="1"/>
    <xf numFmtId="0" fontId="0" fillId="2" borderId="0" xfId="0" applyFill="1" applyProtection="1">
      <protection locked="0"/>
    </xf>
    <xf numFmtId="2" fontId="11" fillId="8" borderId="44" xfId="0" applyNumberFormat="1" applyFont="1" applyFill="1" applyBorder="1" applyAlignment="1">
      <alignment horizontal="right" vertical="center" wrapText="1"/>
    </xf>
    <xf numFmtId="0" fontId="0" fillId="8" borderId="0" xfId="0" applyFill="1"/>
    <xf numFmtId="165" fontId="11" fillId="2" borderId="0" xfId="0" applyNumberFormat="1" applyFont="1" applyFill="1"/>
    <xf numFmtId="0" fontId="5" fillId="2" borderId="0" xfId="0" applyFont="1" applyFill="1" applyBorder="1" applyProtection="1"/>
    <xf numFmtId="0" fontId="0" fillId="2" borderId="0" xfId="0" applyFill="1" applyAlignment="1">
      <alignment vertical="center"/>
    </xf>
    <xf numFmtId="0" fontId="18" fillId="9" borderId="0" xfId="0" applyFont="1" applyFill="1" applyBorder="1" applyAlignment="1">
      <alignment vertical="center"/>
    </xf>
    <xf numFmtId="0" fontId="0" fillId="0" borderId="0" xfId="0" applyAlignment="1">
      <alignment vertical="center"/>
    </xf>
    <xf numFmtId="0" fontId="18" fillId="2" borderId="0" xfId="0" applyFont="1" applyFill="1" applyBorder="1" applyAlignment="1">
      <alignment vertical="center"/>
    </xf>
    <xf numFmtId="0" fontId="19" fillId="2" borderId="0" xfId="0" applyFont="1" applyFill="1" applyProtection="1">
      <protection locked="0"/>
    </xf>
    <xf numFmtId="0" fontId="20" fillId="2" borderId="0" xfId="0" applyFont="1" applyFill="1" applyBorder="1" applyProtection="1"/>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21" fillId="2" borderId="0" xfId="0" applyFont="1" applyFill="1" applyBorder="1" applyProtection="1"/>
    <xf numFmtId="0" fontId="22" fillId="2" borderId="32" xfId="0" applyFont="1" applyFill="1" applyBorder="1"/>
    <xf numFmtId="0" fontId="0" fillId="2" borderId="32" xfId="0" applyFill="1" applyBorder="1"/>
    <xf numFmtId="0" fontId="9" fillId="11" borderId="41" xfId="0" applyFont="1" applyFill="1" applyBorder="1" applyAlignment="1" applyProtection="1">
      <alignment horizontal="right" vertical="center"/>
    </xf>
    <xf numFmtId="0" fontId="9" fillId="11" borderId="42" xfId="0" applyFont="1" applyFill="1" applyBorder="1" applyAlignment="1" applyProtection="1">
      <alignment horizontal="right" vertical="center"/>
    </xf>
    <xf numFmtId="0" fontId="9" fillId="11" borderId="46" xfId="0" applyFont="1" applyFill="1" applyBorder="1" applyAlignment="1" applyProtection="1">
      <alignment horizontal="right" vertical="center"/>
    </xf>
    <xf numFmtId="0" fontId="9" fillId="6" borderId="41" xfId="0" applyFont="1" applyFill="1" applyBorder="1" applyAlignment="1" applyProtection="1">
      <alignment horizontal="right" vertical="center"/>
    </xf>
    <xf numFmtId="0" fontId="9" fillId="6" borderId="43" xfId="0" applyFont="1" applyFill="1" applyBorder="1" applyAlignment="1" applyProtection="1">
      <alignment horizontal="right" vertical="center"/>
    </xf>
    <xf numFmtId="0" fontId="9" fillId="10" borderId="26" xfId="0" applyFont="1" applyFill="1" applyBorder="1" applyAlignment="1" applyProtection="1">
      <alignment horizontal="right" vertical="center"/>
    </xf>
    <xf numFmtId="0" fontId="9" fillId="10" borderId="27" xfId="0" applyFont="1" applyFill="1" applyBorder="1" applyAlignment="1" applyProtection="1">
      <alignment horizontal="right" vertical="center"/>
    </xf>
    <xf numFmtId="0" fontId="9" fillId="10" borderId="28" xfId="0" applyFont="1" applyFill="1" applyBorder="1" applyAlignment="1" applyProtection="1">
      <alignment horizontal="right" vertical="center"/>
    </xf>
    <xf numFmtId="0" fontId="9" fillId="6" borderId="29" xfId="0" applyFont="1" applyFill="1" applyBorder="1" applyAlignment="1" applyProtection="1">
      <alignment horizontal="right" vertical="center"/>
      <protection locked="0"/>
    </xf>
    <xf numFmtId="0" fontId="9" fillId="6" borderId="31" xfId="0" applyFont="1" applyFill="1" applyBorder="1" applyAlignment="1" applyProtection="1">
      <alignment horizontal="right" vertical="center"/>
      <protection locked="0"/>
    </xf>
    <xf numFmtId="0" fontId="9" fillId="11" borderId="56" xfId="0" applyFont="1" applyFill="1" applyBorder="1" applyAlignment="1" applyProtection="1">
      <alignment horizontal="right" vertical="center"/>
    </xf>
    <xf numFmtId="0" fontId="9" fillId="11" borderId="60" xfId="0" applyFont="1" applyFill="1" applyBorder="1" applyAlignment="1" applyProtection="1">
      <alignment horizontal="right" vertical="center"/>
    </xf>
    <xf numFmtId="0" fontId="9" fillId="11" borderId="57" xfId="0" applyFont="1" applyFill="1" applyBorder="1" applyAlignment="1" applyProtection="1">
      <alignment horizontal="right" vertical="center"/>
    </xf>
    <xf numFmtId="2" fontId="9" fillId="12" borderId="32" xfId="0" applyNumberFormat="1" applyFont="1" applyFill="1" applyBorder="1" applyAlignment="1">
      <alignment vertical="center" wrapText="1"/>
    </xf>
    <xf numFmtId="2" fontId="9" fillId="12" borderId="0" xfId="0" applyNumberFormat="1" applyFont="1" applyFill="1" applyBorder="1" applyAlignment="1">
      <alignment vertical="center" wrapText="1"/>
    </xf>
    <xf numFmtId="165" fontId="9" fillId="13" borderId="39" xfId="1" applyNumberFormat="1" applyFont="1" applyFill="1" applyBorder="1" applyAlignment="1">
      <alignment vertical="center" wrapText="1"/>
    </xf>
    <xf numFmtId="165" fontId="9" fillId="13" borderId="7" xfId="1" applyNumberFormat="1" applyFont="1" applyFill="1" applyBorder="1" applyAlignment="1">
      <alignment vertical="center" wrapText="1"/>
    </xf>
    <xf numFmtId="165" fontId="11" fillId="14" borderId="54" xfId="0" applyNumberFormat="1" applyFont="1" applyFill="1" applyBorder="1" applyAlignment="1" applyProtection="1">
      <alignment horizontal="right" vertical="center" wrapText="1"/>
    </xf>
    <xf numFmtId="165" fontId="11" fillId="14" borderId="53" xfId="0" applyNumberFormat="1" applyFont="1" applyFill="1" applyBorder="1" applyAlignment="1" applyProtection="1">
      <alignment horizontal="right" vertical="center" wrapText="1"/>
    </xf>
    <xf numFmtId="165" fontId="11" fillId="2" borderId="54" xfId="0" applyNumberFormat="1" applyFont="1" applyFill="1" applyBorder="1" applyAlignment="1">
      <alignment horizontal="right" vertical="center" wrapText="1"/>
    </xf>
    <xf numFmtId="165" fontId="11" fillId="2" borderId="52" xfId="0" applyNumberFormat="1" applyFont="1" applyFill="1" applyBorder="1" applyAlignment="1">
      <alignment horizontal="right" vertical="center" wrapText="1"/>
    </xf>
    <xf numFmtId="165" fontId="11" fillId="2" borderId="61" xfId="0" applyNumberFormat="1" applyFont="1" applyFill="1" applyBorder="1" applyAlignment="1">
      <alignment horizontal="right" vertical="center" wrapText="1"/>
    </xf>
    <xf numFmtId="166" fontId="11" fillId="6" borderId="0" xfId="0" applyNumberFormat="1" applyFont="1" applyFill="1" applyBorder="1" applyAlignment="1" applyProtection="1">
      <alignment horizontal="left"/>
      <protection locked="0"/>
    </xf>
    <xf numFmtId="166" fontId="11" fillId="6" borderId="62" xfId="0" applyNumberFormat="1" applyFont="1" applyFill="1" applyBorder="1" applyAlignment="1" applyProtection="1">
      <alignment horizontal="left"/>
      <protection locked="0"/>
    </xf>
    <xf numFmtId="0" fontId="24" fillId="12" borderId="63" xfId="0" applyFont="1" applyFill="1" applyBorder="1" applyAlignment="1" applyProtection="1">
      <alignment horizontal="left" vertical="center" wrapText="1" indent="1"/>
      <protection locked="0"/>
    </xf>
    <xf numFmtId="0" fontId="9" fillId="12" borderId="32"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9" fillId="12" borderId="64" xfId="0" applyFont="1" applyFill="1" applyBorder="1" applyAlignment="1" applyProtection="1">
      <alignment vertical="center"/>
      <protection locked="0"/>
    </xf>
    <xf numFmtId="0" fontId="9" fillId="12" borderId="65" xfId="0" applyFont="1" applyFill="1" applyBorder="1" applyAlignment="1" applyProtection="1">
      <alignment vertical="center"/>
      <protection locked="0"/>
    </xf>
    <xf numFmtId="0" fontId="9" fillId="12" borderId="66" xfId="0" applyFont="1" applyFill="1" applyBorder="1" applyAlignment="1" applyProtection="1">
      <alignment vertical="center"/>
      <protection locked="0"/>
    </xf>
    <xf numFmtId="0" fontId="16" fillId="2" borderId="0" xfId="0" applyFont="1" applyFill="1" applyBorder="1" applyProtection="1">
      <protection locked="0"/>
    </xf>
    <xf numFmtId="166" fontId="9" fillId="12" borderId="64" xfId="0" applyNumberFormat="1" applyFont="1" applyFill="1" applyBorder="1" applyAlignment="1" applyProtection="1">
      <alignment horizontal="left"/>
    </xf>
    <xf numFmtId="166" fontId="9" fillId="12" borderId="67" xfId="0" applyNumberFormat="1" applyFont="1" applyFill="1" applyBorder="1" applyAlignment="1" applyProtection="1">
      <alignment horizontal="left"/>
    </xf>
    <xf numFmtId="166" fontId="9" fillId="12" borderId="64" xfId="0" applyNumberFormat="1" applyFont="1" applyFill="1" applyBorder="1" applyAlignment="1" applyProtection="1">
      <alignment horizontal="left"/>
      <protection locked="0"/>
    </xf>
    <xf numFmtId="166" fontId="9" fillId="12" borderId="65" xfId="0" applyNumberFormat="1" applyFont="1" applyFill="1" applyBorder="1" applyAlignment="1" applyProtection="1">
      <alignment horizontal="left"/>
      <protection locked="0"/>
    </xf>
    <xf numFmtId="166" fontId="9" fillId="12" borderId="68" xfId="0" applyNumberFormat="1" applyFont="1" applyFill="1" applyBorder="1" applyAlignment="1" applyProtection="1">
      <alignment horizontal="left"/>
      <protection locked="0"/>
    </xf>
    <xf numFmtId="0" fontId="11" fillId="0" borderId="63" xfId="0" applyFont="1" applyBorder="1" applyAlignment="1" applyProtection="1">
      <alignment horizontal="left" vertical="center" indent="3"/>
    </xf>
    <xf numFmtId="165" fontId="11" fillId="12" borderId="32" xfId="0" applyNumberFormat="1" applyFont="1" applyFill="1" applyBorder="1" applyAlignment="1" applyProtection="1">
      <protection locked="0"/>
    </xf>
    <xf numFmtId="165" fontId="11" fillId="12" borderId="0" xfId="0" applyNumberFormat="1" applyFont="1" applyFill="1" applyBorder="1" applyAlignment="1" applyProtection="1">
      <protection locked="0"/>
    </xf>
    <xf numFmtId="165" fontId="11" fillId="13" borderId="64" xfId="0" applyNumberFormat="1" applyFont="1" applyFill="1" applyBorder="1" applyAlignment="1">
      <alignment vertical="center" wrapText="1"/>
    </xf>
    <xf numFmtId="165" fontId="11" fillId="13" borderId="65" xfId="0" applyNumberFormat="1" applyFont="1" applyFill="1" applyBorder="1" applyAlignment="1">
      <alignment vertical="center" wrapText="1"/>
    </xf>
    <xf numFmtId="165" fontId="11" fillId="13" borderId="68" xfId="0" applyNumberFormat="1" applyFont="1" applyFill="1" applyBorder="1" applyAlignment="1">
      <alignment vertical="center" wrapText="1"/>
    </xf>
    <xf numFmtId="2" fontId="11" fillId="13" borderId="66" xfId="1" applyNumberFormat="1" applyFont="1" applyFill="1" applyBorder="1" applyAlignment="1">
      <alignment vertical="center" wrapText="1"/>
    </xf>
    <xf numFmtId="165" fontId="11" fillId="14" borderId="64" xfId="0" applyNumberFormat="1" applyFont="1" applyFill="1" applyBorder="1" applyAlignment="1" applyProtection="1">
      <alignment horizontal="right" wrapText="1"/>
    </xf>
    <xf numFmtId="165" fontId="11" fillId="14" borderId="67" xfId="0" applyNumberFormat="1" applyFont="1" applyFill="1" applyBorder="1" applyAlignment="1" applyProtection="1">
      <alignment horizontal="right" wrapText="1"/>
    </xf>
    <xf numFmtId="165" fontId="11" fillId="2" borderId="64" xfId="0" applyNumberFormat="1" applyFont="1" applyFill="1" applyBorder="1" applyAlignment="1">
      <alignment horizontal="right" wrapText="1"/>
    </xf>
    <xf numFmtId="165" fontId="11" fillId="2" borderId="65" xfId="0" applyNumberFormat="1" applyFont="1" applyFill="1" applyBorder="1" applyAlignment="1">
      <alignment horizontal="right" wrapText="1"/>
    </xf>
    <xf numFmtId="165" fontId="11" fillId="2" borderId="68" xfId="0" applyNumberFormat="1" applyFont="1" applyFill="1" applyBorder="1" applyAlignment="1">
      <alignment horizontal="right" wrapText="1"/>
    </xf>
    <xf numFmtId="165" fontId="11" fillId="13" borderId="64" xfId="1" applyNumberFormat="1" applyFont="1" applyFill="1" applyBorder="1" applyAlignment="1">
      <alignment vertical="center" wrapText="1"/>
    </xf>
    <xf numFmtId="165" fontId="11" fillId="13" borderId="65" xfId="1" applyNumberFormat="1" applyFont="1" applyFill="1" applyBorder="1" applyAlignment="1">
      <alignment vertical="center" wrapText="1"/>
    </xf>
    <xf numFmtId="165" fontId="11" fillId="13" borderId="68" xfId="1" applyNumberFormat="1" applyFont="1" applyFill="1" applyBorder="1" applyAlignment="1">
      <alignment vertical="center" wrapText="1"/>
    </xf>
    <xf numFmtId="0" fontId="11" fillId="0" borderId="63" xfId="0" applyFont="1" applyFill="1" applyBorder="1" applyAlignment="1" applyProtection="1">
      <alignment horizontal="left" vertical="center" indent="3"/>
    </xf>
    <xf numFmtId="167" fontId="9" fillId="2" borderId="0" xfId="0" applyNumberFormat="1" applyFont="1" applyFill="1" applyBorder="1" applyProtection="1">
      <protection locked="0"/>
    </xf>
    <xf numFmtId="0" fontId="25" fillId="2" borderId="0" xfId="0" applyFont="1" applyFill="1" applyProtection="1">
      <protection locked="0"/>
    </xf>
    <xf numFmtId="0" fontId="0" fillId="2" borderId="0" xfId="0" applyFill="1" applyAlignment="1" applyProtection="1">
      <alignment horizontal="right"/>
      <protection locked="0"/>
    </xf>
    <xf numFmtId="0" fontId="0" fillId="2" borderId="0" xfId="0" applyFill="1" applyBorder="1" applyProtection="1">
      <protection locked="0"/>
    </xf>
    <xf numFmtId="0" fontId="11" fillId="0" borderId="63" xfId="0" applyFont="1" applyBorder="1" applyAlignment="1" applyProtection="1">
      <alignment horizontal="left" vertical="center" wrapText="1" indent="1"/>
    </xf>
    <xf numFmtId="165" fontId="11" fillId="13" borderId="66" xfId="0" applyNumberFormat="1" applyFont="1" applyFill="1" applyBorder="1" applyAlignment="1">
      <alignment vertical="center" wrapText="1"/>
    </xf>
    <xf numFmtId="165" fontId="9" fillId="13" borderId="47" xfId="1" applyNumberFormat="1" applyFont="1" applyFill="1" applyBorder="1" applyAlignment="1">
      <alignment vertical="center" wrapText="1"/>
    </xf>
    <xf numFmtId="165" fontId="9" fillId="13" borderId="44" xfId="1" applyNumberFormat="1" applyFont="1" applyFill="1" applyBorder="1" applyAlignment="1">
      <alignment vertical="center" wrapText="1"/>
    </xf>
    <xf numFmtId="165" fontId="11" fillId="13" borderId="58" xfId="0" applyNumberFormat="1" applyFont="1" applyFill="1" applyBorder="1" applyAlignment="1">
      <alignment vertical="center" wrapText="1"/>
    </xf>
    <xf numFmtId="165" fontId="11" fillId="14" borderId="69" xfId="0" applyNumberFormat="1" applyFont="1" applyFill="1" applyBorder="1" applyAlignment="1" applyProtection="1">
      <alignment horizontal="right" wrapText="1"/>
    </xf>
    <xf numFmtId="165" fontId="11" fillId="14" borderId="70" xfId="0" applyNumberFormat="1" applyFont="1" applyFill="1" applyBorder="1" applyAlignment="1" applyProtection="1">
      <alignment horizontal="right" wrapText="1"/>
    </xf>
    <xf numFmtId="0" fontId="26" fillId="15" borderId="29" xfId="0" applyFont="1" applyFill="1" applyBorder="1" applyAlignment="1" applyProtection="1">
      <alignment wrapText="1"/>
      <protection locked="0"/>
    </xf>
    <xf numFmtId="165" fontId="27" fillId="15" borderId="1" xfId="0" applyNumberFormat="1" applyFont="1" applyFill="1" applyBorder="1" applyAlignment="1" applyProtection="1">
      <protection locked="0"/>
    </xf>
    <xf numFmtId="165" fontId="27" fillId="15" borderId="22" xfId="0" applyNumberFormat="1" applyFont="1" applyFill="1" applyBorder="1" applyAlignment="1" applyProtection="1">
      <protection locked="0"/>
    </xf>
    <xf numFmtId="165" fontId="27" fillId="15" borderId="73" xfId="0" applyNumberFormat="1" applyFont="1" applyFill="1" applyBorder="1" applyAlignment="1">
      <alignment horizontal="right" wrapText="1"/>
    </xf>
    <xf numFmtId="165" fontId="27" fillId="15" borderId="74" xfId="0" applyNumberFormat="1" applyFont="1" applyFill="1" applyBorder="1" applyAlignment="1">
      <alignment horizontal="right" wrapText="1"/>
    </xf>
    <xf numFmtId="165" fontId="27" fillId="15" borderId="75" xfId="0" applyNumberFormat="1" applyFont="1" applyFill="1" applyBorder="1" applyAlignment="1">
      <alignment horizontal="right" wrapText="1"/>
    </xf>
    <xf numFmtId="0" fontId="27" fillId="15" borderId="1" xfId="0" applyFont="1" applyFill="1" applyBorder="1" applyAlignment="1" applyProtection="1">
      <protection locked="0"/>
    </xf>
    <xf numFmtId="0" fontId="27" fillId="15" borderId="22" xfId="0" applyFont="1" applyFill="1" applyBorder="1" applyAlignment="1" applyProtection="1">
      <protection locked="0"/>
    </xf>
    <xf numFmtId="166" fontId="11" fillId="6" borderId="30" xfId="0" applyNumberFormat="1" applyFont="1" applyFill="1" applyBorder="1" applyAlignment="1" applyProtection="1">
      <alignment horizontal="left"/>
      <protection locked="0"/>
    </xf>
    <xf numFmtId="166" fontId="11" fillId="6" borderId="31" xfId="0" applyNumberFormat="1" applyFont="1" applyFill="1" applyBorder="1" applyAlignment="1" applyProtection="1">
      <alignment horizontal="left"/>
      <protection locked="0"/>
    </xf>
    <xf numFmtId="0" fontId="2" fillId="2" borderId="0" xfId="0" applyFont="1" applyFill="1"/>
    <xf numFmtId="0" fontId="24" fillId="2" borderId="0" xfId="0" applyFont="1" applyFill="1" applyBorder="1" applyAlignment="1" applyProtection="1">
      <alignment vertical="center"/>
      <protection locked="0"/>
    </xf>
    <xf numFmtId="165" fontId="28" fillId="2" borderId="0" xfId="0" applyNumberFormat="1" applyFont="1" applyFill="1" applyBorder="1" applyProtection="1">
      <protection locked="0"/>
    </xf>
    <xf numFmtId="0" fontId="16" fillId="2" borderId="0" xfId="0" applyFont="1" applyFill="1" applyProtection="1">
      <protection locked="0"/>
    </xf>
    <xf numFmtId="166" fontId="25" fillId="2" borderId="0" xfId="0" applyNumberFormat="1" applyFont="1" applyFill="1" applyBorder="1" applyAlignment="1" applyProtection="1">
      <alignment horizontal="left"/>
      <protection locked="0"/>
    </xf>
    <xf numFmtId="0" fontId="0" fillId="2" borderId="0" xfId="0" applyFill="1" applyBorder="1"/>
    <xf numFmtId="0" fontId="0" fillId="0" borderId="0" xfId="0" applyBorder="1"/>
    <xf numFmtId="0" fontId="5" fillId="2" borderId="0" xfId="0" applyFont="1" applyFill="1" applyAlignment="1" applyProtection="1"/>
    <xf numFmtId="0" fontId="0" fillId="0" borderId="76" xfId="0" applyBorder="1"/>
    <xf numFmtId="0" fontId="29" fillId="2" borderId="0" xfId="0" applyFont="1" applyFill="1" applyBorder="1" applyAlignment="1" applyProtection="1">
      <alignment horizontal="left" vertical="center"/>
      <protection locked="0"/>
    </xf>
    <xf numFmtId="166" fontId="11" fillId="5" borderId="32" xfId="0" applyNumberFormat="1" applyFont="1" applyFill="1" applyBorder="1" applyAlignment="1" applyProtection="1">
      <alignment horizontal="left"/>
      <protection locked="0"/>
    </xf>
    <xf numFmtId="166" fontId="11" fillId="5" borderId="0" xfId="0" applyNumberFormat="1" applyFont="1" applyFill="1" applyBorder="1" applyAlignment="1" applyProtection="1">
      <alignment horizontal="left"/>
      <protection locked="0"/>
    </xf>
    <xf numFmtId="166" fontId="11" fillId="5" borderId="62" xfId="0" applyNumberFormat="1" applyFont="1" applyFill="1" applyBorder="1" applyAlignment="1" applyProtection="1">
      <alignment horizontal="left"/>
      <protection locked="0"/>
    </xf>
    <xf numFmtId="0" fontId="16" fillId="2" borderId="0" xfId="0" applyFont="1" applyFill="1" applyBorder="1" applyAlignment="1" applyProtection="1">
      <alignment horizontal="right"/>
      <protection locked="0"/>
    </xf>
    <xf numFmtId="0" fontId="0" fillId="0" borderId="32" xfId="0" applyBorder="1"/>
    <xf numFmtId="0" fontId="9" fillId="6" borderId="30" xfId="0" applyFont="1" applyFill="1" applyBorder="1" applyAlignment="1" applyProtection="1">
      <alignment horizontal="right" vertical="center"/>
      <protection locked="0"/>
    </xf>
    <xf numFmtId="0" fontId="9" fillId="10" borderId="80" xfId="0" applyFont="1" applyFill="1" applyBorder="1" applyAlignment="1" applyProtection="1">
      <alignment horizontal="right" vertical="center"/>
    </xf>
    <xf numFmtId="0" fontId="11" fillId="0" borderId="81" xfId="0" applyFont="1" applyBorder="1" applyAlignment="1" applyProtection="1">
      <alignment horizontal="left" vertical="center" wrapText="1" indent="1"/>
      <protection locked="0"/>
    </xf>
    <xf numFmtId="165" fontId="9" fillId="12" borderId="0" xfId="0" applyNumberFormat="1" applyFont="1" applyFill="1" applyBorder="1" applyAlignment="1" applyProtection="1">
      <protection locked="0"/>
    </xf>
    <xf numFmtId="165" fontId="9" fillId="13" borderId="36" xfId="1" applyNumberFormat="1" applyFont="1" applyFill="1" applyBorder="1" applyAlignment="1">
      <alignment vertical="center" wrapText="1"/>
    </xf>
    <xf numFmtId="2" fontId="9" fillId="12" borderId="62" xfId="0" applyNumberFormat="1" applyFont="1" applyFill="1" applyBorder="1" applyAlignment="1" applyProtection="1">
      <protection locked="0"/>
    </xf>
    <xf numFmtId="165" fontId="11" fillId="2" borderId="54" xfId="0" applyNumberFormat="1" applyFont="1" applyFill="1" applyBorder="1" applyAlignment="1" applyProtection="1">
      <alignment horizontal="right" vertical="center" wrapText="1"/>
    </xf>
    <xf numFmtId="165" fontId="11" fillId="2" borderId="53" xfId="0" applyNumberFormat="1" applyFont="1" applyFill="1" applyBorder="1" applyAlignment="1" applyProtection="1">
      <alignment horizontal="right" vertical="center" wrapText="1"/>
    </xf>
    <xf numFmtId="168" fontId="11" fillId="2" borderId="7" xfId="0" applyNumberFormat="1" applyFont="1" applyFill="1" applyBorder="1" applyAlignment="1" applyProtection="1">
      <alignment horizontal="right" vertical="center"/>
    </xf>
    <xf numFmtId="168" fontId="11" fillId="2" borderId="36" xfId="0" applyNumberFormat="1" applyFont="1" applyFill="1" applyBorder="1" applyAlignment="1" applyProtection="1">
      <alignment horizontal="right" vertical="center"/>
    </xf>
    <xf numFmtId="0" fontId="24" fillId="12" borderId="82" xfId="0" applyFont="1" applyFill="1" applyBorder="1" applyAlignment="1" applyProtection="1">
      <alignment horizontal="left" vertical="center" wrapText="1" indent="2"/>
      <protection locked="0"/>
    </xf>
    <xf numFmtId="165" fontId="9" fillId="12" borderId="64" xfId="0" applyNumberFormat="1" applyFont="1" applyFill="1" applyBorder="1" applyAlignment="1" applyProtection="1">
      <protection locked="0"/>
    </xf>
    <xf numFmtId="165" fontId="9" fillId="12" borderId="65" xfId="0" applyNumberFormat="1" applyFont="1" applyFill="1" applyBorder="1" applyAlignment="1" applyProtection="1">
      <protection locked="0"/>
    </xf>
    <xf numFmtId="165" fontId="9" fillId="12" borderId="68" xfId="0" applyNumberFormat="1" applyFont="1" applyFill="1" applyBorder="1" applyAlignment="1" applyProtection="1">
      <protection locked="0"/>
    </xf>
    <xf numFmtId="166" fontId="9" fillId="6" borderId="64" xfId="0" applyNumberFormat="1" applyFont="1" applyFill="1" applyBorder="1" applyAlignment="1" applyProtection="1">
      <alignment horizontal="left"/>
    </xf>
    <xf numFmtId="166" fontId="9" fillId="6" borderId="67" xfId="0" applyNumberFormat="1" applyFont="1" applyFill="1" applyBorder="1" applyAlignment="1" applyProtection="1">
      <alignment horizontal="left"/>
    </xf>
    <xf numFmtId="166" fontId="9" fillId="6" borderId="65" xfId="0" applyNumberFormat="1" applyFont="1" applyFill="1" applyBorder="1" applyAlignment="1" applyProtection="1">
      <alignment horizontal="left"/>
    </xf>
    <xf numFmtId="166" fontId="9" fillId="6" borderId="68" xfId="0" applyNumberFormat="1" applyFont="1" applyFill="1" applyBorder="1" applyAlignment="1" applyProtection="1">
      <alignment horizontal="left"/>
    </xf>
    <xf numFmtId="169" fontId="9" fillId="6" borderId="0" xfId="0" applyNumberFormat="1" applyFont="1" applyFill="1" applyBorder="1" applyAlignment="1" applyProtection="1">
      <alignment horizontal="right"/>
      <protection locked="0"/>
    </xf>
    <xf numFmtId="0" fontId="11" fillId="0" borderId="82" xfId="0" applyFont="1" applyBorder="1" applyAlignment="1" applyProtection="1">
      <alignment horizontal="left" vertical="center" wrapText="1" indent="3"/>
    </xf>
    <xf numFmtId="165" fontId="11" fillId="2" borderId="64" xfId="0" applyNumberFormat="1" applyFont="1" applyFill="1" applyBorder="1" applyAlignment="1" applyProtection="1">
      <alignment horizontal="right" wrapText="1"/>
    </xf>
    <xf numFmtId="165" fontId="11" fillId="2" borderId="67" xfId="0" applyNumberFormat="1" applyFont="1" applyFill="1" applyBorder="1" applyAlignment="1" applyProtection="1">
      <alignment horizontal="right" wrapText="1"/>
    </xf>
    <xf numFmtId="168" fontId="11" fillId="2" borderId="64" xfId="0" applyNumberFormat="1" applyFont="1" applyFill="1" applyBorder="1" applyAlignment="1" applyProtection="1">
      <alignment horizontal="right" vertical="center"/>
    </xf>
    <xf numFmtId="168" fontId="11" fillId="2" borderId="65" xfId="0" applyNumberFormat="1" applyFont="1" applyFill="1" applyBorder="1" applyAlignment="1" applyProtection="1">
      <alignment horizontal="right" vertical="center"/>
    </xf>
    <xf numFmtId="168" fontId="11" fillId="2" borderId="68" xfId="0" applyNumberFormat="1" applyFont="1" applyFill="1" applyBorder="1" applyAlignment="1" applyProtection="1">
      <alignment horizontal="right" vertical="center"/>
    </xf>
    <xf numFmtId="167" fontId="16" fillId="2" borderId="0" xfId="0" applyNumberFormat="1" applyFont="1" applyFill="1" applyBorder="1" applyProtection="1">
      <protection locked="0"/>
    </xf>
    <xf numFmtId="0" fontId="11" fillId="0" borderId="82" xfId="0" applyFont="1" applyBorder="1" applyAlignment="1" applyProtection="1">
      <alignment horizontal="left" vertical="center" wrapText="1" indent="1"/>
    </xf>
    <xf numFmtId="165" fontId="11" fillId="2" borderId="69" xfId="0" applyNumberFormat="1" applyFont="1" applyFill="1" applyBorder="1" applyAlignment="1" applyProtection="1">
      <alignment horizontal="right" wrapText="1"/>
    </xf>
    <xf numFmtId="165" fontId="11" fillId="2" borderId="70" xfId="0" applyNumberFormat="1" applyFont="1" applyFill="1" applyBorder="1" applyAlignment="1" applyProtection="1">
      <alignment horizontal="right" wrapText="1"/>
    </xf>
    <xf numFmtId="0" fontId="11" fillId="0" borderId="83" xfId="0" applyFont="1" applyBorder="1" applyAlignment="1" applyProtection="1">
      <alignment horizontal="left" vertical="center" wrapText="1" indent="1"/>
    </xf>
    <xf numFmtId="165" fontId="9" fillId="13" borderId="45" xfId="1" applyNumberFormat="1" applyFont="1" applyFill="1" applyBorder="1" applyAlignment="1">
      <alignment vertical="center" wrapText="1"/>
    </xf>
    <xf numFmtId="2" fontId="9" fillId="12" borderId="84" xfId="0" applyNumberFormat="1" applyFont="1" applyFill="1" applyBorder="1" applyAlignment="1" applyProtection="1">
      <protection locked="0"/>
    </xf>
    <xf numFmtId="0" fontId="26" fillId="15" borderId="29" xfId="0" applyFont="1" applyFill="1" applyBorder="1" applyAlignment="1" applyProtection="1">
      <alignment vertical="center" wrapText="1"/>
      <protection locked="0"/>
    </xf>
    <xf numFmtId="0" fontId="26" fillId="15" borderId="1" xfId="0" applyFont="1" applyFill="1" applyBorder="1" applyAlignment="1" applyProtection="1">
      <alignment vertical="center" wrapText="1"/>
      <protection locked="0"/>
    </xf>
    <xf numFmtId="0" fontId="27" fillId="15" borderId="22" xfId="0" applyFont="1" applyFill="1" applyBorder="1" applyAlignment="1" applyProtection="1">
      <alignment vertical="center"/>
      <protection locked="0"/>
    </xf>
    <xf numFmtId="165" fontId="27" fillId="15" borderId="73" xfId="0" applyNumberFormat="1" applyFont="1" applyFill="1" applyBorder="1" applyAlignment="1" applyProtection="1">
      <alignment vertical="center"/>
      <protection locked="0"/>
    </xf>
    <xf numFmtId="0" fontId="27" fillId="15" borderId="1" xfId="0" applyFont="1" applyFill="1" applyBorder="1" applyAlignment="1" applyProtection="1">
      <alignment vertical="center"/>
      <protection locked="0"/>
    </xf>
    <xf numFmtId="166" fontId="11" fillId="5" borderId="29" xfId="0" applyNumberFormat="1" applyFont="1" applyFill="1" applyBorder="1" applyAlignment="1" applyProtection="1">
      <alignment horizontal="left"/>
      <protection locked="0"/>
    </xf>
    <xf numFmtId="166" fontId="11" fillId="5" borderId="30" xfId="0" applyNumberFormat="1" applyFont="1" applyFill="1" applyBorder="1" applyAlignment="1" applyProtection="1">
      <alignment horizontal="left"/>
      <protection locked="0"/>
    </xf>
    <xf numFmtId="166" fontId="11" fillId="5" borderId="31" xfId="0" applyNumberFormat="1" applyFont="1" applyFill="1" applyBorder="1" applyAlignment="1" applyProtection="1">
      <alignment horizontal="left"/>
      <protection locked="0"/>
    </xf>
    <xf numFmtId="0" fontId="16" fillId="2" borderId="0" xfId="0" applyFont="1" applyFill="1"/>
    <xf numFmtId="0" fontId="5" fillId="0" borderId="0" xfId="0" applyFont="1" applyAlignment="1">
      <alignment vertical="center"/>
    </xf>
    <xf numFmtId="0" fontId="14" fillId="6" borderId="85" xfId="0" applyFont="1" applyFill="1" applyBorder="1" applyAlignment="1" applyProtection="1">
      <alignment horizontal="left" vertical="center"/>
    </xf>
    <xf numFmtId="0" fontId="14" fillId="6" borderId="86" xfId="0" applyFont="1" applyFill="1" applyBorder="1" applyAlignment="1" applyProtection="1">
      <alignment horizontal="left" vertical="center"/>
    </xf>
    <xf numFmtId="0" fontId="9" fillId="6" borderId="20" xfId="0" applyFont="1" applyFill="1" applyBorder="1" applyAlignment="1" applyProtection="1">
      <alignment horizontal="left" vertical="center"/>
    </xf>
    <xf numFmtId="0" fontId="0" fillId="2" borderId="0" xfId="0" applyFill="1" applyAlignment="1"/>
    <xf numFmtId="0" fontId="16" fillId="2" borderId="0" xfId="0" applyFont="1" applyFill="1" applyAlignment="1"/>
    <xf numFmtId="167" fontId="16" fillId="2" borderId="0" xfId="0" applyNumberFormat="1" applyFont="1" applyFill="1" applyAlignment="1" applyProtection="1">
      <protection locked="0"/>
    </xf>
    <xf numFmtId="0" fontId="9" fillId="6" borderId="29" xfId="0" applyFont="1" applyFill="1" applyBorder="1" applyAlignment="1" applyProtection="1">
      <alignment horizontal="left"/>
    </xf>
    <xf numFmtId="0" fontId="9" fillId="6" borderId="30" xfId="0" applyFont="1" applyFill="1" applyBorder="1" applyAlignment="1" applyProtection="1">
      <alignment horizontal="left"/>
    </xf>
    <xf numFmtId="168" fontId="9" fillId="2" borderId="80" xfId="0" applyNumberFormat="1" applyFont="1" applyFill="1" applyBorder="1" applyAlignment="1" applyProtection="1">
      <alignment horizontal="right"/>
    </xf>
    <xf numFmtId="168" fontId="9" fillId="2" borderId="27" xfId="0" applyNumberFormat="1" applyFont="1" applyFill="1" applyBorder="1" applyAlignment="1" applyProtection="1">
      <alignment horizontal="right"/>
    </xf>
    <xf numFmtId="0" fontId="0" fillId="2" borderId="0" xfId="0" applyFill="1" applyAlignment="1" applyProtection="1">
      <protection locked="0"/>
    </xf>
    <xf numFmtId="0" fontId="9" fillId="2" borderId="0" xfId="0" applyFont="1" applyFill="1" applyBorder="1" applyAlignment="1" applyProtection="1">
      <alignment horizontal="left"/>
      <protection locked="0"/>
    </xf>
    <xf numFmtId="0" fontId="16" fillId="2" borderId="0" xfId="0" applyFont="1" applyFill="1" applyAlignment="1" applyProtection="1">
      <alignment horizontal="right"/>
      <protection locked="0"/>
    </xf>
    <xf numFmtId="0" fontId="14" fillId="6" borderId="1" xfId="0" applyFont="1" applyFill="1" applyBorder="1" applyAlignment="1" applyProtection="1">
      <alignment horizontal="left" vertical="center"/>
    </xf>
    <xf numFmtId="0" fontId="9" fillId="6" borderId="2" xfId="0" applyFont="1" applyFill="1" applyBorder="1" applyAlignment="1" applyProtection="1">
      <alignment horizontal="left" vertical="center"/>
    </xf>
    <xf numFmtId="0" fontId="9" fillId="10" borderId="2" xfId="0" applyFont="1" applyFill="1" applyBorder="1" applyAlignment="1" applyProtection="1">
      <alignment horizontal="centerContinuous" vertical="center"/>
    </xf>
    <xf numFmtId="0" fontId="9" fillId="16" borderId="2" xfId="0" applyFont="1" applyFill="1" applyBorder="1" applyAlignment="1" applyProtection="1">
      <alignment horizontal="centerContinuous" vertical="center"/>
    </xf>
    <xf numFmtId="0" fontId="14" fillId="6" borderId="3" xfId="0" applyFont="1" applyFill="1" applyBorder="1" applyAlignment="1" applyProtection="1">
      <alignment horizontal="left" vertical="center"/>
    </xf>
    <xf numFmtId="0" fontId="0" fillId="0" borderId="0" xfId="0" applyFill="1" applyProtection="1">
      <protection locked="0"/>
    </xf>
    <xf numFmtId="167" fontId="16" fillId="2" borderId="0" xfId="0" applyNumberFormat="1" applyFont="1" applyFill="1" applyProtection="1">
      <protection locked="0"/>
    </xf>
    <xf numFmtId="0" fontId="11" fillId="6" borderId="17" xfId="0" applyFont="1" applyFill="1" applyBorder="1" applyAlignment="1" applyProtection="1">
      <alignment horizontal="right" indent="2"/>
    </xf>
    <xf numFmtId="168" fontId="11" fillId="2" borderId="2" xfId="0" applyNumberFormat="1" applyFont="1" applyFill="1" applyBorder="1" applyAlignment="1" applyProtection="1">
      <alignment horizontal="right" vertical="center"/>
    </xf>
    <xf numFmtId="168" fontId="11" fillId="2" borderId="9" xfId="0" applyNumberFormat="1" applyFont="1" applyFill="1" applyBorder="1" applyAlignment="1" applyProtection="1">
      <alignment horizontal="right" vertical="center"/>
    </xf>
    <xf numFmtId="168" fontId="11" fillId="2" borderId="10" xfId="0" applyNumberFormat="1" applyFont="1" applyFill="1" applyBorder="1" applyAlignment="1" applyProtection="1">
      <alignment horizontal="right" vertical="center"/>
    </xf>
    <xf numFmtId="168" fontId="11" fillId="5" borderId="20" xfId="0" applyNumberFormat="1" applyFont="1" applyFill="1" applyBorder="1" applyAlignment="1" applyProtection="1">
      <alignment horizontal="right" vertical="center"/>
    </xf>
    <xf numFmtId="168" fontId="11" fillId="5" borderId="21" xfId="0" applyNumberFormat="1" applyFont="1" applyFill="1" applyBorder="1" applyAlignment="1" applyProtection="1">
      <alignment horizontal="right"/>
    </xf>
    <xf numFmtId="0" fontId="11" fillId="6" borderId="32" xfId="0" applyFont="1" applyFill="1" applyBorder="1" applyAlignment="1" applyProtection="1">
      <alignment horizontal="right" indent="2"/>
    </xf>
    <xf numFmtId="168" fontId="11" fillId="5" borderId="0" xfId="0" applyNumberFormat="1" applyFont="1" applyFill="1" applyBorder="1" applyAlignment="1" applyProtection="1">
      <alignment horizontal="left" vertical="center"/>
    </xf>
    <xf numFmtId="168" fontId="11" fillId="2" borderId="47" xfId="0" applyNumberFormat="1" applyFont="1" applyFill="1" applyBorder="1" applyAlignment="1" applyProtection="1">
      <alignment horizontal="right" vertical="center"/>
    </xf>
    <xf numFmtId="168" fontId="11" fillId="2" borderId="87" xfId="0" applyNumberFormat="1" applyFont="1" applyFill="1" applyBorder="1" applyAlignment="1" applyProtection="1">
      <alignment horizontal="right" vertical="center"/>
    </xf>
    <xf numFmtId="168" fontId="11" fillId="5" borderId="0" xfId="0" applyNumberFormat="1" applyFont="1" applyFill="1" applyBorder="1" applyAlignment="1" applyProtection="1">
      <alignment horizontal="right" vertical="center"/>
    </xf>
    <xf numFmtId="168" fontId="11" fillId="5" borderId="62" xfId="0" applyNumberFormat="1" applyFont="1" applyFill="1" applyBorder="1" applyAlignment="1" applyProtection="1">
      <alignment horizontal="right"/>
    </xf>
    <xf numFmtId="168" fontId="11" fillId="2" borderId="41" xfId="0" applyNumberFormat="1" applyFont="1" applyFill="1" applyBorder="1" applyAlignment="1" applyProtection="1">
      <alignment horizontal="right" vertical="center"/>
    </xf>
    <xf numFmtId="168" fontId="11" fillId="2" borderId="71" xfId="0" applyNumberFormat="1" applyFont="1" applyFill="1" applyBorder="1" applyAlignment="1" applyProtection="1">
      <alignment horizontal="right" vertical="center"/>
    </xf>
    <xf numFmtId="168" fontId="11" fillId="5" borderId="30" xfId="0" applyNumberFormat="1" applyFont="1" applyFill="1" applyBorder="1" applyAlignment="1" applyProtection="1">
      <alignment horizontal="right" vertical="center"/>
    </xf>
    <xf numFmtId="0" fontId="16" fillId="2" borderId="0" xfId="0" applyFont="1" applyFill="1" applyAlignment="1" applyProtection="1">
      <alignment horizontal="left"/>
      <protection locked="0"/>
    </xf>
    <xf numFmtId="0" fontId="16" fillId="2" borderId="0" xfId="0" applyFont="1" applyFill="1" applyAlignment="1" applyProtection="1">
      <alignment horizontal="left" wrapText="1"/>
      <protection locked="0"/>
    </xf>
    <xf numFmtId="168" fontId="11" fillId="5" borderId="30" xfId="0" applyNumberFormat="1" applyFont="1" applyFill="1" applyBorder="1" applyAlignment="1" applyProtection="1">
      <alignment horizontal="left" vertical="center"/>
    </xf>
    <xf numFmtId="168" fontId="11" fillId="5" borderId="24" xfId="0" applyNumberFormat="1" applyFont="1" applyFill="1" applyBorder="1" applyAlignment="1" applyProtection="1">
      <alignment horizontal="right"/>
    </xf>
    <xf numFmtId="0" fontId="27" fillId="15" borderId="24" xfId="0" applyFont="1" applyFill="1" applyBorder="1" applyAlignment="1" applyProtection="1">
      <protection locked="0"/>
    </xf>
    <xf numFmtId="168" fontId="27" fillId="15" borderId="30" xfId="0" applyNumberFormat="1" applyFont="1" applyFill="1" applyBorder="1" applyAlignment="1" applyProtection="1">
      <alignment horizontal="left"/>
      <protection locked="0"/>
    </xf>
    <xf numFmtId="168" fontId="27" fillId="15" borderId="2" xfId="0" applyNumberFormat="1" applyFont="1" applyFill="1" applyBorder="1" applyAlignment="1" applyProtection="1">
      <alignment horizontal="right"/>
      <protection locked="0"/>
    </xf>
    <xf numFmtId="168" fontId="27" fillId="15" borderId="3" xfId="0" applyNumberFormat="1" applyFont="1" applyFill="1" applyBorder="1" applyAlignment="1" applyProtection="1">
      <alignment horizontal="right"/>
      <protection locked="0"/>
    </xf>
    <xf numFmtId="168" fontId="27" fillId="15" borderId="1" xfId="0" applyNumberFormat="1" applyFont="1" applyFill="1" applyBorder="1" applyAlignment="1" applyProtection="1">
      <alignment horizontal="right" vertical="center"/>
      <protection locked="0"/>
    </xf>
    <xf numFmtId="168" fontId="27" fillId="15" borderId="23" xfId="0" applyNumberFormat="1" applyFont="1" applyFill="1" applyBorder="1" applyAlignment="1" applyProtection="1">
      <alignment horizontal="right" vertical="center"/>
      <protection locked="0"/>
    </xf>
    <xf numFmtId="168" fontId="27" fillId="15" borderId="88" xfId="0" applyNumberFormat="1" applyFont="1" applyFill="1" applyBorder="1" applyAlignment="1" applyProtection="1">
      <alignment horizontal="right" vertical="center"/>
      <protection locked="0"/>
    </xf>
    <xf numFmtId="168" fontId="27" fillId="15" borderId="22" xfId="0" applyNumberFormat="1" applyFont="1" applyFill="1" applyBorder="1" applyAlignment="1" applyProtection="1">
      <alignment horizontal="right" vertical="center"/>
      <protection locked="0"/>
    </xf>
    <xf numFmtId="168" fontId="27" fillId="15" borderId="24" xfId="0" applyNumberFormat="1" applyFont="1" applyFill="1" applyBorder="1" applyAlignment="1" applyProtection="1">
      <alignment horizontal="right"/>
      <protection locked="0"/>
    </xf>
    <xf numFmtId="0" fontId="9" fillId="2" borderId="20" xfId="0" applyFont="1" applyFill="1" applyBorder="1" applyAlignment="1" applyProtection="1">
      <alignment horizontal="left" wrapText="1"/>
      <protection locked="0"/>
    </xf>
    <xf numFmtId="168" fontId="9" fillId="2" borderId="2" xfId="0" applyNumberFormat="1" applyFont="1" applyFill="1" applyBorder="1" applyAlignment="1" applyProtection="1">
      <alignment horizontal="right" vertical="center"/>
      <protection locked="0"/>
    </xf>
    <xf numFmtId="0" fontId="0" fillId="0" borderId="2" xfId="0" applyFill="1" applyBorder="1" applyProtection="1">
      <protection locked="0"/>
    </xf>
    <xf numFmtId="168" fontId="27" fillId="15" borderId="2" xfId="0" applyNumberFormat="1" applyFont="1" applyFill="1" applyBorder="1" applyAlignment="1" applyProtection="1">
      <alignment horizontal="right" vertical="center"/>
      <protection locked="0"/>
    </xf>
    <xf numFmtId="168" fontId="27" fillId="17" borderId="25" xfId="0" applyNumberFormat="1" applyFont="1" applyFill="1" applyBorder="1" applyAlignment="1" applyProtection="1">
      <alignment horizontal="right"/>
      <protection locked="0"/>
    </xf>
    <xf numFmtId="165" fontId="30"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31" fillId="0" borderId="0" xfId="0" applyFont="1" applyFill="1" applyAlignment="1" applyProtection="1">
      <alignment horizontal="center" wrapText="1"/>
      <protection locked="0"/>
    </xf>
    <xf numFmtId="0" fontId="2" fillId="0" borderId="0" xfId="0" applyFont="1" applyProtection="1">
      <protection locked="0"/>
    </xf>
    <xf numFmtId="0" fontId="0" fillId="0" borderId="0" xfId="0" applyProtection="1">
      <protection locked="0"/>
    </xf>
    <xf numFmtId="0" fontId="5" fillId="2" borderId="0" xfId="0" applyFont="1" applyFill="1" applyAlignment="1" applyProtection="1">
      <alignment horizontal="left" vertical="center"/>
    </xf>
    <xf numFmtId="0" fontId="18" fillId="2" borderId="0" xfId="0" applyFont="1" applyFill="1" applyBorder="1"/>
    <xf numFmtId="0" fontId="11" fillId="0" borderId="0" xfId="0" applyFont="1" applyAlignment="1" applyProtection="1">
      <protection locked="0"/>
    </xf>
    <xf numFmtId="0" fontId="0" fillId="0" borderId="0" xfId="0" applyAlignment="1" applyProtection="1">
      <alignment horizontal="left"/>
      <protection locked="0"/>
    </xf>
    <xf numFmtId="0" fontId="32" fillId="0" borderId="0" xfId="0" applyFont="1"/>
    <xf numFmtId="0" fontId="33" fillId="2" borderId="0" xfId="0" applyFont="1" applyFill="1"/>
    <xf numFmtId="165" fontId="16" fillId="2" borderId="0" xfId="0" quotePrefix="1" applyNumberFormat="1" applyFont="1" applyFill="1" applyBorder="1"/>
    <xf numFmtId="165" fontId="16" fillId="2" borderId="0" xfId="0" applyNumberFormat="1" applyFont="1" applyFill="1" applyBorder="1"/>
    <xf numFmtId="168" fontId="16" fillId="2" borderId="0" xfId="0" applyNumberFormat="1" applyFont="1" applyFill="1" applyBorder="1"/>
    <xf numFmtId="43" fontId="16" fillId="2" borderId="0" xfId="0" applyNumberFormat="1" applyFont="1" applyFill="1" applyBorder="1" applyProtection="1">
      <protection locked="0"/>
    </xf>
    <xf numFmtId="171" fontId="16" fillId="2" borderId="0" xfId="0" applyNumberFormat="1" applyFont="1" applyFill="1" applyBorder="1" applyProtection="1">
      <protection locked="0"/>
    </xf>
    <xf numFmtId="2" fontId="16" fillId="2" borderId="0" xfId="0" applyNumberFormat="1" applyFont="1" applyFill="1" applyBorder="1" applyProtection="1">
      <protection locked="0"/>
    </xf>
    <xf numFmtId="170" fontId="9" fillId="2" borderId="0" xfId="0" applyNumberFormat="1" applyFont="1" applyFill="1" applyBorder="1" applyProtection="1">
      <protection locked="0"/>
    </xf>
    <xf numFmtId="0" fontId="3" fillId="2" borderId="0" xfId="0" applyFont="1" applyFill="1"/>
    <xf numFmtId="2" fontId="9" fillId="13" borderId="64" xfId="1" applyNumberFormat="1" applyFont="1" applyFill="1" applyBorder="1" applyAlignment="1">
      <alignment vertical="center" wrapText="1"/>
    </xf>
    <xf numFmtId="2" fontId="9" fillId="13" borderId="65" xfId="1" applyNumberFormat="1" applyFont="1" applyFill="1" applyBorder="1" applyAlignment="1">
      <alignment vertical="center" wrapText="1"/>
    </xf>
    <xf numFmtId="172" fontId="9" fillId="13" borderId="65" xfId="1" applyNumberFormat="1" applyFont="1" applyFill="1" applyBorder="1" applyAlignment="1">
      <alignment vertical="center" wrapText="1"/>
    </xf>
    <xf numFmtId="2" fontId="9" fillId="13" borderId="68" xfId="1" applyNumberFormat="1" applyFont="1" applyFill="1" applyBorder="1" applyAlignment="1">
      <alignment vertical="center" wrapText="1"/>
    </xf>
    <xf numFmtId="0" fontId="3" fillId="6" borderId="90" xfId="0" applyFont="1" applyFill="1" applyBorder="1" applyAlignment="1">
      <alignment horizontal="right"/>
    </xf>
    <xf numFmtId="168" fontId="9" fillId="2" borderId="91" xfId="0" applyNumberFormat="1" applyFont="1" applyFill="1" applyBorder="1" applyAlignment="1" applyProtection="1">
      <alignment horizontal="right"/>
    </xf>
    <xf numFmtId="168" fontId="3" fillId="0" borderId="90" xfId="0" applyNumberFormat="1" applyFont="1" applyBorder="1" applyAlignment="1">
      <alignment horizontal="right"/>
    </xf>
    <xf numFmtId="0" fontId="27" fillId="15" borderId="0" xfId="0" applyFont="1" applyFill="1" applyBorder="1" applyAlignment="1" applyProtection="1">
      <alignment vertical="center"/>
      <protection locked="0"/>
    </xf>
    <xf numFmtId="168" fontId="27" fillId="15" borderId="0" xfId="0" applyNumberFormat="1" applyFont="1" applyFill="1" applyBorder="1" applyAlignment="1" applyProtection="1">
      <alignment horizontal="right" vertical="center"/>
      <protection locked="0"/>
    </xf>
    <xf numFmtId="0" fontId="11" fillId="0" borderId="37" xfId="0" applyFont="1" applyBorder="1" applyAlignment="1" applyProtection="1">
      <alignment horizontal="left" vertical="center" wrapText="1" indent="1"/>
      <protection locked="0"/>
    </xf>
    <xf numFmtId="165" fontId="11" fillId="0" borderId="0" xfId="0" applyNumberFormat="1" applyFont="1" applyFill="1" applyBorder="1" applyAlignment="1" applyProtection="1">
      <alignment horizontal="right" vertical="center" wrapText="1"/>
    </xf>
    <xf numFmtId="0" fontId="11" fillId="0" borderId="32" xfId="0" applyFont="1" applyBorder="1" applyAlignment="1" applyProtection="1">
      <alignment horizontal="left" vertical="center" wrapText="1" indent="1"/>
      <protection locked="0"/>
    </xf>
    <xf numFmtId="165" fontId="9" fillId="6" borderId="92" xfId="0" applyNumberFormat="1" applyFont="1" applyFill="1" applyBorder="1" applyAlignment="1" applyProtection="1">
      <alignment vertical="center"/>
    </xf>
    <xf numFmtId="165" fontId="9" fillId="6" borderId="93" xfId="0" applyNumberFormat="1" applyFont="1" applyFill="1" applyBorder="1" applyAlignment="1" applyProtection="1">
      <alignment vertical="center"/>
    </xf>
    <xf numFmtId="165" fontId="9" fillId="6" borderId="94" xfId="0" applyNumberFormat="1" applyFont="1" applyFill="1" applyBorder="1" applyAlignment="1" applyProtection="1">
      <alignment vertical="center"/>
    </xf>
    <xf numFmtId="165" fontId="11" fillId="0" borderId="94" xfId="0" applyNumberFormat="1" applyFont="1" applyFill="1" applyBorder="1" applyAlignment="1" applyProtection="1">
      <alignment horizontal="right" vertical="center" wrapText="1"/>
    </xf>
    <xf numFmtId="165" fontId="11" fillId="0" borderId="71" xfId="0" applyNumberFormat="1" applyFont="1" applyFill="1" applyBorder="1" applyAlignment="1" applyProtection="1">
      <alignment horizontal="right" vertical="center" wrapText="1"/>
    </xf>
    <xf numFmtId="165" fontId="11" fillId="0" borderId="72" xfId="0" applyNumberFormat="1" applyFont="1" applyFill="1" applyBorder="1" applyAlignment="1" applyProtection="1">
      <alignment horizontal="right" vertical="center" wrapText="1"/>
    </xf>
    <xf numFmtId="0" fontId="5" fillId="0" borderId="0" xfId="0" applyFont="1" applyFill="1" applyBorder="1" applyProtection="1"/>
    <xf numFmtId="0" fontId="0" fillId="0" borderId="0" xfId="0" applyFill="1" applyBorder="1"/>
    <xf numFmtId="0" fontId="11" fillId="0" borderId="0" xfId="0" applyFont="1" applyFill="1" applyBorder="1" applyAlignment="1" applyProtection="1">
      <alignment horizontal="left" vertical="center" wrapText="1" indent="1"/>
      <protection locked="0"/>
    </xf>
    <xf numFmtId="165" fontId="9" fillId="0" borderId="0" xfId="0" applyNumberFormat="1" applyFont="1" applyFill="1" applyBorder="1" applyAlignment="1" applyProtection="1">
      <alignment vertical="center"/>
    </xf>
    <xf numFmtId="0" fontId="16" fillId="0" borderId="0" xfId="0" applyFont="1" applyFill="1" applyBorder="1"/>
    <xf numFmtId="0" fontId="17" fillId="0" borderId="0" xfId="0" applyFont="1" applyFill="1" applyBorder="1" applyAlignment="1">
      <alignment horizontal="left" vertical="center" wrapText="1" indent="1"/>
    </xf>
    <xf numFmtId="2" fontId="11" fillId="0" borderId="0" xfId="0" applyNumberFormat="1" applyFont="1" applyFill="1" applyBorder="1" applyAlignment="1">
      <alignment horizontal="right" vertical="center" wrapText="1"/>
    </xf>
    <xf numFmtId="165" fontId="11" fillId="0" borderId="0" xfId="0" applyNumberFormat="1" applyFont="1" applyFill="1" applyBorder="1"/>
    <xf numFmtId="10" fontId="37" fillId="8" borderId="0" xfId="3" applyNumberFormat="1" applyFont="1" applyFill="1"/>
    <xf numFmtId="173" fontId="0" fillId="0" borderId="0" xfId="0" applyNumberFormat="1" applyProtection="1">
      <protection locked="0"/>
    </xf>
    <xf numFmtId="0" fontId="9" fillId="0" borderId="32" xfId="0" applyFont="1" applyFill="1" applyBorder="1" applyAlignment="1" applyProtection="1">
      <alignment horizontal="left"/>
    </xf>
    <xf numFmtId="0" fontId="0" fillId="0" borderId="0" xfId="0" applyFill="1"/>
    <xf numFmtId="168" fontId="9" fillId="0" borderId="20" xfId="0" applyNumberFormat="1" applyFont="1" applyFill="1" applyBorder="1" applyAlignment="1" applyProtection="1">
      <alignment horizontal="right"/>
    </xf>
    <xf numFmtId="0" fontId="11" fillId="0" borderId="82" xfId="0" applyFont="1" applyFill="1" applyBorder="1" applyAlignment="1" applyProtection="1">
      <alignment horizontal="left" vertical="center" wrapText="1" indent="3"/>
    </xf>
    <xf numFmtId="0" fontId="11" fillId="0" borderId="82" xfId="0" applyFont="1" applyFill="1" applyBorder="1" applyAlignment="1" applyProtection="1">
      <alignment horizontal="left" vertical="center" wrapText="1" indent="1"/>
    </xf>
    <xf numFmtId="165" fontId="9" fillId="12" borderId="62" xfId="0" applyNumberFormat="1" applyFont="1" applyFill="1" applyBorder="1" applyAlignment="1" applyProtection="1">
      <protection locked="0"/>
    </xf>
    <xf numFmtId="173" fontId="18" fillId="0" borderId="0" xfId="0" applyNumberFormat="1" applyFont="1" applyFill="1" applyBorder="1"/>
    <xf numFmtId="0" fontId="18" fillId="0" borderId="0" xfId="0" applyFont="1" applyFill="1" applyBorder="1"/>
    <xf numFmtId="168" fontId="11" fillId="0" borderId="0" xfId="0" applyNumberFormat="1" applyFont="1" applyFill="1" applyBorder="1" applyAlignment="1" applyProtection="1">
      <alignment horizontal="right" vertical="center"/>
    </xf>
    <xf numFmtId="168" fontId="11" fillId="0" borderId="41" xfId="0" applyNumberFormat="1" applyFont="1" applyFill="1" applyBorder="1" applyAlignment="1" applyProtection="1">
      <alignment horizontal="right" vertical="center"/>
    </xf>
    <xf numFmtId="0" fontId="0" fillId="0" borderId="0" xfId="0" applyFill="1" applyBorder="1" applyProtection="1">
      <protection locked="0"/>
    </xf>
    <xf numFmtId="0" fontId="9" fillId="0" borderId="0" xfId="0" applyFont="1" applyFill="1" applyBorder="1" applyAlignment="1" applyProtection="1">
      <alignment horizontal="centerContinuous" vertical="center"/>
    </xf>
    <xf numFmtId="0" fontId="14" fillId="0" borderId="0" xfId="0" applyFont="1" applyFill="1" applyBorder="1" applyAlignment="1" applyProtection="1">
      <alignment horizontal="left" vertical="center"/>
    </xf>
    <xf numFmtId="168" fontId="11" fillId="0" borderId="0" xfId="0" applyNumberFormat="1" applyFont="1" applyFill="1" applyBorder="1" applyAlignment="1" applyProtection="1">
      <alignment horizontal="right"/>
    </xf>
    <xf numFmtId="168" fontId="9" fillId="0" borderId="0" xfId="0" applyNumberFormat="1" applyFont="1" applyFill="1" applyBorder="1" applyAlignment="1" applyProtection="1">
      <alignment horizontal="right" vertical="center"/>
      <protection locked="0"/>
    </xf>
    <xf numFmtId="165" fontId="27" fillId="15" borderId="1" xfId="0" applyNumberFormat="1" applyFont="1" applyFill="1" applyBorder="1" applyAlignment="1" applyProtection="1">
      <alignment vertical="center"/>
      <protection locked="0"/>
    </xf>
    <xf numFmtId="0" fontId="11" fillId="0" borderId="41" xfId="0" applyFont="1" applyFill="1" applyBorder="1" applyAlignment="1" applyProtection="1">
      <alignment horizontal="left" vertical="center" wrapText="1" indent="1"/>
    </xf>
    <xf numFmtId="165" fontId="27" fillId="15" borderId="22" xfId="0" applyNumberFormat="1" applyFont="1" applyFill="1" applyBorder="1" applyAlignment="1" applyProtection="1">
      <alignment vertical="center"/>
      <protection locked="0"/>
    </xf>
    <xf numFmtId="168" fontId="27" fillId="15" borderId="0" xfId="0" applyNumberFormat="1" applyFont="1" applyFill="1" applyBorder="1" applyAlignment="1" applyProtection="1">
      <alignment horizontal="right"/>
      <protection locked="0"/>
    </xf>
    <xf numFmtId="165" fontId="27" fillId="15" borderId="0" xfId="0" applyNumberFormat="1" applyFont="1" applyFill="1" applyBorder="1" applyAlignment="1" applyProtection="1">
      <alignment vertical="center"/>
      <protection locked="0"/>
    </xf>
    <xf numFmtId="0" fontId="9" fillId="2" borderId="0" xfId="0" applyFont="1" applyFill="1" applyBorder="1" applyAlignment="1" applyProtection="1">
      <alignment horizontal="right"/>
      <protection locked="0"/>
    </xf>
    <xf numFmtId="0" fontId="11" fillId="0" borderId="37" xfId="0" applyFont="1" applyBorder="1" applyAlignment="1" applyProtection="1">
      <alignment horizontal="left" vertical="center" wrapText="1" indent="1"/>
      <protection locked="0"/>
    </xf>
    <xf numFmtId="0" fontId="15" fillId="7" borderId="23"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9" fillId="5" borderId="0" xfId="0" applyFont="1" applyFill="1" applyAlignment="1">
      <alignment horizontal="left" vertical="center" wrapText="1"/>
    </xf>
    <xf numFmtId="0" fontId="0" fillId="5" borderId="0" xfId="0" applyFill="1" applyAlignment="1">
      <alignment horizontal="left" vertical="top" wrapText="1"/>
    </xf>
    <xf numFmtId="0" fontId="15" fillId="7" borderId="1" xfId="0" applyFon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15" fillId="2" borderId="1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5" fillId="7" borderId="22" xfId="0" applyFont="1" applyFill="1" applyBorder="1" applyAlignment="1" applyProtection="1">
      <alignment horizontal="center" vertical="center"/>
      <protection locked="0"/>
    </xf>
    <xf numFmtId="0" fontId="11" fillId="0" borderId="37" xfId="0" applyFont="1" applyBorder="1" applyAlignment="1" applyProtection="1">
      <alignment horizontal="left" vertical="center" wrapText="1" indent="1"/>
      <protection locked="0"/>
    </xf>
    <xf numFmtId="0" fontId="11" fillId="0" borderId="9" xfId="0" applyFont="1" applyBorder="1" applyAlignment="1" applyProtection="1">
      <alignment horizontal="left" vertical="center" wrapText="1" indent="1"/>
      <protection locked="0"/>
    </xf>
    <xf numFmtId="0" fontId="11" fillId="0" borderId="38" xfId="0" applyFont="1" applyBorder="1" applyAlignment="1" applyProtection="1">
      <alignment horizontal="left" vertical="center" wrapText="1" indent="1"/>
      <protection locked="0"/>
    </xf>
    <xf numFmtId="0" fontId="17" fillId="2" borderId="41" xfId="0" applyFont="1" applyFill="1" applyBorder="1" applyAlignment="1">
      <alignment horizontal="left" vertical="center" wrapText="1" indent="1"/>
    </xf>
    <xf numFmtId="0" fontId="17" fillId="2" borderId="42" xfId="0" applyFont="1" applyFill="1" applyBorder="1" applyAlignment="1">
      <alignment horizontal="left" vertical="center" wrapText="1" indent="1"/>
    </xf>
    <xf numFmtId="0" fontId="17" fillId="2" borderId="46" xfId="0" applyFont="1" applyFill="1" applyBorder="1" applyAlignment="1">
      <alignment horizontal="left" vertical="center" wrapText="1" indent="1"/>
    </xf>
    <xf numFmtId="0" fontId="23" fillId="6" borderId="48" xfId="0" applyFont="1" applyFill="1" applyBorder="1" applyAlignment="1" applyProtection="1">
      <alignment horizontal="center"/>
    </xf>
    <xf numFmtId="0" fontId="23" fillId="6" borderId="49" xfId="0" applyFont="1" applyFill="1" applyBorder="1" applyAlignment="1" applyProtection="1">
      <alignment horizontal="center"/>
    </xf>
    <xf numFmtId="0" fontId="23" fillId="10" borderId="50" xfId="0" applyFont="1" applyFill="1" applyBorder="1" applyAlignment="1" applyProtection="1">
      <alignment horizontal="center"/>
    </xf>
    <xf numFmtId="0" fontId="23" fillId="10" borderId="7" xfId="0" applyFont="1" applyFill="1" applyBorder="1" applyAlignment="1" applyProtection="1">
      <alignment horizontal="center"/>
    </xf>
    <xf numFmtId="0" fontId="23" fillId="10" borderId="40" xfId="0" applyFont="1" applyFill="1" applyBorder="1" applyAlignment="1" applyProtection="1">
      <alignment horizontal="center"/>
    </xf>
    <xf numFmtId="0" fontId="9" fillId="10" borderId="47" xfId="0" applyFont="1" applyFill="1" applyBorder="1" applyAlignment="1" applyProtection="1">
      <alignment horizontal="center" vertical="center"/>
    </xf>
    <xf numFmtId="0" fontId="9" fillId="10" borderId="44" xfId="0" applyFont="1" applyFill="1" applyBorder="1" applyAlignment="1" applyProtection="1">
      <alignment horizontal="center" vertical="center"/>
    </xf>
    <xf numFmtId="0" fontId="9" fillId="10" borderId="58" xfId="0" applyFont="1" applyFill="1" applyBorder="1" applyAlignment="1" applyProtection="1">
      <alignment horizontal="center" vertical="center"/>
    </xf>
    <xf numFmtId="0" fontId="11" fillId="2" borderId="37" xfId="0" applyFont="1" applyFill="1" applyBorder="1" applyAlignment="1" applyProtection="1">
      <alignment horizontal="right" indent="2"/>
    </xf>
    <xf numFmtId="0" fontId="11" fillId="2" borderId="9" xfId="0" applyFont="1" applyFill="1" applyBorder="1" applyAlignment="1" applyProtection="1">
      <alignment horizontal="right" indent="2"/>
    </xf>
    <xf numFmtId="0" fontId="11" fillId="2" borderId="63" xfId="0" applyFont="1" applyFill="1" applyBorder="1" applyAlignment="1" applyProtection="1">
      <alignment horizontal="right" indent="2"/>
    </xf>
    <xf numFmtId="0" fontId="11" fillId="2" borderId="87" xfId="0" applyFont="1" applyFill="1" applyBorder="1" applyAlignment="1" applyProtection="1">
      <alignment horizontal="right" indent="2"/>
    </xf>
    <xf numFmtId="0" fontId="23" fillId="11" borderId="54" xfId="0" applyFont="1" applyFill="1" applyBorder="1" applyAlignment="1" applyProtection="1">
      <alignment horizontal="center"/>
    </xf>
    <xf numFmtId="0" fontId="23" fillId="11" borderId="52" xfId="0" applyFont="1" applyFill="1" applyBorder="1" applyAlignment="1" applyProtection="1">
      <alignment horizontal="center"/>
    </xf>
    <xf numFmtId="0" fontId="23" fillId="11" borderId="55" xfId="0" applyFont="1" applyFill="1" applyBorder="1" applyAlignment="1" applyProtection="1">
      <alignment horizontal="center"/>
    </xf>
    <xf numFmtId="0" fontId="9" fillId="6" borderId="56" xfId="0" applyFont="1" applyFill="1" applyBorder="1" applyAlignment="1" applyProtection="1">
      <alignment horizontal="center" vertical="center"/>
    </xf>
    <xf numFmtId="0" fontId="9" fillId="6" borderId="57" xfId="0" applyFont="1" applyFill="1" applyBorder="1" applyAlignment="1" applyProtection="1">
      <alignment horizontal="center" vertical="center"/>
    </xf>
    <xf numFmtId="0" fontId="9" fillId="10" borderId="43" xfId="0" applyFont="1" applyFill="1" applyBorder="1" applyAlignment="1" applyProtection="1">
      <alignment horizontal="center" vertical="center"/>
    </xf>
    <xf numFmtId="0" fontId="9" fillId="10" borderId="59" xfId="0" applyFont="1" applyFill="1" applyBorder="1" applyAlignment="1" applyProtection="1">
      <alignment horizontal="center" vertical="center"/>
    </xf>
    <xf numFmtId="0" fontId="23" fillId="6" borderId="77" xfId="0" applyFont="1" applyFill="1" applyBorder="1" applyAlignment="1" applyProtection="1">
      <alignment horizontal="center"/>
    </xf>
    <xf numFmtId="0" fontId="23" fillId="6" borderId="78" xfId="0" applyFont="1" applyFill="1" applyBorder="1" applyAlignment="1" applyProtection="1">
      <alignment horizontal="center"/>
    </xf>
    <xf numFmtId="0" fontId="23" fillId="10" borderId="54" xfId="0" applyFont="1" applyFill="1" applyBorder="1" applyAlignment="1" applyProtection="1">
      <alignment horizontal="center"/>
    </xf>
    <xf numFmtId="0" fontId="23" fillId="10" borderId="52" xfId="0" applyFont="1" applyFill="1" applyBorder="1" applyAlignment="1" applyProtection="1">
      <alignment horizontal="center"/>
    </xf>
    <xf numFmtId="0" fontId="23" fillId="10" borderId="61" xfId="0" applyFont="1" applyFill="1" applyBorder="1" applyAlignment="1" applyProtection="1">
      <alignment horizontal="center"/>
    </xf>
    <xf numFmtId="0" fontId="23" fillId="6" borderId="19" xfId="0" applyFont="1" applyFill="1" applyBorder="1" applyAlignment="1" applyProtection="1">
      <alignment horizontal="center"/>
    </xf>
    <xf numFmtId="0" fontId="23" fillId="6" borderId="20" xfId="0" applyFont="1" applyFill="1" applyBorder="1" applyAlignment="1" applyProtection="1">
      <alignment horizontal="center"/>
    </xf>
    <xf numFmtId="0" fontId="23" fillId="10" borderId="39" xfId="0" applyFont="1" applyFill="1" applyBorder="1" applyAlignment="1" applyProtection="1">
      <alignment horizontal="center"/>
    </xf>
    <xf numFmtId="0" fontId="23" fillId="10" borderId="51" xfId="0" applyFont="1" applyFill="1" applyBorder="1" applyAlignment="1" applyProtection="1">
      <alignment horizontal="center"/>
    </xf>
    <xf numFmtId="0" fontId="23" fillId="10" borderId="53" xfId="0" applyFont="1" applyFill="1" applyBorder="1" applyAlignment="1" applyProtection="1">
      <alignment horizontal="center"/>
    </xf>
    <xf numFmtId="0" fontId="11" fillId="2" borderId="64" xfId="0" applyFont="1" applyFill="1" applyBorder="1" applyAlignment="1" applyProtection="1">
      <alignment horizontal="right" indent="2"/>
    </xf>
    <xf numFmtId="0" fontId="11" fillId="2" borderId="67" xfId="0" applyFont="1" applyFill="1" applyBorder="1" applyAlignment="1" applyProtection="1">
      <alignment horizontal="right" indent="2"/>
    </xf>
    <xf numFmtId="0" fontId="9" fillId="6" borderId="79" xfId="0" applyFont="1" applyFill="1" applyBorder="1" applyAlignment="1" applyProtection="1">
      <alignment horizontal="center" vertical="center"/>
    </xf>
    <xf numFmtId="0" fontId="9" fillId="10" borderId="45" xfId="0" applyFont="1" applyFill="1" applyBorder="1" applyAlignment="1" applyProtection="1">
      <alignment horizontal="center" vertical="center"/>
    </xf>
  </cellXfs>
  <cellStyles count="5">
    <cellStyle name="Assumptions Right Number" xfId="2"/>
    <cellStyle name="Normal" xfId="0" builtinId="0"/>
    <cellStyle name="Normal 115" xfId="4"/>
    <cellStyle name="Normal 1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629770" cy="119903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2855548" y="108857"/>
          <a:ext cx="3204163" cy="593592"/>
          <a:chOff x="7608794" y="145676"/>
          <a:chExt cx="3047258" cy="652342"/>
        </a:xfrm>
      </xdr:grpSpPr>
      <xdr:sp macro="[1]!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629770" cy="1199030"/>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2855548" y="108857"/>
          <a:ext cx="3204163" cy="593592"/>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633132" cy="12012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2834257" y="108857"/>
          <a:ext cx="3188475" cy="592471"/>
          <a:chOff x="7608794" y="145676"/>
          <a:chExt cx="3047258" cy="652342"/>
        </a:xfrm>
      </xdr:grpSpPr>
      <xdr:sp macro="[1]!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633132" cy="1201271"/>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2834257" y="108857"/>
          <a:ext cx="3188475" cy="592471"/>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ActewAGL%20Gas%202015%20reset/Proposal/Revised%20Material%20submitted%206%20July/ActewAGL%202016-21%20-%20PUBLIC%20Gas%20Reset%20RIN%20MASTER%20FINAL_revised%20_6%20July%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Business &amp; other details"/>
      <sheetName val="1. CPI"/>
      <sheetName val="2. Escalators"/>
      <sheetName val="3 - Capex summary"/>
      <sheetName val="4. Connections market expansn"/>
      <sheetName val="5. Augmentation growth capacity"/>
      <sheetName val="6. Mains &amp; services renewal"/>
      <sheetName val="7. Facilities renewal &amp; upgrade"/>
      <sheetName val="8. Meter renewal &amp; upgrade"/>
      <sheetName val="9. Captlised regulatory exp."/>
      <sheetName val="11. Other non-distb"/>
      <sheetName val="12. IT &amp; Communications"/>
      <sheetName val="14. Overheads"/>
      <sheetName val="15. Related party transactions"/>
      <sheetName val="16. Capex allocation"/>
      <sheetName val="17. Gross Capex"/>
      <sheetName val="18. Tax depreciation"/>
      <sheetName val=" 19. Depreciation &amp; asset lives"/>
      <sheetName val="20. Changes in provisions"/>
      <sheetName val="21. Indicative bill impacts"/>
      <sheetName val="23.1 Opex incl. RPM"/>
      <sheetName val="23.2 Opex excl. RPM"/>
      <sheetName val="23.3 Opex rate-of-change"/>
      <sheetName val="24. Cost category matrix"/>
      <sheetName val="25. ARS"/>
      <sheetName val="26. Allocation of total revenue"/>
      <sheetName val="27. Customer numbers"/>
      <sheetName val="28. Consumption and demand"/>
      <sheetName val="29.1 Gas extensions ($)"/>
      <sheetName val="29.2 Gas extensions cust no"/>
      <sheetName val="29.3 Gas extensions - demand"/>
      <sheetName val="29.4 Gas extensions - tariffs"/>
      <sheetName val="30. Network characteristics"/>
      <sheetName val="31. Pass throughs"/>
      <sheetName val="7.5 EBSS (ActewAGL)"/>
      <sheetName val="BOP Jasmin"/>
      <sheetName val="7.5 EBSS (ActewAGL) (2)"/>
      <sheetName val="ActewAGL 2016-21 - PUBLIC Gas R"/>
    </sheetNames>
    <definedNames>
      <definedName name="MarkConfidential"/>
      <definedName name="MarkNonConfidential"/>
    </definedNames>
    <sheetDataSet>
      <sheetData sheetId="0" refreshError="1"/>
      <sheetData sheetId="1" refreshError="1"/>
      <sheetData sheetId="2" refreshError="1">
        <row r="14">
          <cell r="C14" t="str">
            <v>ActewAGL Distribution</v>
          </cell>
        </row>
        <row r="35">
          <cell r="C35" t="str">
            <v>2016-17</v>
          </cell>
          <cell r="D35" t="str">
            <v>2017-18</v>
          </cell>
          <cell r="E35" t="str">
            <v>2018-19</v>
          </cell>
          <cell r="F35" t="str">
            <v>2019-20</v>
          </cell>
          <cell r="G35" t="str">
            <v>2020-21</v>
          </cell>
        </row>
        <row r="38">
          <cell r="C38" t="str">
            <v>2010-11</v>
          </cell>
          <cell r="D38" t="str">
            <v>2011-12</v>
          </cell>
          <cell r="E38" t="str">
            <v>2012-13</v>
          </cell>
          <cell r="F38" t="str">
            <v>2013-14</v>
          </cell>
          <cell r="G38" t="str">
            <v>2014-15</v>
          </cell>
        </row>
        <row r="41">
          <cell r="F41" t="str">
            <v>2008-09</v>
          </cell>
          <cell r="G41" t="str">
            <v>2009-10</v>
          </cell>
        </row>
        <row r="55">
          <cell r="C55" t="str">
            <v>June 2016</v>
          </cell>
        </row>
        <row r="56">
          <cell r="C56" t="str">
            <v>June 2010</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88"/>
  <sheetViews>
    <sheetView tabSelected="1" topLeftCell="B22" zoomScale="85" zoomScaleNormal="85" workbookViewId="0">
      <selection activeCell="F29" sqref="F29"/>
    </sheetView>
  </sheetViews>
  <sheetFormatPr defaultRowHeight="15" x14ac:dyDescent="0.25"/>
  <cols>
    <col min="1" max="1" width="21.42578125" style="1" hidden="1" customWidth="1"/>
    <col min="2" max="2" width="11.140625" style="2" customWidth="1"/>
    <col min="3" max="3" width="59.7109375"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x14ac:dyDescent="0.25">
      <c r="C1" s="3" t="s">
        <v>0</v>
      </c>
      <c r="D1" s="4"/>
      <c r="E1" s="4"/>
      <c r="F1" s="4"/>
      <c r="G1" s="4"/>
      <c r="H1" s="4"/>
      <c r="I1" s="4"/>
      <c r="J1" s="4"/>
      <c r="K1" s="4"/>
      <c r="L1" s="4"/>
      <c r="M1" s="4"/>
      <c r="N1" s="4"/>
      <c r="O1" s="4"/>
      <c r="P1" s="4"/>
      <c r="Q1" s="4"/>
      <c r="R1" s="4"/>
      <c r="S1" s="4"/>
      <c r="T1" s="4"/>
      <c r="U1" s="4"/>
      <c r="V1" s="4"/>
      <c r="W1" s="4"/>
      <c r="X1" s="4"/>
      <c r="Y1" s="4"/>
      <c r="Z1" s="4"/>
      <c r="AA1" s="4"/>
      <c r="AB1" s="5"/>
    </row>
    <row r="2" spans="1:32" ht="20.25" x14ac:dyDescent="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x14ac:dyDescent="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x14ac:dyDescent="0.25">
      <c r="C4" s="7" t="s">
        <v>69</v>
      </c>
      <c r="D4" s="7"/>
      <c r="E4" s="7"/>
      <c r="F4" s="7"/>
      <c r="G4" s="7"/>
      <c r="H4" s="7"/>
      <c r="I4" s="7"/>
      <c r="J4" s="7"/>
      <c r="K4" s="7"/>
      <c r="L4" s="7"/>
      <c r="M4" s="7"/>
      <c r="N4" s="7"/>
      <c r="O4" s="7"/>
      <c r="P4" s="7"/>
      <c r="Q4" s="7"/>
      <c r="R4" s="7"/>
      <c r="S4" s="7"/>
      <c r="T4" s="7"/>
      <c r="U4" s="7"/>
      <c r="V4" s="7"/>
      <c r="W4" s="7"/>
      <c r="X4" s="7"/>
      <c r="Y4" s="7"/>
      <c r="Z4" s="7"/>
      <c r="AA4" s="7"/>
      <c r="AB4" s="8"/>
    </row>
    <row r="6" spans="1:32" x14ac:dyDescent="0.25">
      <c r="C6" s="9"/>
      <c r="D6" s="9"/>
      <c r="E6" s="9"/>
      <c r="F6" s="9"/>
      <c r="G6" s="9"/>
      <c r="H6" s="9"/>
      <c r="I6" s="9"/>
      <c r="J6" s="9"/>
      <c r="K6" s="10"/>
      <c r="L6" s="10"/>
      <c r="M6" s="10"/>
      <c r="N6" s="10"/>
      <c r="O6" s="10"/>
      <c r="P6" s="10"/>
      <c r="Q6" s="10"/>
      <c r="R6" s="10"/>
      <c r="S6" s="10"/>
      <c r="T6" s="10"/>
      <c r="U6" s="10"/>
      <c r="V6" s="10"/>
      <c r="W6" s="10"/>
      <c r="X6" s="10"/>
      <c r="Y6" s="10"/>
      <c r="Z6" s="10"/>
      <c r="AA6" s="10"/>
      <c r="AB6" s="10"/>
    </row>
    <row r="7" spans="1:32" x14ac:dyDescent="0.25">
      <c r="C7" s="329" t="s">
        <v>1</v>
      </c>
      <c r="D7" s="329"/>
      <c r="E7" s="329"/>
      <c r="F7" s="329"/>
      <c r="G7" s="329"/>
      <c r="H7" s="329"/>
      <c r="I7" s="11"/>
      <c r="J7" s="11"/>
      <c r="K7"/>
      <c r="L7"/>
      <c r="M7"/>
      <c r="N7"/>
      <c r="O7"/>
      <c r="P7"/>
      <c r="Q7"/>
      <c r="R7"/>
      <c r="S7"/>
      <c r="T7"/>
      <c r="U7"/>
      <c r="V7"/>
      <c r="W7"/>
      <c r="X7"/>
      <c r="Y7"/>
      <c r="Z7"/>
      <c r="AA7"/>
      <c r="AB7" s="12"/>
    </row>
    <row r="8" spans="1:32" x14ac:dyDescent="0.25">
      <c r="C8" s="330" t="s">
        <v>2</v>
      </c>
      <c r="D8" s="330"/>
      <c r="E8" s="330"/>
      <c r="F8" s="330"/>
      <c r="G8" s="330"/>
      <c r="H8" s="330"/>
      <c r="I8" s="330"/>
      <c r="J8" s="330"/>
      <c r="K8"/>
      <c r="L8"/>
      <c r="M8"/>
      <c r="N8"/>
      <c r="O8"/>
      <c r="P8"/>
      <c r="Q8"/>
      <c r="R8"/>
      <c r="S8"/>
      <c r="T8"/>
      <c r="U8"/>
      <c r="V8"/>
      <c r="W8"/>
      <c r="X8"/>
      <c r="Y8"/>
      <c r="Z8"/>
      <c r="AA8"/>
      <c r="AB8" s="13"/>
    </row>
    <row r="9" spans="1:32" x14ac:dyDescent="0.25">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x14ac:dyDescent="0.3"/>
    <row r="11" spans="1:32" ht="16.5" thickBot="1" x14ac:dyDescent="0.3">
      <c r="C11" s="15" t="s">
        <v>3</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x14ac:dyDescent="0.3">
      <c r="A12" s="18"/>
      <c r="C12" s="19"/>
      <c r="D12" s="20">
        <v>39538</v>
      </c>
      <c r="E12" s="20">
        <v>39629</v>
      </c>
      <c r="F12" s="20">
        <v>39721</v>
      </c>
      <c r="G12" s="20">
        <v>39813</v>
      </c>
      <c r="H12" s="20">
        <v>39903</v>
      </c>
      <c r="I12" s="20">
        <v>39994</v>
      </c>
      <c r="J12" s="20">
        <v>40086</v>
      </c>
      <c r="K12" s="20">
        <v>40178</v>
      </c>
      <c r="L12" s="20">
        <v>40268</v>
      </c>
      <c r="M12" s="20">
        <v>40359</v>
      </c>
      <c r="N12" s="20">
        <v>40451</v>
      </c>
      <c r="O12" s="20">
        <v>40543</v>
      </c>
      <c r="P12" s="20">
        <v>40633</v>
      </c>
      <c r="Q12" s="20">
        <v>40724</v>
      </c>
      <c r="R12" s="20">
        <v>40816</v>
      </c>
      <c r="S12" s="20">
        <v>40908</v>
      </c>
      <c r="T12" s="20">
        <v>40999</v>
      </c>
      <c r="U12" s="20">
        <v>41090</v>
      </c>
      <c r="V12" s="20">
        <v>41182</v>
      </c>
      <c r="W12" s="20">
        <v>41274</v>
      </c>
      <c r="X12" s="20">
        <v>41364</v>
      </c>
      <c r="Y12" s="20">
        <v>41455</v>
      </c>
      <c r="Z12" s="20">
        <v>41547</v>
      </c>
      <c r="AA12" s="20">
        <v>41639</v>
      </c>
      <c r="AB12" s="13"/>
      <c r="AC12" s="13"/>
      <c r="AD12" s="13"/>
      <c r="AE12" s="13"/>
      <c r="AF12" s="21"/>
    </row>
    <row r="13" spans="1:32" s="22" customFormat="1" x14ac:dyDescent="0.25">
      <c r="A13" s="1"/>
      <c r="C13" s="23" t="s">
        <v>4</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x14ac:dyDescent="0.25">
      <c r="A14" s="1"/>
      <c r="C14" s="32" t="s">
        <v>5</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x14ac:dyDescent="0.3">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x14ac:dyDescent="0.3">
      <c r="A16" s="38"/>
      <c r="C16" s="15" t="s">
        <v>6</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x14ac:dyDescent="0.3">
      <c r="A17" s="38"/>
      <c r="C17" s="39"/>
      <c r="D17" s="331" t="s">
        <v>7</v>
      </c>
      <c r="E17" s="332"/>
      <c r="F17" s="332"/>
      <c r="G17" s="332"/>
      <c r="H17" s="332"/>
      <c r="I17" s="333"/>
      <c r="J17" s="40"/>
      <c r="K17" s="334"/>
      <c r="L17" s="335"/>
      <c r="M17" s="336"/>
      <c r="N17" s="331" t="s">
        <v>7</v>
      </c>
      <c r="O17" s="332"/>
      <c r="P17" s="332"/>
      <c r="Q17" s="337"/>
      <c r="R17" s="327" t="s">
        <v>8</v>
      </c>
      <c r="S17" s="328"/>
      <c r="T17"/>
      <c r="U17"/>
      <c r="V17"/>
      <c r="W17"/>
      <c r="X17"/>
      <c r="Y17"/>
    </row>
    <row r="18" spans="1:37" ht="18.75" thickBot="1" x14ac:dyDescent="0.3">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9</v>
      </c>
      <c r="U18"/>
      <c r="V18"/>
      <c r="W18"/>
      <c r="X18"/>
      <c r="Y18"/>
    </row>
    <row r="19" spans="1:37" ht="25.5" customHeight="1" x14ac:dyDescent="0.25">
      <c r="C19" s="52" t="s">
        <v>10</v>
      </c>
      <c r="D19" s="53">
        <f>+AVERAGE(D13:G13)</f>
        <v>164.82499999999999</v>
      </c>
      <c r="E19" s="54">
        <f>+AVERAGE(H13:K13)</f>
        <v>167.82499999999999</v>
      </c>
      <c r="F19" s="54">
        <f>+AVERAGE(L13:O13)</f>
        <v>172.60000000000002</v>
      </c>
      <c r="G19" s="27">
        <f>+AVERAGE(P13:S13)</f>
        <v>178.45</v>
      </c>
      <c r="H19" s="55"/>
      <c r="I19" s="56"/>
      <c r="J19" s="46"/>
      <c r="K19" s="338" t="s">
        <v>65</v>
      </c>
      <c r="L19" s="339"/>
      <c r="M19" s="340"/>
      <c r="N19" s="303">
        <f>1.82011/100</f>
        <v>1.8201099999999998E-2</v>
      </c>
      <c r="O19" s="303">
        <f>2.84523/100</f>
        <v>2.84523E-2</v>
      </c>
      <c r="P19" s="303">
        <f>3.38934/100</f>
        <v>3.3893399999999997E-2</v>
      </c>
      <c r="Q19" s="303">
        <f>1.76278015613196/100</f>
        <v>1.76278015613196E-2</v>
      </c>
      <c r="R19" s="303">
        <f>2.44988864142539/100</f>
        <v>2.4498886414253903E-2</v>
      </c>
      <c r="S19" s="303">
        <f>2.48792270531402/100</f>
        <v>2.4879227053140197E-2</v>
      </c>
      <c r="T19" s="57">
        <v>2.1899999999999999E-2</v>
      </c>
      <c r="U19"/>
      <c r="V19"/>
      <c r="W19"/>
      <c r="X19"/>
      <c r="Y19"/>
      <c r="Z19" s="58"/>
    </row>
    <row r="20" spans="1:37" ht="25.5" customHeight="1" thickBot="1" x14ac:dyDescent="0.3">
      <c r="C20" s="288" t="s">
        <v>11</v>
      </c>
      <c r="D20" s="289"/>
      <c r="E20" s="290"/>
      <c r="F20" s="291"/>
      <c r="G20" s="292">
        <f>+AVERAGE(P14:S14)</f>
        <v>99.275000000000006</v>
      </c>
      <c r="H20" s="293">
        <f>+AVERAGE(T14:W14)</f>
        <v>101.02500000000001</v>
      </c>
      <c r="I20" s="294">
        <f>+AVERAGE(X14:AA14)</f>
        <v>103.5</v>
      </c>
      <c r="J20" s="46"/>
      <c r="K20" s="341" t="str">
        <f>CONCATENATE("Reconstructed cumulative index (",CRCP_y5,"=1)")</f>
        <v>Reconstructed cumulative index (2014-15=1)</v>
      </c>
      <c r="L20" s="342"/>
      <c r="M20" s="343"/>
      <c r="N20" s="59">
        <f t="shared" ref="N20:S20" si="0">O20/(1+O19)</f>
        <v>0.86130811578494448</v>
      </c>
      <c r="O20" s="59">
        <f t="shared" si="0"/>
        <v>0.88581431268769251</v>
      </c>
      <c r="P20" s="59">
        <f t="shared" si="0"/>
        <v>0.91583757151334155</v>
      </c>
      <c r="Q20" s="59">
        <f t="shared" si="0"/>
        <v>0.93198177448637953</v>
      </c>
      <c r="R20" s="59">
        <f t="shared" si="0"/>
        <v>0.95481429011967611</v>
      </c>
      <c r="S20" s="59">
        <f t="shared" si="0"/>
        <v>0.97856933163714643</v>
      </c>
      <c r="T20" s="60">
        <v>1</v>
      </c>
      <c r="U20"/>
      <c r="V20"/>
      <c r="W20"/>
      <c r="X20"/>
      <c r="Y20"/>
      <c r="Z20" s="61"/>
      <c r="AD20"/>
      <c r="AE20"/>
      <c r="AF20"/>
      <c r="AG20"/>
      <c r="AH20"/>
      <c r="AI20"/>
      <c r="AJ20"/>
      <c r="AK20"/>
    </row>
    <row r="21" spans="1:37" s="296" customFormat="1" x14ac:dyDescent="0.25">
      <c r="A21" s="295"/>
      <c r="C21" s="297"/>
      <c r="D21" s="298"/>
      <c r="E21" s="298"/>
      <c r="F21" s="298"/>
      <c r="G21" s="287"/>
      <c r="H21" s="287"/>
      <c r="I21" s="287"/>
      <c r="J21" s="299"/>
      <c r="K21" s="300"/>
      <c r="L21" s="300"/>
      <c r="M21" s="300"/>
      <c r="N21" s="301"/>
      <c r="O21" s="301"/>
      <c r="P21" s="301"/>
      <c r="Q21" s="301"/>
      <c r="R21" s="301"/>
      <c r="S21" s="301"/>
      <c r="Z21" s="302"/>
    </row>
    <row r="22" spans="1:37" s="296" customFormat="1" x14ac:dyDescent="0.25">
      <c r="A22" s="295"/>
      <c r="C22" s="297"/>
      <c r="D22" s="298"/>
      <c r="E22" s="298"/>
      <c r="F22" s="298"/>
      <c r="G22" s="287"/>
      <c r="H22" s="287"/>
      <c r="I22" s="287"/>
      <c r="J22" s="299"/>
      <c r="K22" s="300"/>
      <c r="L22" s="300"/>
      <c r="M22" s="300"/>
      <c r="N22" s="301"/>
      <c r="O22" s="301"/>
      <c r="P22" s="301"/>
      <c r="Q22" s="301"/>
      <c r="R22" s="301"/>
      <c r="S22" s="301"/>
      <c r="Z22" s="302"/>
    </row>
    <row r="23" spans="1:37" s="63" customFormat="1" ht="24.75" customHeight="1" x14ac:dyDescent="0.25">
      <c r="A23" s="62"/>
      <c r="C23" s="64" t="str">
        <f>CONCATENATE("TABLE 7.5.1 - The carryover amounts that arise from applying the ECM during the ", FRCP_y1," to ",FRCP_y5, " regulatory control period")</f>
        <v>TABLE 7.5.1 - The carryover amounts that arise from applying the ECM during the 2016-17 to 2020-21 regulatory control period</v>
      </c>
      <c r="D23" s="64"/>
      <c r="E23" s="64"/>
      <c r="F23" s="64"/>
      <c r="G23" s="64"/>
      <c r="H23" s="64"/>
      <c r="I23" s="64"/>
      <c r="J23" s="64"/>
      <c r="K23" s="64"/>
      <c r="L23" s="64"/>
      <c r="M23" s="64"/>
      <c r="N23" s="64"/>
      <c r="O23" s="64"/>
      <c r="P23" s="64"/>
      <c r="Q23" s="64"/>
      <c r="R23" s="64"/>
      <c r="S23" s="64"/>
      <c r="T23" s="64"/>
      <c r="U23" s="64"/>
      <c r="V23" s="64"/>
      <c r="W23" s="64"/>
      <c r="X23" s="65"/>
      <c r="Y23" s="65"/>
      <c r="Z23" s="65"/>
      <c r="AA23" s="65"/>
      <c r="AB23" s="66"/>
      <c r="AD23"/>
      <c r="AE23"/>
      <c r="AF23"/>
      <c r="AG23"/>
      <c r="AH23"/>
      <c r="AI23"/>
      <c r="AJ23"/>
      <c r="AK23"/>
    </row>
    <row r="24" spans="1:37" ht="19.5" thickBot="1" x14ac:dyDescent="0.35">
      <c r="A24" s="67"/>
      <c r="C24" s="14"/>
      <c r="D24" s="14"/>
      <c r="E24" s="14"/>
      <c r="F24" s="14"/>
      <c r="G24" s="14"/>
      <c r="H24" s="14"/>
      <c r="I24" s="14"/>
      <c r="J24" s="14"/>
      <c r="K24" s="14"/>
      <c r="L24" s="14"/>
      <c r="M24" s="14"/>
      <c r="N24" s="14"/>
      <c r="O24" s="14"/>
      <c r="P24" s="14"/>
      <c r="Q24" s="14"/>
      <c r="R24" s="14"/>
      <c r="S24" s="14"/>
      <c r="T24" s="14"/>
      <c r="U24" s="14"/>
      <c r="V24" s="14"/>
      <c r="W24" s="13"/>
      <c r="X24" s="13"/>
      <c r="Y24" s="13"/>
      <c r="Z24" s="13"/>
      <c r="AA24" s="13"/>
      <c r="AB24" s="13"/>
      <c r="AD24"/>
      <c r="AE24"/>
      <c r="AF24"/>
      <c r="AG24"/>
      <c r="AH24"/>
      <c r="AI24"/>
      <c r="AJ24"/>
      <c r="AK24"/>
    </row>
    <row r="25" spans="1:37" s="68" customFormat="1" ht="24.75" customHeight="1" thickBot="1" x14ac:dyDescent="0.3">
      <c r="A25" s="38"/>
      <c r="C25" s="69" t="s">
        <v>70</v>
      </c>
      <c r="D25" s="70"/>
      <c r="E25" s="70"/>
      <c r="F25" s="70"/>
      <c r="G25" s="70"/>
      <c r="H25" s="70"/>
      <c r="I25" s="70"/>
      <c r="J25" s="70"/>
      <c r="K25" s="70"/>
      <c r="L25" s="70"/>
      <c r="M25" s="70"/>
      <c r="N25" s="70"/>
      <c r="O25" s="70"/>
      <c r="P25" s="70"/>
      <c r="Q25" s="70"/>
      <c r="R25" s="70"/>
      <c r="S25" s="70"/>
      <c r="T25" s="70"/>
      <c r="U25" s="70"/>
      <c r="V25" s="70"/>
      <c r="W25" s="71"/>
      <c r="X25" s="2"/>
      <c r="Y25"/>
      <c r="AD25"/>
      <c r="AE25"/>
      <c r="AF25"/>
      <c r="AG25"/>
      <c r="AH25"/>
      <c r="AI25"/>
      <c r="AJ25"/>
      <c r="AK25"/>
    </row>
    <row r="26" spans="1:37" ht="15.75" x14ac:dyDescent="0.25">
      <c r="A26" s="72"/>
      <c r="C26" s="73"/>
      <c r="D26" s="344" t="s">
        <v>12</v>
      </c>
      <c r="E26" s="345"/>
      <c r="F26" s="346" t="s">
        <v>13</v>
      </c>
      <c r="G26" s="347"/>
      <c r="H26" s="347"/>
      <c r="I26" s="347"/>
      <c r="J26" s="348"/>
      <c r="K26" s="46"/>
      <c r="L26" s="344" t="s">
        <v>12</v>
      </c>
      <c r="M26" s="345"/>
      <c r="N26" s="371" t="s">
        <v>13</v>
      </c>
      <c r="O26" s="366"/>
      <c r="P26" s="366"/>
      <c r="Q26" s="366"/>
      <c r="R26" s="372"/>
      <c r="S26" s="356" t="s">
        <v>14</v>
      </c>
      <c r="T26" s="357"/>
      <c r="U26" s="357"/>
      <c r="V26" s="357"/>
      <c r="W26" s="358"/>
      <c r="Z26"/>
      <c r="AD26"/>
      <c r="AE26"/>
      <c r="AF26"/>
      <c r="AG26"/>
      <c r="AH26"/>
      <c r="AI26"/>
      <c r="AJ26"/>
      <c r="AK26"/>
    </row>
    <row r="27" spans="1:37" ht="15.75" thickBot="1" x14ac:dyDescent="0.3">
      <c r="C27" s="74"/>
      <c r="D27" s="359" t="str">
        <f>CONCATENATE("$m, real ", (PRCP_y5))</f>
        <v>$m, real 2009-10</v>
      </c>
      <c r="E27" s="360"/>
      <c r="F27" s="361" t="str">
        <f>CONCATENATE("$m, real ", dms_DollarRealPrev_y5)</f>
        <v>$m, real June 2010</v>
      </c>
      <c r="G27" s="350"/>
      <c r="H27" s="350"/>
      <c r="I27" s="350"/>
      <c r="J27" s="351"/>
      <c r="K27" s="46"/>
      <c r="L27" s="359" t="str">
        <f>CONCATENATE("$m, real ", (CRCP_y5))</f>
        <v>$m, real 2014-15</v>
      </c>
      <c r="M27" s="360"/>
      <c r="N27" s="361" t="str">
        <f>CONCATENATE("$m, real ", dms_DollarReal)</f>
        <v>$m, real June 2016</v>
      </c>
      <c r="O27" s="350"/>
      <c r="P27" s="350"/>
      <c r="Q27" s="350"/>
      <c r="R27" s="362"/>
      <c r="S27" s="75"/>
      <c r="T27" s="76"/>
      <c r="U27" s="76"/>
      <c r="V27" s="76"/>
      <c r="W27" s="77"/>
      <c r="AD27"/>
      <c r="AE27"/>
      <c r="AF27"/>
      <c r="AG27"/>
      <c r="AH27"/>
      <c r="AI27"/>
      <c r="AJ27"/>
      <c r="AK27"/>
    </row>
    <row r="28" spans="1:37" ht="15.75" thickBot="1" x14ac:dyDescent="0.3">
      <c r="C28" s="74"/>
      <c r="D28" s="78" t="str">
        <f>PRCP_y4</f>
        <v>2008-09</v>
      </c>
      <c r="E28" s="79" t="str">
        <f>PRCP_y5</f>
        <v>2009-10</v>
      </c>
      <c r="F28" s="80" t="str">
        <f>CRCP_y1</f>
        <v>2010-11</v>
      </c>
      <c r="G28" s="81" t="str">
        <f>CRCP_y2</f>
        <v>2011-12</v>
      </c>
      <c r="H28" s="81" t="str">
        <f>CRCP_y3</f>
        <v>2012-13</v>
      </c>
      <c r="I28" s="81" t="str">
        <f>CRCP_y4</f>
        <v>2013-14</v>
      </c>
      <c r="J28" s="82" t="str">
        <f>CRCP_y5</f>
        <v>2014-15</v>
      </c>
      <c r="K28" s="46"/>
      <c r="L28" s="83" t="str">
        <f>PRCP_y4</f>
        <v>2008-09</v>
      </c>
      <c r="M28" s="84" t="str">
        <f>PRCP_y5</f>
        <v>2009-10</v>
      </c>
      <c r="N28" s="80" t="str">
        <f>CRCP_y1</f>
        <v>2010-11</v>
      </c>
      <c r="O28" s="81" t="str">
        <f>CRCP_y2</f>
        <v>2011-12</v>
      </c>
      <c r="P28" s="81" t="str">
        <f>CRCP_y3</f>
        <v>2012-13</v>
      </c>
      <c r="Q28" s="81" t="str">
        <f>CRCP_y4</f>
        <v>2013-14</v>
      </c>
      <c r="R28" s="82" t="str">
        <f>CRCP_y5</f>
        <v>2014-15</v>
      </c>
      <c r="S28" s="85" t="str">
        <f t="array" ref="S28:W28">FRCP</f>
        <v>2016-17</v>
      </c>
      <c r="T28" s="86" t="str">
        <v>2017-18</v>
      </c>
      <c r="U28" s="86" t="str">
        <v>2018-19</v>
      </c>
      <c r="V28" s="86" t="str">
        <v>2019-20</v>
      </c>
      <c r="W28" s="87" t="str">
        <v>2020-21</v>
      </c>
      <c r="AD28"/>
      <c r="AE28"/>
      <c r="AF28"/>
      <c r="AG28"/>
      <c r="AH28"/>
      <c r="AI28"/>
      <c r="AJ28"/>
      <c r="AK28"/>
    </row>
    <row r="29" spans="1:37" x14ac:dyDescent="0.25">
      <c r="A29" s="1" t="s">
        <v>15</v>
      </c>
      <c r="C29" s="326" t="s">
        <v>16</v>
      </c>
      <c r="D29" s="88"/>
      <c r="E29" s="89"/>
      <c r="F29" s="90">
        <v>20.671608948775262</v>
      </c>
      <c r="G29" s="91">
        <v>22.60161370447209</v>
      </c>
      <c r="H29" s="91">
        <v>23.090342497933278</v>
      </c>
      <c r="I29" s="91">
        <v>22.871101671886031</v>
      </c>
      <c r="J29" s="90">
        <v>23.155003189770881</v>
      </c>
      <c r="K29" s="46"/>
      <c r="L29" s="92"/>
      <c r="M29" s="93"/>
      <c r="N29" s="94">
        <f>+F29/$N$20</f>
        <v>24.000248656587196</v>
      </c>
      <c r="O29" s="95">
        <f>+G29/$N$20</f>
        <v>26.241031856380847</v>
      </c>
      <c r="P29" s="95">
        <f>+H29/$N$20</f>
        <v>26.80845805904212</v>
      </c>
      <c r="Q29" s="95">
        <f>+I29/$N$20</f>
        <v>26.55391404392223</v>
      </c>
      <c r="R29" s="96">
        <f>+J29/$N$20</f>
        <v>26.883530719629643</v>
      </c>
      <c r="S29" s="97"/>
      <c r="T29" s="97"/>
      <c r="U29" s="97"/>
      <c r="V29" s="97"/>
      <c r="W29" s="98"/>
      <c r="X29" s="58"/>
      <c r="Y29" s="61"/>
      <c r="AD29"/>
      <c r="AE29"/>
      <c r="AF29"/>
      <c r="AG29"/>
      <c r="AH29"/>
      <c r="AI29"/>
      <c r="AJ29"/>
      <c r="AK29"/>
    </row>
    <row r="30" spans="1:37" x14ac:dyDescent="0.25">
      <c r="C30" s="99" t="s">
        <v>17</v>
      </c>
      <c r="D30" s="100"/>
      <c r="E30" s="101"/>
      <c r="F30" s="102"/>
      <c r="G30" s="103"/>
      <c r="H30" s="103"/>
      <c r="I30" s="103"/>
      <c r="J30" s="104"/>
      <c r="K30" s="105"/>
      <c r="L30" s="106"/>
      <c r="M30" s="107"/>
      <c r="N30" s="108"/>
      <c r="O30" s="109"/>
      <c r="P30" s="109"/>
      <c r="Q30" s="109"/>
      <c r="R30" s="110"/>
      <c r="S30" s="97"/>
      <c r="T30" s="97"/>
      <c r="U30" s="97"/>
      <c r="V30" s="97"/>
      <c r="W30" s="98"/>
      <c r="X30" s="58"/>
      <c r="Y30" s="58"/>
      <c r="AD30"/>
      <c r="AE30"/>
      <c r="AF30"/>
      <c r="AG30"/>
      <c r="AH30"/>
      <c r="AI30"/>
      <c r="AJ30"/>
      <c r="AK30"/>
    </row>
    <row r="31" spans="1:37" x14ac:dyDescent="0.25">
      <c r="A31" s="1" t="s">
        <v>18</v>
      </c>
      <c r="C31" s="111" t="s">
        <v>19</v>
      </c>
      <c r="D31" s="112"/>
      <c r="E31" s="113"/>
      <c r="F31" s="114">
        <v>0.16924548354485897</v>
      </c>
      <c r="G31" s="115">
        <v>0.17998935212355752</v>
      </c>
      <c r="H31" s="115">
        <v>0.18935972004997531</v>
      </c>
      <c r="I31" s="116">
        <v>0.18974508871113654</v>
      </c>
      <c r="J31" s="117">
        <v>0.18913266495860159</v>
      </c>
      <c r="K31" s="105"/>
      <c r="L31" s="118"/>
      <c r="M31" s="119"/>
      <c r="N31" s="120">
        <f t="shared" ref="N31:R38" si="1">-F31/$N$20</f>
        <v>-0.19649818740024155</v>
      </c>
      <c r="O31" s="121">
        <f t="shared" si="1"/>
        <v>-0.20897208423436953</v>
      </c>
      <c r="P31" s="121">
        <f t="shared" si="1"/>
        <v>-0.21985131288052967</v>
      </c>
      <c r="Q31" s="121">
        <f t="shared" si="1"/>
        <v>-0.22029873541620384</v>
      </c>
      <c r="R31" s="122">
        <f t="shared" si="1"/>
        <v>-0.21958769631032379</v>
      </c>
      <c r="S31" s="97"/>
      <c r="T31" s="97"/>
      <c r="U31" s="97"/>
      <c r="V31" s="97"/>
      <c r="W31" s="98"/>
      <c r="X31" s="58"/>
      <c r="Y31" s="58"/>
      <c r="AD31"/>
      <c r="AE31"/>
      <c r="AF31"/>
      <c r="AG31"/>
      <c r="AH31"/>
      <c r="AI31"/>
      <c r="AJ31"/>
      <c r="AK31"/>
    </row>
    <row r="32" spans="1:37" x14ac:dyDescent="0.25">
      <c r="A32" s="1" t="s">
        <v>20</v>
      </c>
      <c r="C32" s="111" t="s">
        <v>21</v>
      </c>
      <c r="D32" s="112"/>
      <c r="E32" s="113"/>
      <c r="F32" s="123">
        <v>1E-3</v>
      </c>
      <c r="G32" s="124">
        <v>1E-3</v>
      </c>
      <c r="H32" s="124">
        <v>1E-3</v>
      </c>
      <c r="I32" s="125">
        <v>1E-3</v>
      </c>
      <c r="J32" s="117">
        <v>1E-3</v>
      </c>
      <c r="K32" s="105"/>
      <c r="L32" s="118"/>
      <c r="M32" s="119"/>
      <c r="N32" s="120">
        <f t="shared" si="1"/>
        <v>-1.1610247037886785E-3</v>
      </c>
      <c r="O32" s="121">
        <f t="shared" si="1"/>
        <v>-1.1610247037886785E-3</v>
      </c>
      <c r="P32" s="121">
        <f t="shared" si="1"/>
        <v>-1.1610247037886785E-3</v>
      </c>
      <c r="Q32" s="121">
        <f t="shared" si="1"/>
        <v>-1.1610247037886785E-3</v>
      </c>
      <c r="R32" s="122">
        <f t="shared" si="1"/>
        <v>-1.1610247037886785E-3</v>
      </c>
      <c r="S32" s="97"/>
      <c r="T32" s="97"/>
      <c r="U32" s="97"/>
      <c r="V32" s="97"/>
      <c r="W32" s="98"/>
      <c r="X32" s="58"/>
      <c r="Y32" s="58"/>
      <c r="AD32"/>
      <c r="AE32"/>
      <c r="AF32"/>
      <c r="AG32"/>
      <c r="AH32"/>
      <c r="AI32"/>
      <c r="AJ32"/>
      <c r="AK32"/>
    </row>
    <row r="33" spans="1:37" x14ac:dyDescent="0.25">
      <c r="A33" s="1" t="s">
        <v>22</v>
      </c>
      <c r="C33" s="126" t="s">
        <v>23</v>
      </c>
      <c r="D33" s="112"/>
      <c r="E33" s="113"/>
      <c r="F33" s="123">
        <v>8.5505012695854254E-2</v>
      </c>
      <c r="G33" s="124">
        <v>8.5505012695854241E-2</v>
      </c>
      <c r="H33" s="124">
        <v>8.5505012695854254E-2</v>
      </c>
      <c r="I33" s="125">
        <v>8.5505012695854241E-2</v>
      </c>
      <c r="J33" s="117">
        <v>8.5505012695854227E-2</v>
      </c>
      <c r="K33" s="127"/>
      <c r="L33" s="118"/>
      <c r="M33" s="119"/>
      <c r="N33" s="120">
        <f t="shared" si="1"/>
        <v>-9.9273432037651377E-2</v>
      </c>
      <c r="O33" s="121">
        <f t="shared" si="1"/>
        <v>-9.9273432037651363E-2</v>
      </c>
      <c r="P33" s="121">
        <f t="shared" si="1"/>
        <v>-9.9273432037651377E-2</v>
      </c>
      <c r="Q33" s="121">
        <f t="shared" si="1"/>
        <v>-9.9273432037651363E-2</v>
      </c>
      <c r="R33" s="122">
        <f t="shared" si="1"/>
        <v>-9.9273432037651349E-2</v>
      </c>
      <c r="S33" s="97"/>
      <c r="T33" s="97"/>
      <c r="U33" s="97"/>
      <c r="V33" s="97"/>
      <c r="W33" s="98"/>
      <c r="X33" s="128"/>
      <c r="Y33" s="58"/>
      <c r="AD33"/>
      <c r="AE33"/>
      <c r="AF33"/>
      <c r="AG33"/>
      <c r="AH33"/>
      <c r="AI33"/>
      <c r="AJ33"/>
      <c r="AK33"/>
    </row>
    <row r="34" spans="1:37" x14ac:dyDescent="0.25">
      <c r="A34" s="1" t="s">
        <v>24</v>
      </c>
      <c r="C34" s="111" t="s">
        <v>25</v>
      </c>
      <c r="D34" s="112"/>
      <c r="E34" s="113"/>
      <c r="F34" s="123">
        <v>1.8704183500780319E-2</v>
      </c>
      <c r="G34" s="124">
        <v>1.9156645216366893E-2</v>
      </c>
      <c r="H34" s="124">
        <v>1.9620052162685562E-2</v>
      </c>
      <c r="I34" s="125">
        <v>2.0094669109266338E-2</v>
      </c>
      <c r="J34" s="117">
        <v>2.0521965038433329E-2</v>
      </c>
      <c r="K34" s="127"/>
      <c r="L34" s="118"/>
      <c r="M34" s="119"/>
      <c r="N34" s="120">
        <f t="shared" si="1"/>
        <v>-2.1716019108602557E-2</v>
      </c>
      <c r="O34" s="121">
        <f t="shared" si="1"/>
        <v>-2.2241338337917176E-2</v>
      </c>
      <c r="P34" s="121">
        <f t="shared" si="1"/>
        <v>-2.2779365250500425E-2</v>
      </c>
      <c r="Q34" s="121">
        <f t="shared" si="1"/>
        <v>-2.3330407250317459E-2</v>
      </c>
      <c r="R34" s="122">
        <f t="shared" si="1"/>
        <v>-2.3826508379908674E-2</v>
      </c>
      <c r="S34" s="97"/>
      <c r="T34" s="97"/>
      <c r="U34" s="97"/>
      <c r="V34" s="97"/>
      <c r="W34" s="98"/>
      <c r="X34" s="129"/>
      <c r="Y34" s="130"/>
      <c r="AD34"/>
      <c r="AE34"/>
      <c r="AF34"/>
      <c r="AG34"/>
      <c r="AH34"/>
      <c r="AI34"/>
      <c r="AJ34"/>
      <c r="AK34"/>
    </row>
    <row r="35" spans="1:37" x14ac:dyDescent="0.25">
      <c r="A35" s="1" t="s">
        <v>26</v>
      </c>
      <c r="C35" s="126" t="s">
        <v>27</v>
      </c>
      <c r="D35" s="112"/>
      <c r="E35" s="113"/>
      <c r="F35" s="123">
        <v>4.6524407476390204</v>
      </c>
      <c r="G35" s="124">
        <v>4.6890496076503405</v>
      </c>
      <c r="H35" s="124">
        <v>4.7455125174317025</v>
      </c>
      <c r="I35" s="125">
        <v>4.8065091632546961</v>
      </c>
      <c r="J35" s="117">
        <v>4.870336345440986</v>
      </c>
      <c r="K35" s="105"/>
      <c r="L35" s="118"/>
      <c r="M35" s="119"/>
      <c r="N35" s="120">
        <f t="shared" si="1"/>
        <v>-5.4015986409219714</v>
      </c>
      <c r="O35" s="121">
        <f t="shared" si="1"/>
        <v>-5.4441024317726558</v>
      </c>
      <c r="P35" s="121">
        <f t="shared" si="1"/>
        <v>-5.5096572648766085</v>
      </c>
      <c r="Q35" s="121">
        <f t="shared" si="1"/>
        <v>-5.5804758775253527</v>
      </c>
      <c r="R35" s="122">
        <f t="shared" si="1"/>
        <v>-5.6545808128168558</v>
      </c>
      <c r="S35" s="97"/>
      <c r="T35" s="97"/>
      <c r="U35" s="97"/>
      <c r="V35" s="97"/>
      <c r="W35" s="98"/>
      <c r="X35" s="129"/>
      <c r="Y35" s="58"/>
    </row>
    <row r="36" spans="1:37" x14ac:dyDescent="0.25">
      <c r="A36" s="1" t="s">
        <v>28</v>
      </c>
      <c r="C36" s="131" t="s">
        <v>29</v>
      </c>
      <c r="D36" s="112"/>
      <c r="E36" s="113"/>
      <c r="F36" s="114"/>
      <c r="G36" s="115"/>
      <c r="H36" s="115"/>
      <c r="I36" s="116"/>
      <c r="J36" s="132"/>
      <c r="K36" s="105"/>
      <c r="L36" s="118"/>
      <c r="M36" s="119"/>
      <c r="N36" s="120">
        <f t="shared" si="1"/>
        <v>0</v>
      </c>
      <c r="O36" s="121">
        <f t="shared" si="1"/>
        <v>0</v>
      </c>
      <c r="P36" s="121">
        <f t="shared" si="1"/>
        <v>0</v>
      </c>
      <c r="Q36" s="121">
        <f t="shared" si="1"/>
        <v>0</v>
      </c>
      <c r="R36" s="122">
        <f t="shared" si="1"/>
        <v>0</v>
      </c>
      <c r="S36" s="97"/>
      <c r="T36" s="97"/>
      <c r="U36" s="97"/>
      <c r="V36" s="97"/>
      <c r="W36" s="98"/>
      <c r="X36" s="129"/>
      <c r="Y36" s="58"/>
    </row>
    <row r="37" spans="1:37" x14ac:dyDescent="0.25">
      <c r="A37" s="1" t="s">
        <v>30</v>
      </c>
      <c r="C37" s="131" t="s">
        <v>31</v>
      </c>
      <c r="D37" s="112"/>
      <c r="E37" s="113"/>
      <c r="F37" s="114"/>
      <c r="G37" s="115"/>
      <c r="H37" s="115"/>
      <c r="I37" s="115"/>
      <c r="J37" s="132"/>
      <c r="K37" s="105"/>
      <c r="L37" s="118"/>
      <c r="M37" s="119"/>
      <c r="N37" s="120">
        <f t="shared" si="1"/>
        <v>0</v>
      </c>
      <c r="O37" s="121">
        <f t="shared" si="1"/>
        <v>0</v>
      </c>
      <c r="P37" s="121">
        <f t="shared" si="1"/>
        <v>0</v>
      </c>
      <c r="Q37" s="121">
        <f t="shared" si="1"/>
        <v>0</v>
      </c>
      <c r="R37" s="122">
        <f t="shared" si="1"/>
        <v>0</v>
      </c>
      <c r="S37" s="97"/>
      <c r="T37" s="97"/>
      <c r="U37" s="97"/>
      <c r="V37" s="97"/>
      <c r="W37" s="98"/>
      <c r="X37" s="129"/>
      <c r="Y37" s="58"/>
    </row>
    <row r="38" spans="1:37" ht="15.75" thickBot="1" x14ac:dyDescent="0.3">
      <c r="A38" s="1" t="s">
        <v>32</v>
      </c>
      <c r="C38" s="321" t="s">
        <v>33</v>
      </c>
      <c r="D38" s="112"/>
      <c r="E38" s="113"/>
      <c r="F38" s="133">
        <v>-0.1249780390442808</v>
      </c>
      <c r="G38" s="134">
        <v>-0.33628173060791111</v>
      </c>
      <c r="H38" s="134">
        <v>-0.58679454904112105</v>
      </c>
      <c r="I38" s="134">
        <v>-0.8561964028688861</v>
      </c>
      <c r="J38" s="135"/>
      <c r="K38" s="105"/>
      <c r="L38" s="136"/>
      <c r="M38" s="137"/>
      <c r="N38" s="120">
        <f t="shared" si="1"/>
        <v>0.14510259076147602</v>
      </c>
      <c r="O38" s="121">
        <f t="shared" si="1"/>
        <v>0.39043139666859417</v>
      </c>
      <c r="P38" s="121">
        <f t="shared" si="1"/>
        <v>0.68128296748527872</v>
      </c>
      <c r="Q38" s="121">
        <f t="shared" si="1"/>
        <v>0.99406517502578051</v>
      </c>
      <c r="R38" s="122">
        <f t="shared" si="1"/>
        <v>0</v>
      </c>
      <c r="S38" s="97"/>
      <c r="T38" s="97"/>
      <c r="U38" s="97"/>
      <c r="V38" s="97"/>
      <c r="W38" s="98"/>
      <c r="X38" s="129"/>
      <c r="Y38" s="58"/>
    </row>
    <row r="39" spans="1:37" ht="15.75" thickBot="1" x14ac:dyDescent="0.3">
      <c r="C39" s="138" t="s">
        <v>73</v>
      </c>
      <c r="D39" s="139"/>
      <c r="E39" s="140"/>
      <c r="F39" s="141">
        <f>F29-SUM(F31:F38)</f>
        <v>15.86969156043903</v>
      </c>
      <c r="G39" s="142">
        <f>G29-SUM(G31:G38)</f>
        <v>17.963194817393884</v>
      </c>
      <c r="H39" s="142">
        <f>H29-SUM(H31:H38)</f>
        <v>18.636139744634182</v>
      </c>
      <c r="I39" s="142">
        <f>I29-SUM(I31:I38)</f>
        <v>18.624444140983965</v>
      </c>
      <c r="J39" s="143">
        <f>J29-SUM(J31:J38)</f>
        <v>17.988507201637006</v>
      </c>
      <c r="K39" s="105"/>
      <c r="L39" s="144"/>
      <c r="M39" s="145"/>
      <c r="N39" s="322">
        <f>+SUM(N29:N38)</f>
        <v>18.425103943176417</v>
      </c>
      <c r="O39" s="322">
        <f>+SUM(O29:O38)</f>
        <v>20.855712941963059</v>
      </c>
      <c r="P39" s="322">
        <f>+SUM(P29:P38)</f>
        <v>21.637018626778321</v>
      </c>
      <c r="Q39" s="322">
        <f>+SUM(Q29:Q38)</f>
        <v>21.6234397420147</v>
      </c>
      <c r="R39" s="322">
        <f>+SUM(R29:R38)</f>
        <v>20.885101245381115</v>
      </c>
      <c r="S39" s="146"/>
      <c r="T39" s="146"/>
      <c r="U39" s="146"/>
      <c r="V39" s="146"/>
      <c r="W39" s="147"/>
      <c r="X39" s="129"/>
      <c r="Y39" s="58"/>
    </row>
    <row r="40" spans="1:37" x14ac:dyDescent="0.25">
      <c r="B40" s="148"/>
      <c r="C40" s="149"/>
      <c r="D40" s="150"/>
      <c r="E40" s="150"/>
      <c r="F40" s="150"/>
      <c r="G40" s="150"/>
      <c r="H40" s="150"/>
      <c r="I40" s="150"/>
      <c r="J40" s="150"/>
      <c r="K40" s="151"/>
      <c r="L40" s="150"/>
      <c r="M40" s="150"/>
      <c r="N40" s="149"/>
      <c r="O40" s="149"/>
      <c r="P40" s="149"/>
      <c r="Q40" s="149"/>
      <c r="R40" s="149"/>
      <c r="S40" s="152"/>
      <c r="T40" s="152"/>
      <c r="U40" s="152"/>
      <c r="V40" s="152"/>
      <c r="W40" s="152"/>
      <c r="X40" s="129"/>
      <c r="Y40" s="58"/>
    </row>
    <row r="41" spans="1:37" s="154" customFormat="1" ht="15.75" thickBot="1" x14ac:dyDescent="0.3">
      <c r="A41" s="1"/>
      <c r="B41" s="153"/>
      <c r="C41" s="153"/>
      <c r="D41" s="153"/>
      <c r="E41" s="153"/>
      <c r="F41" s="153"/>
      <c r="G41" s="153"/>
      <c r="H41" s="153"/>
      <c r="I41" s="153"/>
      <c r="J41" s="153"/>
      <c r="K41" s="153"/>
      <c r="L41" s="153"/>
      <c r="M41" s="153"/>
      <c r="N41" s="153"/>
      <c r="O41" s="153"/>
      <c r="P41" s="153"/>
      <c r="Q41" s="153"/>
      <c r="R41" s="153"/>
      <c r="S41" s="153"/>
      <c r="T41" s="153"/>
      <c r="U41" s="153"/>
      <c r="V41" s="153"/>
      <c r="W41" s="153"/>
      <c r="X41" s="2"/>
      <c r="Y41" s="2"/>
      <c r="Z41" s="2"/>
      <c r="AA41"/>
      <c r="AC41" s="153"/>
    </row>
    <row r="42" spans="1:37" s="68" customFormat="1" ht="25.5" customHeight="1" thickBot="1" x14ac:dyDescent="0.3">
      <c r="A42" s="72"/>
      <c r="C42" s="69" t="s">
        <v>71</v>
      </c>
      <c r="D42" s="70"/>
      <c r="E42" s="70"/>
      <c r="F42" s="70"/>
      <c r="G42" s="70"/>
      <c r="H42" s="70"/>
      <c r="I42" s="70"/>
      <c r="J42" s="70"/>
      <c r="K42" s="70"/>
      <c r="L42" s="70"/>
      <c r="M42" s="70"/>
      <c r="N42" s="70"/>
      <c r="O42" s="70"/>
      <c r="P42" s="70"/>
      <c r="Q42" s="70"/>
      <c r="R42" s="70"/>
      <c r="S42" s="70"/>
      <c r="T42" s="70"/>
      <c r="U42" s="70"/>
      <c r="V42" s="70"/>
      <c r="W42" s="71"/>
      <c r="X42" s="2"/>
      <c r="Y42" s="2"/>
      <c r="Z42"/>
      <c r="AA42"/>
    </row>
    <row r="43" spans="1:37" s="68" customFormat="1" ht="25.5" customHeight="1" x14ac:dyDescent="0.25">
      <c r="A43" s="155"/>
      <c r="C43" s="156"/>
      <c r="D43" s="363" t="s">
        <v>12</v>
      </c>
      <c r="E43" s="364"/>
      <c r="F43" s="365" t="s">
        <v>13</v>
      </c>
      <c r="G43" s="366"/>
      <c r="H43" s="366"/>
      <c r="I43" s="366"/>
      <c r="J43" s="367"/>
      <c r="K43" s="157"/>
      <c r="L43" s="368" t="s">
        <v>12</v>
      </c>
      <c r="M43" s="369"/>
      <c r="N43" s="370" t="s">
        <v>13</v>
      </c>
      <c r="O43" s="347"/>
      <c r="P43" s="347"/>
      <c r="Q43" s="347"/>
      <c r="R43" s="348"/>
      <c r="S43" s="158"/>
      <c r="T43" s="159"/>
      <c r="U43" s="159"/>
      <c r="V43" s="159"/>
      <c r="W43" s="160"/>
      <c r="X43" s="2"/>
      <c r="Y43" s="2"/>
      <c r="Z43"/>
      <c r="AA43"/>
    </row>
    <row r="44" spans="1:37" ht="15.75" thickBot="1" x14ac:dyDescent="0.3">
      <c r="A44" s="155"/>
      <c r="C44" s="156"/>
      <c r="D44" s="359" t="s">
        <v>34</v>
      </c>
      <c r="E44" s="375"/>
      <c r="F44" s="349" t="s">
        <v>34</v>
      </c>
      <c r="G44" s="350"/>
      <c r="H44" s="350"/>
      <c r="I44" s="350"/>
      <c r="J44" s="376"/>
      <c r="K44" s="161"/>
      <c r="L44" s="359" t="str">
        <f>CONCATENATE("$m, real ", (CRCP_y5))</f>
        <v>$m, real 2014-15</v>
      </c>
      <c r="M44" s="375"/>
      <c r="N44" s="349" t="str">
        <f>CONCATENATE("$m, real ", dms_DollarReal)</f>
        <v>$m, real June 2016</v>
      </c>
      <c r="O44" s="350"/>
      <c r="P44" s="350"/>
      <c r="Q44" s="350"/>
      <c r="R44" s="351"/>
      <c r="S44" s="158"/>
      <c r="T44" s="159"/>
      <c r="U44" s="159"/>
      <c r="V44" s="159"/>
      <c r="W44" s="160"/>
      <c r="Z44"/>
      <c r="AA44"/>
    </row>
    <row r="45" spans="1:37" ht="15.75" thickBot="1" x14ac:dyDescent="0.3">
      <c r="C45" s="162"/>
      <c r="D45" s="78" t="str">
        <f>PRCP_y4</f>
        <v>2008-09</v>
      </c>
      <c r="E45" s="79" t="str">
        <f>PRCP_y5</f>
        <v>2009-10</v>
      </c>
      <c r="F45" s="80" t="str">
        <f>CRCP_y1</f>
        <v>2010-11</v>
      </c>
      <c r="G45" s="81" t="str">
        <f>CRCP_y2</f>
        <v>2011-12</v>
      </c>
      <c r="H45" s="81" t="str">
        <f>CRCP_y3</f>
        <v>2012-13</v>
      </c>
      <c r="I45" s="81" t="str">
        <f>CRCP_y4</f>
        <v>2013-14</v>
      </c>
      <c r="J45" s="82" t="str">
        <f>CRCP_y5</f>
        <v>2014-15</v>
      </c>
      <c r="K45" s="161"/>
      <c r="L45" s="83" t="str">
        <f>PRCP_y4</f>
        <v>2008-09</v>
      </c>
      <c r="M45" s="163" t="str">
        <f>PRCP_y5</f>
        <v>2009-10</v>
      </c>
      <c r="N45" s="164" t="str">
        <f>CRCP_y1</f>
        <v>2010-11</v>
      </c>
      <c r="O45" s="81" t="str">
        <f>CRCP_y2</f>
        <v>2011-12</v>
      </c>
      <c r="P45" s="81" t="str">
        <f>CRCP_y3</f>
        <v>2012-13</v>
      </c>
      <c r="Q45" s="81" t="str">
        <f>CRCP_y4</f>
        <v>2013-14</v>
      </c>
      <c r="R45" s="82" t="str">
        <f>CRCP_y5</f>
        <v>2014-15</v>
      </c>
      <c r="S45" s="158"/>
      <c r="T45" s="159"/>
      <c r="U45" s="159"/>
      <c r="V45" s="159"/>
      <c r="W45" s="160"/>
      <c r="Z45"/>
      <c r="AA45"/>
    </row>
    <row r="46" spans="1:37" x14ac:dyDescent="0.25">
      <c r="A46" s="1" t="s">
        <v>35</v>
      </c>
      <c r="C46" s="165" t="s">
        <v>36</v>
      </c>
      <c r="D46" s="166"/>
      <c r="E46" s="166"/>
      <c r="F46" s="90">
        <v>23.250835740000003</v>
      </c>
      <c r="G46" s="91">
        <v>25.547555048161005</v>
      </c>
      <c r="H46" s="91">
        <v>25.516660400487446</v>
      </c>
      <c r="I46" s="167">
        <v>24.6659109</v>
      </c>
      <c r="J46" s="310">
        <v>27.605532289999996</v>
      </c>
      <c r="K46" s="275"/>
      <c r="L46" s="169"/>
      <c r="M46" s="170"/>
      <c r="N46" s="171">
        <f>+F46/O$20*(1+O$19)^0.5</f>
        <v>26.618768037213666</v>
      </c>
      <c r="O46" s="171">
        <f>+G46/P$20*(1+P$19)^0.5</f>
        <v>28.364084397263198</v>
      </c>
      <c r="P46" s="171">
        <f>+H46/Q$20*(1+Q$19)^0.5</f>
        <v>27.619187338086345</v>
      </c>
      <c r="Q46" s="171">
        <f>+I46/R$20*(1+R$19)^0.5</f>
        <v>26.147730102166623</v>
      </c>
      <c r="R46" s="187">
        <f>J46/S$20*(1+S$19)^0.5</f>
        <v>28.558860172657194</v>
      </c>
      <c r="S46" s="159"/>
      <c r="T46" s="159"/>
      <c r="U46" s="159"/>
      <c r="V46" s="159"/>
      <c r="W46" s="160"/>
    </row>
    <row r="47" spans="1:37" x14ac:dyDescent="0.25">
      <c r="C47" s="173" t="s">
        <v>37</v>
      </c>
      <c r="D47" s="166"/>
      <c r="E47" s="166"/>
      <c r="F47" s="174"/>
      <c r="G47" s="175"/>
      <c r="H47" s="175"/>
      <c r="I47" s="176"/>
      <c r="J47" s="168"/>
      <c r="K47" s="105"/>
      <c r="L47" s="177"/>
      <c r="M47" s="178"/>
      <c r="N47" s="177"/>
      <c r="O47" s="179"/>
      <c r="P47" s="179"/>
      <c r="Q47" s="180"/>
      <c r="R47" s="181"/>
      <c r="S47" s="158"/>
      <c r="T47" s="159"/>
      <c r="U47" s="159"/>
      <c r="V47" s="159"/>
      <c r="W47" s="160"/>
      <c r="X47" s="58"/>
      <c r="Y47" s="58"/>
    </row>
    <row r="48" spans="1:37" x14ac:dyDescent="0.25">
      <c r="A48" s="1" t="s">
        <v>38</v>
      </c>
      <c r="C48" s="182" t="str">
        <f>+C31</f>
        <v>Debt raising expenditure</v>
      </c>
      <c r="D48" s="113"/>
      <c r="E48" s="113"/>
      <c r="F48" s="114"/>
      <c r="G48" s="115"/>
      <c r="H48" s="115"/>
      <c r="I48" s="116"/>
      <c r="J48" s="168"/>
      <c r="K48" s="127"/>
      <c r="L48" s="183"/>
      <c r="M48" s="184"/>
      <c r="N48" s="185">
        <f t="shared" ref="N48:R56" si="2">-F48/O$20*(1+O$19)^0.5</f>
        <v>0</v>
      </c>
      <c r="O48" s="186">
        <f t="shared" si="2"/>
        <v>0</v>
      </c>
      <c r="P48" s="186">
        <f t="shared" si="2"/>
        <v>0</v>
      </c>
      <c r="Q48" s="187">
        <f t="shared" si="2"/>
        <v>0</v>
      </c>
      <c r="R48" s="187">
        <f t="shared" si="2"/>
        <v>0</v>
      </c>
      <c r="S48" s="158"/>
      <c r="T48" s="159"/>
      <c r="U48" s="159"/>
      <c r="V48" s="159"/>
      <c r="W48" s="160"/>
      <c r="X48" s="58"/>
      <c r="Y48" s="58"/>
    </row>
    <row r="49" spans="1:25" x14ac:dyDescent="0.25">
      <c r="A49" s="1" t="s">
        <v>39</v>
      </c>
      <c r="C49" s="182" t="str">
        <f t="shared" ref="C49:C52" si="3">+C32</f>
        <v>Self insurance</v>
      </c>
      <c r="D49" s="113"/>
      <c r="E49" s="113"/>
      <c r="F49" s="114"/>
      <c r="G49" s="115"/>
      <c r="H49" s="115"/>
      <c r="I49" s="116"/>
      <c r="J49" s="168"/>
      <c r="K49" s="127"/>
      <c r="L49" s="183"/>
      <c r="M49" s="184"/>
      <c r="N49" s="185">
        <f t="shared" si="2"/>
        <v>0</v>
      </c>
      <c r="O49" s="186">
        <f t="shared" si="2"/>
        <v>0</v>
      </c>
      <c r="P49" s="186">
        <f t="shared" si="2"/>
        <v>0</v>
      </c>
      <c r="Q49" s="187">
        <f t="shared" si="2"/>
        <v>0</v>
      </c>
      <c r="R49" s="187">
        <f t="shared" si="2"/>
        <v>0</v>
      </c>
      <c r="S49" s="158"/>
      <c r="T49" s="159"/>
      <c r="U49" s="159"/>
      <c r="V49" s="159"/>
      <c r="W49" s="160"/>
      <c r="X49" s="58"/>
      <c r="Y49" s="58"/>
    </row>
    <row r="50" spans="1:25" x14ac:dyDescent="0.25">
      <c r="A50" s="1" t="s">
        <v>40</v>
      </c>
      <c r="C50" s="308" t="str">
        <f t="shared" si="3"/>
        <v>Insurance</v>
      </c>
      <c r="D50" s="113"/>
      <c r="E50" s="113"/>
      <c r="F50" s="123">
        <v>8.4767899999999993E-2</v>
      </c>
      <c r="G50" s="124">
        <v>8.7168179999999998E-2</v>
      </c>
      <c r="H50" s="124">
        <v>0.10101643000000002</v>
      </c>
      <c r="I50" s="125">
        <v>0.10253434</v>
      </c>
      <c r="J50" s="125">
        <v>0.11447685999999999</v>
      </c>
      <c r="K50" s="105"/>
      <c r="L50" s="183"/>
      <c r="M50" s="184"/>
      <c r="N50" s="185">
        <f t="shared" si="2"/>
        <v>-9.7046708012299768E-2</v>
      </c>
      <c r="O50" s="186">
        <f t="shared" si="2"/>
        <v>-9.6778169559274693E-2</v>
      </c>
      <c r="P50" s="186">
        <f t="shared" si="2"/>
        <v>-0.10934000220269377</v>
      </c>
      <c r="Q50" s="187">
        <f t="shared" si="2"/>
        <v>-0.10869415118676146</v>
      </c>
      <c r="R50" s="187">
        <f t="shared" si="2"/>
        <v>-0.11843019737493544</v>
      </c>
      <c r="S50" s="158"/>
      <c r="T50" s="159"/>
      <c r="U50" s="159"/>
      <c r="V50" s="159"/>
      <c r="W50" s="160"/>
      <c r="X50" s="58"/>
      <c r="Y50" s="58"/>
    </row>
    <row r="51" spans="1:25" x14ac:dyDescent="0.25">
      <c r="A51" s="1" t="s">
        <v>41</v>
      </c>
      <c r="C51" s="308" t="str">
        <f t="shared" si="3"/>
        <v>Superannuation</v>
      </c>
      <c r="D51" s="113"/>
      <c r="E51" s="113"/>
      <c r="F51" s="123">
        <v>5.8036360000000009E-2</v>
      </c>
      <c r="G51" s="124">
        <v>6.1193339999999999E-2</v>
      </c>
      <c r="H51" s="124">
        <v>6.754077E-2</v>
      </c>
      <c r="I51" s="125">
        <v>3.8607469999999998E-2</v>
      </c>
      <c r="J51" s="125">
        <v>4.8437529999999999E-2</v>
      </c>
      <c r="K51" s="188"/>
      <c r="L51" s="183"/>
      <c r="M51" s="184"/>
      <c r="N51" s="185">
        <f t="shared" si="2"/>
        <v>-6.6443048406492497E-2</v>
      </c>
      <c r="O51" s="186">
        <f t="shared" si="2"/>
        <v>-6.7939693525990177E-2</v>
      </c>
      <c r="P51" s="186">
        <f t="shared" si="2"/>
        <v>-7.3106008008515369E-2</v>
      </c>
      <c r="Q51" s="187">
        <f t="shared" si="2"/>
        <v>-4.0926836619988548E-2</v>
      </c>
      <c r="R51" s="187">
        <f t="shared" si="2"/>
        <v>-5.0110268907221575E-2</v>
      </c>
      <c r="S51" s="158"/>
      <c r="T51" s="159"/>
      <c r="U51" s="159"/>
      <c r="V51" s="159"/>
      <c r="W51" s="160"/>
      <c r="X51" s="128"/>
      <c r="Y51" s="130"/>
    </row>
    <row r="52" spans="1:25" x14ac:dyDescent="0.25">
      <c r="A52" s="1" t="s">
        <v>42</v>
      </c>
      <c r="C52" s="308" t="str">
        <f t="shared" si="3"/>
        <v>Non controllable expenditure (re: part 6)</v>
      </c>
      <c r="D52" s="113"/>
      <c r="E52" s="113"/>
      <c r="F52" s="123">
        <v>5.0783536900000001</v>
      </c>
      <c r="G52" s="124">
        <v>6.2007753099999992</v>
      </c>
      <c r="H52" s="124">
        <v>6.0799854599999996</v>
      </c>
      <c r="I52" s="125">
        <v>6.7910399200000002</v>
      </c>
      <c r="J52" s="125">
        <v>6.9001208399999996</v>
      </c>
      <c r="K52" s="273"/>
      <c r="L52" s="183"/>
      <c r="M52" s="184"/>
      <c r="N52" s="185">
        <f t="shared" si="2"/>
        <v>-5.8139638676505516</v>
      </c>
      <c r="O52" s="186">
        <f t="shared" si="2"/>
        <v>-6.8843892846006884</v>
      </c>
      <c r="P52" s="186">
        <f t="shared" si="2"/>
        <v>-6.5809653299839033</v>
      </c>
      <c r="Q52" s="187">
        <f t="shared" si="2"/>
        <v>-7.1990156642136913</v>
      </c>
      <c r="R52" s="187">
        <f t="shared" si="2"/>
        <v>-7.1384092207989056</v>
      </c>
      <c r="S52" s="158"/>
      <c r="T52" s="159"/>
      <c r="U52" s="159"/>
      <c r="V52" s="159"/>
      <c r="W52" s="160"/>
      <c r="X52" s="130"/>
      <c r="Y52" s="128"/>
    </row>
    <row r="53" spans="1:25" x14ac:dyDescent="0.25">
      <c r="A53" s="1" t="s">
        <v>43</v>
      </c>
      <c r="C53" s="309" t="s">
        <v>44</v>
      </c>
      <c r="D53" s="113"/>
      <c r="E53" s="113"/>
      <c r="F53" s="123"/>
      <c r="G53" s="124">
        <v>1.23585941</v>
      </c>
      <c r="H53" s="124">
        <v>0.84432452000000002</v>
      </c>
      <c r="I53" s="125">
        <v>0.87085500000000005</v>
      </c>
      <c r="J53" s="125"/>
      <c r="K53" s="188"/>
      <c r="L53" s="183"/>
      <c r="M53" s="184"/>
      <c r="N53" s="185">
        <f t="shared" si="2"/>
        <v>0</v>
      </c>
      <c r="O53" s="186">
        <f t="shared" si="2"/>
        <v>-1.3721086241837928</v>
      </c>
      <c r="P53" s="186">
        <f t="shared" si="2"/>
        <v>-0.91389534233775971</v>
      </c>
      <c r="Q53" s="187">
        <f t="shared" si="2"/>
        <v>-0.92317212976401031</v>
      </c>
      <c r="R53" s="187">
        <f t="shared" si="2"/>
        <v>0</v>
      </c>
      <c r="S53" s="158"/>
      <c r="T53" s="159"/>
      <c r="U53" s="159"/>
      <c r="V53" s="159"/>
      <c r="W53" s="160"/>
      <c r="X53" s="130"/>
      <c r="Y53" s="128"/>
    </row>
    <row r="54" spans="1:25" x14ac:dyDescent="0.25">
      <c r="A54" s="1" t="s">
        <v>45</v>
      </c>
      <c r="C54" s="189" t="s">
        <v>29</v>
      </c>
      <c r="D54" s="113"/>
      <c r="E54" s="113"/>
      <c r="F54" s="123"/>
      <c r="G54" s="124"/>
      <c r="H54" s="124"/>
      <c r="I54" s="125"/>
      <c r="J54" s="168"/>
      <c r="K54" s="188"/>
      <c r="L54" s="183"/>
      <c r="M54" s="184"/>
      <c r="N54" s="185">
        <f t="shared" si="2"/>
        <v>0</v>
      </c>
      <c r="O54" s="186">
        <f t="shared" si="2"/>
        <v>0</v>
      </c>
      <c r="P54" s="186">
        <f t="shared" si="2"/>
        <v>0</v>
      </c>
      <c r="Q54" s="187">
        <f t="shared" si="2"/>
        <v>0</v>
      </c>
      <c r="R54" s="187">
        <f t="shared" si="2"/>
        <v>0</v>
      </c>
      <c r="S54" s="158"/>
      <c r="T54" s="159"/>
      <c r="U54" s="159"/>
      <c r="V54" s="159"/>
      <c r="W54" s="160"/>
      <c r="X54" s="130"/>
      <c r="Y54" s="128"/>
    </row>
    <row r="55" spans="1:25" x14ac:dyDescent="0.25">
      <c r="A55" s="1" t="s">
        <v>46</v>
      </c>
      <c r="C55" s="189" t="s">
        <v>47</v>
      </c>
      <c r="D55" s="113"/>
      <c r="E55" s="113"/>
      <c r="F55" s="277">
        <f>53826/1000000</f>
        <v>5.3825999999999999E-2</v>
      </c>
      <c r="G55" s="279">
        <f>-37973/1000000</f>
        <v>-3.7973E-2</v>
      </c>
      <c r="H55" s="278">
        <f>174306/1000000</f>
        <v>0.17430599999999999</v>
      </c>
      <c r="I55" s="280">
        <f>92761/1000000</f>
        <v>9.2760999999999996E-2</v>
      </c>
      <c r="J55" s="168">
        <v>1.3977E-2</v>
      </c>
      <c r="K55" s="105"/>
      <c r="L55" s="190"/>
      <c r="M55" s="191"/>
      <c r="N55" s="185">
        <f t="shared" si="2"/>
        <v>-6.1622808934396721E-2</v>
      </c>
      <c r="O55" s="186">
        <f t="shared" si="2"/>
        <v>4.2159391565526984E-2</v>
      </c>
      <c r="P55" s="186">
        <f t="shared" si="2"/>
        <v>-0.18866850099476626</v>
      </c>
      <c r="Q55" s="187">
        <f t="shared" si="2"/>
        <v>-9.8333671999402142E-2</v>
      </c>
      <c r="R55" s="187">
        <f t="shared" si="2"/>
        <v>-1.4459680923371528E-2</v>
      </c>
      <c r="S55" s="158"/>
      <c r="T55" s="159"/>
      <c r="U55" s="159"/>
      <c r="V55" s="159"/>
      <c r="W55" s="160"/>
      <c r="X55" s="58"/>
      <c r="Y55" s="58"/>
    </row>
    <row r="56" spans="1:25" ht="15.75" thickBot="1" x14ac:dyDescent="0.3">
      <c r="A56" s="1" t="s">
        <v>48</v>
      </c>
      <c r="C56" s="192" t="s">
        <v>49</v>
      </c>
      <c r="D56" s="113"/>
      <c r="E56" s="113"/>
      <c r="F56" s="133"/>
      <c r="G56" s="134"/>
      <c r="H56" s="134"/>
      <c r="I56" s="193"/>
      <c r="J56" s="194"/>
      <c r="K56" s="105"/>
      <c r="L56" s="190"/>
      <c r="M56" s="191"/>
      <c r="N56" s="185">
        <f t="shared" si="2"/>
        <v>0</v>
      </c>
      <c r="O56" s="186">
        <f t="shared" si="2"/>
        <v>0</v>
      </c>
      <c r="P56" s="186">
        <f t="shared" si="2"/>
        <v>0</v>
      </c>
      <c r="Q56" s="187">
        <f t="shared" si="2"/>
        <v>0</v>
      </c>
      <c r="R56" s="187">
        <f t="shared" si="2"/>
        <v>0</v>
      </c>
      <c r="S56" s="158"/>
      <c r="T56" s="159"/>
      <c r="U56" s="159"/>
      <c r="V56" s="159"/>
      <c r="W56" s="160"/>
      <c r="X56" s="58"/>
      <c r="Y56" s="58"/>
    </row>
    <row r="57" spans="1:25" ht="15.75" thickBot="1" x14ac:dyDescent="0.3">
      <c r="C57" s="195" t="s">
        <v>72</v>
      </c>
      <c r="D57" s="196"/>
      <c r="E57" s="197"/>
      <c r="F57" s="198">
        <f>+F46-SUM(F48:F56)</f>
        <v>17.975851790000004</v>
      </c>
      <c r="G57" s="198">
        <f>+G46-SUM(G48:G56)</f>
        <v>18.000531808161007</v>
      </c>
      <c r="H57" s="198">
        <f>+H46-SUM(H48:H56)</f>
        <v>18.249487220487445</v>
      </c>
      <c r="I57" s="198">
        <f>+I46-SUM(I48:I56)</f>
        <v>16.770113170000002</v>
      </c>
      <c r="J57" s="198">
        <f>+J46-SUM(J48:J56)</f>
        <v>20.528520059999998</v>
      </c>
      <c r="K57" s="272"/>
      <c r="L57" s="199"/>
      <c r="M57" s="197"/>
      <c r="N57" s="322">
        <f>N46+SUM(N48:N56)</f>
        <v>20.579691604209927</v>
      </c>
      <c r="O57" s="322">
        <f>O46+SUM(O48:O56)</f>
        <v>19.985028016958978</v>
      </c>
      <c r="P57" s="322">
        <f>P46+SUM(P48:P56)</f>
        <v>19.753212154558707</v>
      </c>
      <c r="Q57" s="322">
        <f>Q46+SUM(Q48:Q56)</f>
        <v>17.77758764838277</v>
      </c>
      <c r="R57" s="322">
        <f>R46+SUM(R48:R56)</f>
        <v>21.237450804652759</v>
      </c>
      <c r="S57" s="200"/>
      <c r="T57" s="201"/>
      <c r="U57" s="201"/>
      <c r="V57" s="201"/>
      <c r="W57" s="202"/>
      <c r="X57" s="58"/>
      <c r="Y57" s="58"/>
    </row>
    <row r="58" spans="1:25" x14ac:dyDescent="0.25">
      <c r="C58" s="203"/>
      <c r="D58" s="203"/>
      <c r="E58" s="203"/>
      <c r="F58" s="203"/>
      <c r="G58" s="203"/>
      <c r="H58" s="203"/>
      <c r="I58" s="203"/>
      <c r="J58" s="105"/>
      <c r="K58" s="46"/>
      <c r="L58" s="46"/>
      <c r="M58" s="46"/>
      <c r="N58" s="46"/>
      <c r="O58" s="46"/>
      <c r="P58" s="46"/>
      <c r="Q58" s="46"/>
      <c r="R58" s="271"/>
      <c r="S58" s="271"/>
      <c r="T58" s="46"/>
      <c r="U58" s="46"/>
      <c r="V58" s="46"/>
      <c r="W58" s="58"/>
      <c r="X58" s="58"/>
    </row>
    <row r="59" spans="1:25" ht="15.75" thickBot="1" x14ac:dyDescent="0.3">
      <c r="C59" s="203"/>
      <c r="D59" s="203"/>
      <c r="E59" s="203"/>
      <c r="F59" s="203"/>
      <c r="G59" s="203"/>
      <c r="H59" s="203"/>
      <c r="I59" s="203"/>
      <c r="J59" s="274"/>
      <c r="K59" s="46"/>
      <c r="L59" s="46"/>
      <c r="M59" s="46"/>
      <c r="N59" s="269"/>
      <c r="O59" s="270"/>
      <c r="P59" s="270"/>
      <c r="Q59" s="270"/>
      <c r="R59" s="46"/>
      <c r="S59" s="46"/>
      <c r="T59" s="46"/>
      <c r="U59" s="46"/>
      <c r="V59" s="46"/>
      <c r="W59" s="58"/>
      <c r="X59" s="58"/>
    </row>
    <row r="60" spans="1:25" ht="18.75" thickBot="1" x14ac:dyDescent="0.3">
      <c r="A60" s="204"/>
      <c r="C60" s="203"/>
      <c r="D60" s="203"/>
      <c r="E60" s="203"/>
      <c r="F60" s="203"/>
      <c r="G60" s="203"/>
      <c r="H60" s="203"/>
      <c r="I60" s="203"/>
      <c r="J60" s="208"/>
      <c r="L60" s="205" t="str">
        <f>CONCATENATE("Incremental gain ($m, ",dms_DollarReal)</f>
        <v>Incremental gain ($m, June 2016</v>
      </c>
      <c r="M60" s="206"/>
      <c r="N60" s="207"/>
      <c r="O60" s="207"/>
      <c r="P60" s="207"/>
      <c r="Q60" s="207"/>
      <c r="R60" s="207"/>
      <c r="S60" s="281" t="s">
        <v>9</v>
      </c>
      <c r="T60"/>
      <c r="U60"/>
      <c r="V60"/>
      <c r="W60"/>
      <c r="X60"/>
      <c r="Y60" s="58"/>
    </row>
    <row r="61" spans="1:25" s="208" customFormat="1" ht="15.75" thickBot="1" x14ac:dyDescent="0.3">
      <c r="A61" s="1" t="s">
        <v>50</v>
      </c>
      <c r="C61" s="209"/>
      <c r="D61" s="209"/>
      <c r="E61" s="209"/>
      <c r="F61" s="209"/>
      <c r="G61" s="209"/>
      <c r="H61" s="209"/>
      <c r="I61" s="209"/>
      <c r="J61" s="210"/>
      <c r="L61" s="211"/>
      <c r="M61" s="212"/>
      <c r="N61" s="213">
        <f>IF(dms_EBSS_status="No",(N39-N57)-(M39-M57)+(L39-L57),(N39-N57))</f>
        <v>-2.15458766103351</v>
      </c>
      <c r="O61" s="214">
        <f t="shared" ref="O61:Q61" si="4">(O39-O57)-(N39-N57)</f>
        <v>3.0252725860375911</v>
      </c>
      <c r="P61" s="214">
        <f t="shared" si="4"/>
        <v>1.0131215472155333</v>
      </c>
      <c r="Q61" s="214">
        <f t="shared" si="4"/>
        <v>1.9620456214123152</v>
      </c>
      <c r="R61" s="282">
        <f>(R39-R57)-(Q39-Q57)</f>
        <v>-4.1982016529035739</v>
      </c>
      <c r="S61" s="283">
        <v>0</v>
      </c>
      <c r="T61"/>
      <c r="U61"/>
      <c r="V61"/>
      <c r="W61"/>
      <c r="X61" s="215"/>
      <c r="Y61" s="215"/>
    </row>
    <row r="62" spans="1:25" s="208" customFormat="1" x14ac:dyDescent="0.25">
      <c r="A62" s="1"/>
      <c r="C62" s="209"/>
      <c r="D62" s="209"/>
      <c r="E62" s="209"/>
      <c r="F62" s="209"/>
      <c r="G62" s="209"/>
      <c r="H62" s="209"/>
      <c r="I62" s="209"/>
      <c r="J62" s="210"/>
      <c r="L62" s="305"/>
      <c r="M62" s="306"/>
      <c r="N62" s="306"/>
      <c r="O62" s="306"/>
      <c r="P62" s="306"/>
      <c r="Q62" s="307"/>
      <c r="R62" s="307"/>
      <c r="S62" s="216"/>
      <c r="T62"/>
      <c r="U62"/>
      <c r="V62"/>
      <c r="W62"/>
      <c r="X62" s="215"/>
      <c r="Y62" s="215"/>
    </row>
    <row r="63" spans="1:25" ht="15.75" thickBot="1" x14ac:dyDescent="0.3">
      <c r="C63" s="203"/>
      <c r="D63" s="203"/>
      <c r="E63" s="203"/>
      <c r="F63" s="203"/>
      <c r="G63" s="203"/>
      <c r="H63" s="203"/>
      <c r="I63" s="203"/>
      <c r="J63" s="151"/>
      <c r="L63" s="216"/>
      <c r="M63" s="216"/>
      <c r="N63" s="216"/>
      <c r="O63" s="216"/>
      <c r="P63" s="216"/>
      <c r="Q63" s="216"/>
      <c r="R63" s="216"/>
      <c r="S63" s="325" t="s">
        <v>9</v>
      </c>
      <c r="T63" s="325" t="s">
        <v>61</v>
      </c>
      <c r="U63" s="325" t="s">
        <v>62</v>
      </c>
      <c r="V63" s="325" t="s">
        <v>63</v>
      </c>
      <c r="W63" s="325" t="s">
        <v>64</v>
      </c>
      <c r="X63" s="325" t="s">
        <v>68</v>
      </c>
    </row>
    <row r="64" spans="1:25" ht="18.75" thickBot="1" x14ac:dyDescent="0.3">
      <c r="A64" s="204"/>
      <c r="C64" s="203"/>
      <c r="D64" s="203"/>
      <c r="E64" s="203"/>
      <c r="F64" s="203"/>
      <c r="G64" s="203"/>
      <c r="H64" s="203"/>
      <c r="I64" s="203"/>
      <c r="J64" s="217"/>
      <c r="L64" s="218" t="s">
        <v>51</v>
      </c>
      <c r="M64" s="219"/>
      <c r="N64" s="219"/>
      <c r="O64" s="220" t="str">
        <f>CONCATENATE("$m, real ", dms_DollarReal)</f>
        <v>$m, real June 2016</v>
      </c>
      <c r="P64" s="220"/>
      <c r="Q64" s="220"/>
      <c r="R64" s="220"/>
      <c r="S64" s="220"/>
      <c r="T64" s="221"/>
      <c r="U64" s="221"/>
      <c r="V64" s="221"/>
      <c r="W64" s="221"/>
      <c r="X64" s="222"/>
      <c r="Y64" s="222" t="s">
        <v>52</v>
      </c>
    </row>
    <row r="65" spans="1:28" ht="15.75" thickBot="1" x14ac:dyDescent="0.3">
      <c r="A65" s="1" t="s">
        <v>53</v>
      </c>
      <c r="B65" s="276"/>
      <c r="C65" s="203"/>
      <c r="D65" s="203"/>
      <c r="E65" s="203"/>
      <c r="F65" s="203"/>
      <c r="G65" s="203"/>
      <c r="H65" s="203"/>
      <c r="I65" s="203"/>
      <c r="J65" s="224"/>
      <c r="L65" s="352" t="str">
        <f>CRCP_y1</f>
        <v>2010-11</v>
      </c>
      <c r="M65" s="353"/>
      <c r="N65" s="225"/>
      <c r="O65" s="226">
        <f>$N$61</f>
        <v>-2.15458766103351</v>
      </c>
      <c r="P65" s="171">
        <f t="shared" ref="P65:S65" si="5">$N$61</f>
        <v>-2.15458766103351</v>
      </c>
      <c r="Q65" s="227">
        <f t="shared" si="5"/>
        <v>-2.15458766103351</v>
      </c>
      <c r="R65" s="171">
        <f t="shared" si="5"/>
        <v>-2.15458766103351</v>
      </c>
      <c r="S65" s="228">
        <f t="shared" si="5"/>
        <v>-2.15458766103351</v>
      </c>
      <c r="T65" s="229"/>
      <c r="U65" s="229"/>
      <c r="V65" s="229"/>
      <c r="W65" s="229"/>
      <c r="X65" s="230"/>
      <c r="Y65" s="230"/>
    </row>
    <row r="66" spans="1:28" ht="15.75" thickBot="1" x14ac:dyDescent="0.3">
      <c r="A66" s="1" t="s">
        <v>54</v>
      </c>
      <c r="C66" s="203"/>
      <c r="D66" s="203"/>
      <c r="E66" s="203"/>
      <c r="F66" s="203"/>
      <c r="G66" s="203"/>
      <c r="H66" s="203"/>
      <c r="I66" s="203"/>
      <c r="J66" s="203"/>
      <c r="L66" s="354" t="str">
        <f>CRCP_y2</f>
        <v>2011-12</v>
      </c>
      <c r="M66" s="355"/>
      <c r="N66" s="231"/>
      <c r="O66" s="232"/>
      <c r="P66" s="233">
        <f>$O$61</f>
        <v>3.0252725860375911</v>
      </c>
      <c r="Q66" s="234">
        <f t="shared" ref="Q66:T66" si="6">$O$61</f>
        <v>3.0252725860375911</v>
      </c>
      <c r="R66" s="186">
        <f t="shared" si="6"/>
        <v>3.0252725860375911</v>
      </c>
      <c r="S66" s="234">
        <f t="shared" si="6"/>
        <v>3.0252725860375911</v>
      </c>
      <c r="T66" s="172">
        <f t="shared" si="6"/>
        <v>3.0252725860375911</v>
      </c>
      <c r="U66" s="235"/>
      <c r="V66" s="235"/>
      <c r="W66" s="235"/>
      <c r="X66" s="236"/>
      <c r="Y66" s="236"/>
    </row>
    <row r="67" spans="1:28" ht="15.75" thickBot="1" x14ac:dyDescent="0.3">
      <c r="A67" s="1" t="s">
        <v>55</v>
      </c>
      <c r="C67" s="203"/>
      <c r="D67" s="203"/>
      <c r="E67" s="203"/>
      <c r="F67" s="203"/>
      <c r="G67" s="203"/>
      <c r="H67" s="203"/>
      <c r="I67" s="203"/>
      <c r="J67" s="203"/>
      <c r="L67" s="373" t="str">
        <f>CRCP_y3</f>
        <v>2012-13</v>
      </c>
      <c r="M67" s="374"/>
      <c r="N67" s="231"/>
      <c r="O67" s="235"/>
      <c r="P67" s="232"/>
      <c r="Q67" s="237">
        <f>$P$61</f>
        <v>1.0131215472155333</v>
      </c>
      <c r="R67" s="186">
        <f t="shared" ref="R67:U67" si="7">$P$61</f>
        <v>1.0131215472155333</v>
      </c>
      <c r="S67" s="234">
        <f t="shared" si="7"/>
        <v>1.0131215472155333</v>
      </c>
      <c r="T67" s="186">
        <f t="shared" si="7"/>
        <v>1.0131215472155333</v>
      </c>
      <c r="U67" s="228">
        <f t="shared" si="7"/>
        <v>1.0131215472155333</v>
      </c>
      <c r="V67" s="235"/>
      <c r="W67" s="235"/>
      <c r="X67" s="236"/>
      <c r="Y67" s="236"/>
    </row>
    <row r="68" spans="1:28" ht="15.75" thickBot="1" x14ac:dyDescent="0.3">
      <c r="A68" s="1" t="s">
        <v>56</v>
      </c>
      <c r="C68" s="203"/>
      <c r="D68" s="203"/>
      <c r="E68" s="203"/>
      <c r="F68" s="203"/>
      <c r="G68" s="203"/>
      <c r="H68" s="203"/>
      <c r="I68" s="203"/>
      <c r="J68" s="203"/>
      <c r="L68" s="373" t="str">
        <f>CRCP_y4</f>
        <v>2013-14</v>
      </c>
      <c r="M68" s="374"/>
      <c r="N68" s="231"/>
      <c r="O68" s="235"/>
      <c r="P68" s="235"/>
      <c r="Q68" s="232"/>
      <c r="R68" s="233">
        <f>$Q$61</f>
        <v>1.9620456214123152</v>
      </c>
      <c r="S68" s="186">
        <f t="shared" ref="S68:V68" si="8">$Q$61</f>
        <v>1.9620456214123152</v>
      </c>
      <c r="T68" s="238">
        <f t="shared" si="8"/>
        <v>1.9620456214123152</v>
      </c>
      <c r="U68" s="234">
        <f t="shared" si="8"/>
        <v>1.9620456214123152</v>
      </c>
      <c r="V68" s="172">
        <f t="shared" si="8"/>
        <v>1.9620456214123152</v>
      </c>
      <c r="W68" s="239"/>
      <c r="X68" s="236"/>
      <c r="Y68" s="236"/>
    </row>
    <row r="69" spans="1:28" ht="15.75" thickBot="1" x14ac:dyDescent="0.3">
      <c r="A69" s="1" t="s">
        <v>57</v>
      </c>
      <c r="C69" s="240"/>
      <c r="D69" s="241"/>
      <c r="E69" s="241"/>
      <c r="F69" s="241"/>
      <c r="G69" s="241"/>
      <c r="H69" s="241"/>
      <c r="I69" s="241"/>
      <c r="J69" s="203"/>
      <c r="L69" s="373" t="str">
        <f>CRCP_y5</f>
        <v>2014-15</v>
      </c>
      <c r="M69" s="374"/>
      <c r="N69" s="231"/>
      <c r="O69" s="235"/>
      <c r="P69" s="235"/>
      <c r="Q69" s="232"/>
      <c r="R69" s="235"/>
      <c r="S69" s="314">
        <f>+$R$61</f>
        <v>-4.1982016529035739</v>
      </c>
      <c r="T69" s="186">
        <f t="shared" ref="T69:W69" si="9">+$R$61</f>
        <v>-4.1982016529035739</v>
      </c>
      <c r="U69" s="238">
        <f t="shared" si="9"/>
        <v>-4.1982016529035739</v>
      </c>
      <c r="V69" s="234">
        <f t="shared" si="9"/>
        <v>-4.1982016529035739</v>
      </c>
      <c r="W69" s="234">
        <f t="shared" si="9"/>
        <v>-4.1982016529035739</v>
      </c>
      <c r="X69" s="243"/>
      <c r="Y69" s="243"/>
    </row>
    <row r="70" spans="1:28" ht="15.75" thickBot="1" x14ac:dyDescent="0.3">
      <c r="C70" s="240"/>
      <c r="D70" s="241"/>
      <c r="E70" s="241"/>
      <c r="F70" s="241"/>
      <c r="G70" s="241"/>
      <c r="H70" s="241"/>
      <c r="I70" s="241"/>
      <c r="J70" s="203"/>
      <c r="L70" s="373" t="s">
        <v>9</v>
      </c>
      <c r="M70" s="374" t="s">
        <v>9</v>
      </c>
      <c r="N70" s="231"/>
      <c r="O70" s="239"/>
      <c r="P70" s="239"/>
      <c r="Q70" s="239"/>
      <c r="R70" s="242"/>
      <c r="S70" s="242"/>
      <c r="T70" s="233">
        <v>0</v>
      </c>
      <c r="U70" s="186">
        <v>0</v>
      </c>
      <c r="V70" s="238">
        <v>0</v>
      </c>
      <c r="W70" s="234">
        <v>0</v>
      </c>
      <c r="X70" s="172">
        <v>0</v>
      </c>
      <c r="Y70" s="243"/>
    </row>
    <row r="71" spans="1:28" ht="15.75" thickBot="1" x14ac:dyDescent="0.3">
      <c r="C71" s="276"/>
      <c r="L71" s="244" t="s">
        <v>58</v>
      </c>
      <c r="M71" s="245"/>
      <c r="N71" s="246"/>
      <c r="O71" s="246"/>
      <c r="P71" s="246"/>
      <c r="Q71" s="246"/>
      <c r="R71" s="247"/>
      <c r="S71" s="248">
        <f>+SUM(S65:S69)</f>
        <v>-0.35234955927164435</v>
      </c>
      <c r="T71" s="249">
        <f>+SUM(T66:T69)</f>
        <v>1.8022381017618656</v>
      </c>
      <c r="U71" s="250">
        <f>+SUM(U67:U69)</f>
        <v>-1.2230344842757255</v>
      </c>
      <c r="V71" s="251">
        <f>+SUM(V68:V69)</f>
        <v>-2.2361560314912587</v>
      </c>
      <c r="W71" s="248">
        <f t="shared" ref="W71:X73" si="10">+SUM(W65:W69)</f>
        <v>-4.1982016529035739</v>
      </c>
      <c r="X71" s="248">
        <f t="shared" si="10"/>
        <v>0</v>
      </c>
      <c r="Y71" s="252">
        <f>+SUM(S71:W71)</f>
        <v>-6.2075036261803369</v>
      </c>
    </row>
    <row r="72" spans="1:28" ht="15.75" thickBot="1" x14ac:dyDescent="0.3">
      <c r="L72" s="253"/>
      <c r="M72" s="253"/>
      <c r="N72" s="253"/>
      <c r="O72" s="253"/>
      <c r="P72" s="253"/>
      <c r="Q72" s="253"/>
      <c r="R72" s="253"/>
      <c r="S72" s="254"/>
      <c r="T72" s="254"/>
      <c r="U72" s="254"/>
      <c r="V72" s="254"/>
      <c r="W72" s="254"/>
      <c r="Y72" s="255"/>
    </row>
    <row r="73" spans="1:28" ht="15.75" thickBot="1" x14ac:dyDescent="0.3">
      <c r="L73" s="199" t="s">
        <v>66</v>
      </c>
      <c r="M73" s="199"/>
      <c r="N73" s="199"/>
      <c r="O73" s="246"/>
      <c r="P73" s="246"/>
      <c r="Q73" s="246"/>
      <c r="R73" s="246"/>
      <c r="S73" s="320">
        <f>S71</f>
        <v>-0.35234955927164435</v>
      </c>
      <c r="T73" s="320">
        <f>T71</f>
        <v>1.8022381017618656</v>
      </c>
      <c r="U73" s="320">
        <f>U71</f>
        <v>-1.2230344842757255</v>
      </c>
      <c r="V73" s="320">
        <f>V71</f>
        <v>-2.2361560314912587</v>
      </c>
      <c r="W73" s="256">
        <f>W71</f>
        <v>-4.1982016529035739</v>
      </c>
      <c r="X73" s="248">
        <f t="shared" si="10"/>
        <v>0</v>
      </c>
      <c r="Y73" s="257">
        <f>+SUM(S73:W73)</f>
        <v>-6.2075036261803369</v>
      </c>
    </row>
    <row r="74" spans="1:28" ht="15.75" thickBot="1" x14ac:dyDescent="0.3">
      <c r="L74" s="199" t="s">
        <v>67</v>
      </c>
      <c r="M74" s="199"/>
      <c r="N74" s="199"/>
      <c r="O74" s="246"/>
      <c r="P74" s="246"/>
      <c r="Q74" s="246"/>
      <c r="R74" s="246"/>
      <c r="S74" s="320">
        <f t="shared" ref="S74:Y74" si="11">S73*$S$20</f>
        <v>-0.34479847271909614</v>
      </c>
      <c r="T74" s="320">
        <f t="shared" si="11"/>
        <v>1.7636149346921084</v>
      </c>
      <c r="U74" s="320">
        <f t="shared" si="11"/>
        <v>-1.1968240378468789</v>
      </c>
      <c r="V74" s="320">
        <f t="shared" si="11"/>
        <v>-2.1882337131727749</v>
      </c>
      <c r="W74" s="256">
        <f t="shared" si="11"/>
        <v>-4.1082313855598134</v>
      </c>
      <c r="X74" s="248">
        <f t="shared" si="11"/>
        <v>0</v>
      </c>
      <c r="Y74" s="251">
        <f t="shared" si="11"/>
        <v>-6.0744726746064552</v>
      </c>
    </row>
    <row r="75" spans="1:28" x14ac:dyDescent="0.25">
      <c r="L75" s="284"/>
      <c r="M75" s="284"/>
      <c r="N75" s="284"/>
      <c r="O75" s="323"/>
      <c r="P75" s="323"/>
      <c r="Q75" s="323"/>
      <c r="R75" s="323"/>
      <c r="S75" s="324"/>
      <c r="T75" s="324"/>
      <c r="U75" s="324"/>
      <c r="V75" s="324"/>
      <c r="W75" s="285"/>
      <c r="X75" s="285"/>
      <c r="Y75" s="285"/>
    </row>
    <row r="76" spans="1:28" x14ac:dyDescent="0.25">
      <c r="K76" s="259"/>
      <c r="L76" s="259"/>
      <c r="M76" s="260"/>
      <c r="N76" s="260"/>
      <c r="O76" s="260"/>
      <c r="P76" s="261"/>
      <c r="Q76" s="261"/>
      <c r="R76" s="262"/>
      <c r="S76" s="262"/>
      <c r="T76" s="262"/>
      <c r="U76" s="262"/>
      <c r="V76" s="262"/>
      <c r="W76" s="223"/>
      <c r="X76" s="258"/>
      <c r="Y76" s="262"/>
      <c r="Z76" s="304"/>
    </row>
    <row r="77" spans="1:28" ht="18" x14ac:dyDescent="0.25">
      <c r="A77" s="263"/>
      <c r="K77"/>
      <c r="L77" s="296"/>
      <c r="M77" s="296"/>
      <c r="N77" s="296"/>
      <c r="O77" s="296"/>
      <c r="P77" s="296"/>
      <c r="Q77" s="296"/>
      <c r="R77" s="296"/>
      <c r="S77" s="296"/>
      <c r="T77" s="296"/>
      <c r="U77" s="296"/>
      <c r="V77" s="296"/>
      <c r="W77" s="296"/>
      <c r="X77" s="296"/>
      <c r="Y77" s="311"/>
      <c r="Z77" s="264"/>
      <c r="AA77" s="264"/>
      <c r="AB77" s="264"/>
    </row>
    <row r="78" spans="1:28" ht="18" x14ac:dyDescent="0.25">
      <c r="K78"/>
      <c r="L78" s="296"/>
      <c r="M78" s="296"/>
      <c r="N78" s="296"/>
      <c r="O78" s="296"/>
      <c r="P78" s="296"/>
      <c r="Q78" s="296"/>
      <c r="R78" s="296"/>
      <c r="S78" s="296"/>
      <c r="T78" s="296"/>
      <c r="U78" s="296"/>
      <c r="V78" s="296"/>
      <c r="W78" s="296"/>
      <c r="X78" s="296"/>
      <c r="Y78" s="312"/>
      <c r="Z78" s="264"/>
      <c r="AA78" s="264"/>
      <c r="AB78" s="264"/>
    </row>
    <row r="79" spans="1:28" x14ac:dyDescent="0.25">
      <c r="K79" s="266"/>
      <c r="L79" s="296"/>
      <c r="M79" s="296"/>
      <c r="N79" s="296"/>
      <c r="O79" s="296"/>
      <c r="P79" s="296"/>
      <c r="Q79" s="296"/>
      <c r="R79" s="296"/>
      <c r="S79" s="296"/>
      <c r="T79" s="296"/>
      <c r="U79" s="296"/>
      <c r="V79" s="296"/>
      <c r="W79" s="296"/>
      <c r="X79" s="296"/>
      <c r="Y79" s="315"/>
      <c r="Z79" s="262"/>
    </row>
    <row r="80" spans="1:28" x14ac:dyDescent="0.25">
      <c r="A80" s="18"/>
      <c r="K80" s="265"/>
      <c r="L80" s="296"/>
      <c r="M80" s="296"/>
      <c r="N80" s="296"/>
      <c r="O80" s="296"/>
      <c r="P80" s="296"/>
      <c r="Q80" s="296"/>
      <c r="R80" s="296"/>
      <c r="S80" s="296"/>
      <c r="T80" s="296"/>
      <c r="U80" s="296"/>
      <c r="V80" s="296"/>
      <c r="W80" s="296"/>
      <c r="X80" s="296"/>
      <c r="Y80" s="315"/>
      <c r="Z80" s="262"/>
    </row>
    <row r="81" spans="1:26" ht="18" x14ac:dyDescent="0.25">
      <c r="K81" s="265"/>
      <c r="L81" s="296"/>
      <c r="M81" s="296"/>
      <c r="N81" s="296"/>
      <c r="O81" s="296"/>
      <c r="P81" s="296"/>
      <c r="Q81" s="296"/>
      <c r="R81" s="296"/>
      <c r="S81" s="296"/>
      <c r="T81" s="296"/>
      <c r="U81" s="296"/>
      <c r="V81" s="296"/>
      <c r="W81" s="316"/>
      <c r="X81" s="317"/>
      <c r="Y81" s="315"/>
      <c r="Z81" s="262"/>
    </row>
    <row r="82" spans="1:26" x14ac:dyDescent="0.25">
      <c r="A82" s="1" t="s">
        <v>59</v>
      </c>
      <c r="K82" s="267"/>
      <c r="L82" s="296"/>
      <c r="M82" s="296"/>
      <c r="N82" s="296"/>
      <c r="O82" s="296"/>
      <c r="P82" s="296"/>
      <c r="Q82" s="296"/>
      <c r="R82" s="296"/>
      <c r="S82" s="296"/>
      <c r="T82" s="296"/>
      <c r="U82" s="296"/>
      <c r="V82" s="296"/>
      <c r="W82" s="313"/>
      <c r="X82" s="318"/>
      <c r="Y82" s="315"/>
      <c r="Z82" s="262"/>
    </row>
    <row r="83" spans="1:26" x14ac:dyDescent="0.25">
      <c r="K83" s="268"/>
      <c r="L83" s="296"/>
      <c r="M83" s="296"/>
      <c r="N83" s="296"/>
      <c r="O83" s="296"/>
      <c r="P83" s="296"/>
      <c r="Q83" s="296"/>
      <c r="R83" s="296"/>
      <c r="S83" s="296"/>
      <c r="T83" s="296"/>
      <c r="U83" s="296"/>
      <c r="V83" s="296"/>
      <c r="W83" s="313"/>
      <c r="X83" s="318"/>
      <c r="Y83" s="315"/>
      <c r="Z83" s="262"/>
    </row>
    <row r="84" spans="1:26" x14ac:dyDescent="0.25">
      <c r="A84" s="1" t="s">
        <v>60</v>
      </c>
      <c r="L84" s="296"/>
      <c r="M84" s="296"/>
      <c r="N84" s="296"/>
      <c r="O84" s="296"/>
      <c r="P84" s="296"/>
      <c r="Q84" s="296"/>
      <c r="R84" s="296"/>
      <c r="S84" s="296"/>
      <c r="T84" s="296"/>
      <c r="U84" s="296"/>
      <c r="V84" s="296"/>
      <c r="W84" s="319"/>
      <c r="X84" s="315"/>
      <c r="Y84" s="296"/>
    </row>
    <row r="85" spans="1:26" x14ac:dyDescent="0.25">
      <c r="L85" s="296"/>
      <c r="M85" s="296"/>
      <c r="N85" s="296"/>
      <c r="O85" s="296"/>
      <c r="P85" s="296"/>
      <c r="Q85" s="296"/>
      <c r="R85" s="296"/>
      <c r="S85" s="296"/>
      <c r="T85" s="296"/>
      <c r="U85" s="296"/>
      <c r="V85" s="296"/>
      <c r="W85" s="315"/>
      <c r="X85" s="315"/>
      <c r="Y85" s="296"/>
    </row>
    <row r="86" spans="1:26" x14ac:dyDescent="0.25">
      <c r="L86" s="296"/>
      <c r="M86" s="296"/>
      <c r="N86" s="296"/>
      <c r="O86" s="296"/>
      <c r="P86" s="296"/>
      <c r="Q86" s="296"/>
      <c r="R86" s="296"/>
      <c r="S86" s="296"/>
      <c r="T86" s="296"/>
      <c r="U86" s="296"/>
      <c r="V86" s="296"/>
      <c r="W86" s="296"/>
      <c r="X86" s="296"/>
      <c r="Y86" s="296"/>
    </row>
    <row r="87" spans="1:26" x14ac:dyDescent="0.25">
      <c r="O87" s="296"/>
      <c r="P87" s="296"/>
      <c r="Q87" s="296"/>
      <c r="R87" s="296"/>
      <c r="S87" s="296"/>
      <c r="T87" s="296"/>
      <c r="U87" s="296"/>
      <c r="V87" s="296"/>
      <c r="W87" s="296"/>
      <c r="X87" s="296"/>
      <c r="Y87" s="296"/>
    </row>
    <row r="88" spans="1:26" x14ac:dyDescent="0.25">
      <c r="A88" s="155"/>
    </row>
  </sheetData>
  <mergeCells count="31">
    <mergeCell ref="L67:M67"/>
    <mergeCell ref="L68:M68"/>
    <mergeCell ref="L69:M69"/>
    <mergeCell ref="L70:M70"/>
    <mergeCell ref="D44:E44"/>
    <mergeCell ref="F44:J44"/>
    <mergeCell ref="L44:M44"/>
    <mergeCell ref="N44:R44"/>
    <mergeCell ref="L65:M65"/>
    <mergeCell ref="L66:M66"/>
    <mergeCell ref="S26:W26"/>
    <mergeCell ref="D27:E27"/>
    <mergeCell ref="F27:J27"/>
    <mergeCell ref="L27:M27"/>
    <mergeCell ref="N27:R27"/>
    <mergeCell ref="D43:E43"/>
    <mergeCell ref="F43:J43"/>
    <mergeCell ref="L43:M43"/>
    <mergeCell ref="N43:R43"/>
    <mergeCell ref="N26:R26"/>
    <mergeCell ref="K19:M19"/>
    <mergeCell ref="K20:M20"/>
    <mergeCell ref="D26:E26"/>
    <mergeCell ref="F26:J26"/>
    <mergeCell ref="L26:M26"/>
    <mergeCell ref="R17:S17"/>
    <mergeCell ref="C7:H7"/>
    <mergeCell ref="C8:J8"/>
    <mergeCell ref="D17:I17"/>
    <mergeCell ref="K17:M17"/>
    <mergeCell ref="N17:Q17"/>
  </mergeCells>
  <printOptions horizontalCentered="1" verticalCentered="1"/>
  <pageMargins left="3.937007874015748E-2" right="3.937007874015748E-2" top="0" bottom="0"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8"/>
  <sheetViews>
    <sheetView topLeftCell="B40" zoomScaleNormal="100" workbookViewId="0">
      <selection activeCell="F48" sqref="F48"/>
    </sheetView>
  </sheetViews>
  <sheetFormatPr defaultRowHeight="15" x14ac:dyDescent="0.25"/>
  <cols>
    <col min="1" max="1" width="21.42578125" style="1" hidden="1" customWidth="1"/>
    <col min="2" max="2" width="11.140625" style="2" customWidth="1"/>
    <col min="3" max="3" width="59.7109375"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x14ac:dyDescent="0.25">
      <c r="C1" s="3" t="s">
        <v>0</v>
      </c>
      <c r="D1" s="4"/>
      <c r="E1" s="4"/>
      <c r="F1" s="4"/>
      <c r="G1" s="4"/>
      <c r="H1" s="4"/>
      <c r="I1" s="4"/>
      <c r="J1" s="4"/>
      <c r="K1" s="4"/>
      <c r="L1" s="4"/>
      <c r="M1" s="4"/>
      <c r="N1" s="4"/>
      <c r="O1" s="4"/>
      <c r="P1" s="4"/>
      <c r="Q1" s="4"/>
      <c r="R1" s="4"/>
      <c r="S1" s="4"/>
      <c r="T1" s="4"/>
      <c r="U1" s="4"/>
      <c r="V1" s="4"/>
      <c r="W1" s="4"/>
      <c r="X1" s="4"/>
      <c r="Y1" s="4"/>
      <c r="Z1" s="4"/>
      <c r="AA1" s="4"/>
      <c r="AB1" s="5"/>
    </row>
    <row r="2" spans="1:32" ht="20.25" x14ac:dyDescent="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x14ac:dyDescent="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x14ac:dyDescent="0.25">
      <c r="C4" s="7" t="s">
        <v>69</v>
      </c>
      <c r="D4" s="7"/>
      <c r="E4" s="7"/>
      <c r="F4" s="7"/>
      <c r="G4" s="7"/>
      <c r="H4" s="7"/>
      <c r="I4" s="7"/>
      <c r="J4" s="7"/>
      <c r="K4" s="7"/>
      <c r="L4" s="7"/>
      <c r="M4" s="7"/>
      <c r="N4" s="7"/>
      <c r="O4" s="7"/>
      <c r="P4" s="7"/>
      <c r="Q4" s="7"/>
      <c r="R4" s="7"/>
      <c r="S4" s="7"/>
      <c r="T4" s="7"/>
      <c r="U4" s="7"/>
      <c r="V4" s="7"/>
      <c r="W4" s="7"/>
      <c r="X4" s="7"/>
      <c r="Y4" s="7"/>
      <c r="Z4" s="7"/>
      <c r="AA4" s="7"/>
      <c r="AB4" s="8"/>
    </row>
    <row r="6" spans="1:32" x14ac:dyDescent="0.25">
      <c r="C6" s="9"/>
      <c r="D6" s="9"/>
      <c r="E6" s="9"/>
      <c r="F6" s="9"/>
      <c r="G6" s="9"/>
      <c r="H6" s="9"/>
      <c r="I6" s="9"/>
      <c r="J6" s="9"/>
      <c r="K6" s="10"/>
      <c r="L6" s="10"/>
      <c r="M6" s="10"/>
      <c r="N6" s="10"/>
      <c r="O6" s="10"/>
      <c r="P6" s="10"/>
      <c r="Q6" s="10"/>
      <c r="R6" s="10"/>
      <c r="S6" s="10"/>
      <c r="T6" s="10"/>
      <c r="U6" s="10"/>
      <c r="V6" s="10"/>
      <c r="W6" s="10"/>
      <c r="X6" s="10"/>
      <c r="Y6" s="10"/>
      <c r="Z6" s="10"/>
      <c r="AA6" s="10"/>
      <c r="AB6" s="10"/>
    </row>
    <row r="7" spans="1:32" x14ac:dyDescent="0.25">
      <c r="C7" s="329" t="s">
        <v>1</v>
      </c>
      <c r="D7" s="329"/>
      <c r="E7" s="329"/>
      <c r="F7" s="329"/>
      <c r="G7" s="329"/>
      <c r="H7" s="329"/>
      <c r="I7" s="11"/>
      <c r="J7" s="11"/>
      <c r="K7"/>
      <c r="L7"/>
      <c r="M7"/>
      <c r="N7"/>
      <c r="O7"/>
      <c r="P7"/>
      <c r="Q7"/>
      <c r="R7"/>
      <c r="S7"/>
      <c r="T7"/>
      <c r="U7"/>
      <c r="V7"/>
      <c r="W7"/>
      <c r="X7"/>
      <c r="Y7"/>
      <c r="Z7"/>
      <c r="AA7"/>
      <c r="AB7" s="12"/>
    </row>
    <row r="8" spans="1:32" x14ac:dyDescent="0.25">
      <c r="C8" s="330" t="s">
        <v>2</v>
      </c>
      <c r="D8" s="330"/>
      <c r="E8" s="330"/>
      <c r="F8" s="330"/>
      <c r="G8" s="330"/>
      <c r="H8" s="330"/>
      <c r="I8" s="330"/>
      <c r="J8" s="330"/>
      <c r="K8"/>
      <c r="L8"/>
      <c r="M8"/>
      <c r="N8"/>
      <c r="O8"/>
      <c r="P8"/>
      <c r="Q8"/>
      <c r="R8"/>
      <c r="S8"/>
      <c r="T8"/>
      <c r="U8"/>
      <c r="V8"/>
      <c r="W8"/>
      <c r="X8"/>
      <c r="Y8"/>
      <c r="Z8"/>
      <c r="AA8"/>
      <c r="AB8" s="13"/>
    </row>
    <row r="9" spans="1:32" x14ac:dyDescent="0.25">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x14ac:dyDescent="0.3"/>
    <row r="11" spans="1:32" ht="16.5" thickBot="1" x14ac:dyDescent="0.3">
      <c r="C11" s="15" t="s">
        <v>3</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x14ac:dyDescent="0.3">
      <c r="A12" s="18"/>
      <c r="C12" s="19"/>
      <c r="D12" s="20">
        <v>39538</v>
      </c>
      <c r="E12" s="20">
        <v>39629</v>
      </c>
      <c r="F12" s="20">
        <v>39721</v>
      </c>
      <c r="G12" s="20">
        <v>39813</v>
      </c>
      <c r="H12" s="20">
        <v>39903</v>
      </c>
      <c r="I12" s="20">
        <v>39994</v>
      </c>
      <c r="J12" s="20">
        <v>40086</v>
      </c>
      <c r="K12" s="20">
        <v>40178</v>
      </c>
      <c r="L12" s="20">
        <v>40268</v>
      </c>
      <c r="M12" s="20">
        <v>40359</v>
      </c>
      <c r="N12" s="20">
        <v>40451</v>
      </c>
      <c r="O12" s="20">
        <v>40543</v>
      </c>
      <c r="P12" s="20">
        <v>40633</v>
      </c>
      <c r="Q12" s="20">
        <v>40724</v>
      </c>
      <c r="R12" s="20">
        <v>40816</v>
      </c>
      <c r="S12" s="20">
        <v>40908</v>
      </c>
      <c r="T12" s="20">
        <v>40999</v>
      </c>
      <c r="U12" s="20">
        <v>41090</v>
      </c>
      <c r="V12" s="20">
        <v>41182</v>
      </c>
      <c r="W12" s="20">
        <v>41274</v>
      </c>
      <c r="X12" s="20">
        <v>41364</v>
      </c>
      <c r="Y12" s="20">
        <v>41455</v>
      </c>
      <c r="Z12" s="20">
        <v>41547</v>
      </c>
      <c r="AA12" s="20">
        <v>41639</v>
      </c>
      <c r="AB12" s="13"/>
      <c r="AC12" s="13"/>
      <c r="AD12" s="13"/>
      <c r="AE12" s="13"/>
      <c r="AF12" s="21"/>
    </row>
    <row r="13" spans="1:32" s="22" customFormat="1" x14ac:dyDescent="0.25">
      <c r="A13" s="1"/>
      <c r="C13" s="23" t="s">
        <v>4</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x14ac:dyDescent="0.25">
      <c r="A14" s="1"/>
      <c r="C14" s="32" t="s">
        <v>5</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x14ac:dyDescent="0.3">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x14ac:dyDescent="0.3">
      <c r="A16" s="38"/>
      <c r="C16" s="15" t="s">
        <v>6</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x14ac:dyDescent="0.3">
      <c r="A17" s="38"/>
      <c r="C17" s="39"/>
      <c r="D17" s="331" t="s">
        <v>7</v>
      </c>
      <c r="E17" s="332"/>
      <c r="F17" s="332"/>
      <c r="G17" s="332"/>
      <c r="H17" s="332"/>
      <c r="I17" s="333"/>
      <c r="J17" s="40"/>
      <c r="K17" s="334"/>
      <c r="L17" s="335"/>
      <c r="M17" s="336"/>
      <c r="N17" s="331" t="s">
        <v>7</v>
      </c>
      <c r="O17" s="332"/>
      <c r="P17" s="332"/>
      <c r="Q17" s="337"/>
      <c r="R17" s="327" t="s">
        <v>8</v>
      </c>
      <c r="S17" s="328"/>
      <c r="T17"/>
      <c r="U17"/>
      <c r="V17"/>
      <c r="W17"/>
      <c r="X17"/>
      <c r="Y17"/>
    </row>
    <row r="18" spans="1:37" ht="18.75" thickBot="1" x14ac:dyDescent="0.3">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9</v>
      </c>
      <c r="U18"/>
      <c r="V18"/>
      <c r="W18"/>
      <c r="X18"/>
      <c r="Y18"/>
    </row>
    <row r="19" spans="1:37" ht="25.5" customHeight="1" x14ac:dyDescent="0.25">
      <c r="C19" s="52" t="s">
        <v>10</v>
      </c>
      <c r="D19" s="53">
        <f>+AVERAGE(D13:G13)</f>
        <v>164.82499999999999</v>
      </c>
      <c r="E19" s="54">
        <f>+AVERAGE(H13:K13)</f>
        <v>167.82499999999999</v>
      </c>
      <c r="F19" s="54">
        <f>+AVERAGE(L13:O13)</f>
        <v>172.60000000000002</v>
      </c>
      <c r="G19" s="27">
        <f>+AVERAGE(P13:S13)</f>
        <v>178.45</v>
      </c>
      <c r="H19" s="55"/>
      <c r="I19" s="56"/>
      <c r="J19" s="46"/>
      <c r="K19" s="338" t="s">
        <v>65</v>
      </c>
      <c r="L19" s="339"/>
      <c r="M19" s="340"/>
      <c r="N19" s="303">
        <f>1.82011/100</f>
        <v>1.8201099999999998E-2</v>
      </c>
      <c r="O19" s="303">
        <f>2.84523/100</f>
        <v>2.84523E-2</v>
      </c>
      <c r="P19" s="303">
        <f>3.38934/100</f>
        <v>3.3893399999999997E-2</v>
      </c>
      <c r="Q19" s="303">
        <f>1.76278015613196/100</f>
        <v>1.76278015613196E-2</v>
      </c>
      <c r="R19" s="303">
        <f>2.44988864142539/100</f>
        <v>2.4498886414253903E-2</v>
      </c>
      <c r="S19" s="303">
        <f>2.48792270531402/100</f>
        <v>2.4879227053140197E-2</v>
      </c>
      <c r="T19" s="57">
        <v>2.5000000000000001E-2</v>
      </c>
      <c r="U19"/>
      <c r="V19"/>
      <c r="W19"/>
      <c r="X19"/>
      <c r="Y19"/>
      <c r="Z19" s="58"/>
    </row>
    <row r="20" spans="1:37" ht="25.5" customHeight="1" thickBot="1" x14ac:dyDescent="0.3">
      <c r="C20" s="288" t="s">
        <v>11</v>
      </c>
      <c r="D20" s="289"/>
      <c r="E20" s="290"/>
      <c r="F20" s="291"/>
      <c r="G20" s="292">
        <f>+AVERAGE(P14:S14)</f>
        <v>99.275000000000006</v>
      </c>
      <c r="H20" s="293">
        <f>+AVERAGE(T14:W14)</f>
        <v>101.02500000000001</v>
      </c>
      <c r="I20" s="294">
        <f>+AVERAGE(X14:AA14)</f>
        <v>103.5</v>
      </c>
      <c r="J20" s="46"/>
      <c r="K20" s="341" t="str">
        <f>CONCATENATE("Reconstructed cumulative index (",CRCP_y5,"=1)")</f>
        <v>Reconstructed cumulative index (2014-15=1)</v>
      </c>
      <c r="L20" s="342"/>
      <c r="M20" s="343"/>
      <c r="N20" s="59">
        <f t="shared" ref="N20:S20" si="0">O20/(1+O19)</f>
        <v>0.85870318392257061</v>
      </c>
      <c r="O20" s="59">
        <f t="shared" si="0"/>
        <v>0.8831352645224908</v>
      </c>
      <c r="P20" s="59">
        <f t="shared" si="0"/>
        <v>0.91306772129705738</v>
      </c>
      <c r="Q20" s="59">
        <f t="shared" si="0"/>
        <v>0.92916309790012819</v>
      </c>
      <c r="R20" s="59">
        <f t="shared" si="0"/>
        <v>0.95192655909589974</v>
      </c>
      <c r="S20" s="59">
        <f t="shared" si="0"/>
        <v>0.97560975609756106</v>
      </c>
      <c r="T20" s="60">
        <v>1</v>
      </c>
      <c r="U20"/>
      <c r="V20"/>
      <c r="W20"/>
      <c r="X20"/>
      <c r="Y20"/>
      <c r="Z20" s="61"/>
      <c r="AD20"/>
      <c r="AE20"/>
      <c r="AF20"/>
      <c r="AG20"/>
      <c r="AH20"/>
      <c r="AI20"/>
      <c r="AJ20"/>
      <c r="AK20"/>
    </row>
    <row r="21" spans="1:37" s="296" customFormat="1" x14ac:dyDescent="0.25">
      <c r="A21" s="295"/>
      <c r="C21" s="297"/>
      <c r="D21" s="298"/>
      <c r="E21" s="298"/>
      <c r="F21" s="298"/>
      <c r="G21" s="287"/>
      <c r="H21" s="287"/>
      <c r="I21" s="287"/>
      <c r="J21" s="299"/>
      <c r="K21" s="300"/>
      <c r="L21" s="300"/>
      <c r="M21" s="300"/>
      <c r="N21" s="301"/>
      <c r="O21" s="301"/>
      <c r="P21" s="301"/>
      <c r="Q21" s="301"/>
      <c r="R21" s="301"/>
      <c r="S21" s="301"/>
      <c r="Z21" s="302"/>
    </row>
    <row r="22" spans="1:37" s="296" customFormat="1" x14ac:dyDescent="0.25">
      <c r="A22" s="295"/>
      <c r="C22" s="297"/>
      <c r="D22" s="298"/>
      <c r="E22" s="298"/>
      <c r="F22" s="298"/>
      <c r="G22" s="287"/>
      <c r="H22" s="287"/>
      <c r="I22" s="287"/>
      <c r="J22" s="299"/>
      <c r="K22" s="300"/>
      <c r="L22" s="300"/>
      <c r="M22" s="300"/>
      <c r="N22" s="301"/>
      <c r="O22" s="301"/>
      <c r="P22" s="301"/>
      <c r="Q22" s="301"/>
      <c r="R22" s="301"/>
      <c r="S22" s="301"/>
      <c r="Z22" s="302"/>
    </row>
    <row r="23" spans="1:37" s="63" customFormat="1" ht="24.75" customHeight="1" x14ac:dyDescent="0.25">
      <c r="A23" s="62"/>
      <c r="C23" s="64" t="str">
        <f>CONCATENATE("TABLE 7.5.1 - The carryover amounts that arise from applying the ECM during the ", FRCP_y1," to ",FRCP_y5, " regulatory control period")</f>
        <v>TABLE 7.5.1 - The carryover amounts that arise from applying the ECM during the 2016-17 to 2020-21 regulatory control period</v>
      </c>
      <c r="D23" s="64"/>
      <c r="E23" s="64"/>
      <c r="F23" s="64"/>
      <c r="G23" s="64"/>
      <c r="H23" s="64"/>
      <c r="I23" s="64"/>
      <c r="J23" s="64"/>
      <c r="K23" s="64"/>
      <c r="L23" s="64"/>
      <c r="M23" s="64"/>
      <c r="N23" s="64"/>
      <c r="O23" s="64"/>
      <c r="P23" s="64"/>
      <c r="Q23" s="64"/>
      <c r="R23" s="64"/>
      <c r="S23" s="64"/>
      <c r="T23" s="64"/>
      <c r="U23" s="64"/>
      <c r="V23" s="64"/>
      <c r="W23" s="64"/>
      <c r="X23" s="65"/>
      <c r="Y23" s="65"/>
      <c r="Z23" s="65"/>
      <c r="AA23" s="65"/>
      <c r="AB23" s="66"/>
      <c r="AD23"/>
      <c r="AE23"/>
      <c r="AF23"/>
      <c r="AG23"/>
      <c r="AH23"/>
      <c r="AI23"/>
      <c r="AJ23"/>
      <c r="AK23"/>
    </row>
    <row r="24" spans="1:37" ht="19.5" thickBot="1" x14ac:dyDescent="0.35">
      <c r="A24" s="67"/>
      <c r="C24" s="14"/>
      <c r="D24" s="14"/>
      <c r="E24" s="14"/>
      <c r="F24" s="14"/>
      <c r="G24" s="14"/>
      <c r="H24" s="14"/>
      <c r="I24" s="14"/>
      <c r="J24" s="14"/>
      <c r="K24" s="14"/>
      <c r="L24" s="14"/>
      <c r="M24" s="14"/>
      <c r="N24" s="14"/>
      <c r="O24" s="14"/>
      <c r="P24" s="14"/>
      <c r="Q24" s="14"/>
      <c r="R24" s="14"/>
      <c r="S24" s="14"/>
      <c r="T24" s="14"/>
      <c r="U24" s="14"/>
      <c r="V24" s="14"/>
      <c r="W24" s="13"/>
      <c r="X24" s="13"/>
      <c r="Y24" s="13"/>
      <c r="Z24" s="13"/>
      <c r="AA24" s="13"/>
      <c r="AB24" s="13"/>
      <c r="AD24"/>
      <c r="AE24"/>
      <c r="AF24"/>
      <c r="AG24"/>
      <c r="AH24"/>
      <c r="AI24"/>
      <c r="AJ24"/>
      <c r="AK24"/>
    </row>
    <row r="25" spans="1:37" s="68" customFormat="1" ht="24.75" customHeight="1" thickBot="1" x14ac:dyDescent="0.3">
      <c r="A25" s="38"/>
      <c r="C25" s="69" t="s">
        <v>70</v>
      </c>
      <c r="D25" s="70"/>
      <c r="E25" s="70"/>
      <c r="F25" s="70"/>
      <c r="G25" s="70"/>
      <c r="H25" s="70"/>
      <c r="I25" s="70"/>
      <c r="J25" s="70"/>
      <c r="K25" s="70"/>
      <c r="L25" s="70"/>
      <c r="M25" s="70"/>
      <c r="N25" s="70"/>
      <c r="O25" s="70"/>
      <c r="P25" s="70"/>
      <c r="Q25" s="70"/>
      <c r="R25" s="70"/>
      <c r="S25" s="70"/>
      <c r="T25" s="70"/>
      <c r="U25" s="70"/>
      <c r="V25" s="70"/>
      <c r="W25" s="71"/>
      <c r="X25" s="2"/>
      <c r="Y25"/>
      <c r="AD25"/>
      <c r="AE25"/>
      <c r="AF25"/>
      <c r="AG25"/>
      <c r="AH25"/>
      <c r="AI25"/>
      <c r="AJ25"/>
      <c r="AK25"/>
    </row>
    <row r="26" spans="1:37" ht="15.75" x14ac:dyDescent="0.25">
      <c r="A26" s="72"/>
      <c r="C26" s="73"/>
      <c r="D26" s="344" t="s">
        <v>12</v>
      </c>
      <c r="E26" s="345"/>
      <c r="F26" s="346" t="s">
        <v>13</v>
      </c>
      <c r="G26" s="347"/>
      <c r="H26" s="347"/>
      <c r="I26" s="347"/>
      <c r="J26" s="348"/>
      <c r="K26" s="46"/>
      <c r="L26" s="344" t="s">
        <v>12</v>
      </c>
      <c r="M26" s="345"/>
      <c r="N26" s="371" t="s">
        <v>13</v>
      </c>
      <c r="O26" s="366"/>
      <c r="P26" s="366"/>
      <c r="Q26" s="366"/>
      <c r="R26" s="372"/>
      <c r="S26" s="356" t="s">
        <v>14</v>
      </c>
      <c r="T26" s="357"/>
      <c r="U26" s="357"/>
      <c r="V26" s="357"/>
      <c r="W26" s="358"/>
      <c r="Z26"/>
      <c r="AD26"/>
      <c r="AE26"/>
      <c r="AF26"/>
      <c r="AG26"/>
      <c r="AH26"/>
      <c r="AI26"/>
      <c r="AJ26"/>
      <c r="AK26"/>
    </row>
    <row r="27" spans="1:37" ht="15.75" thickBot="1" x14ac:dyDescent="0.3">
      <c r="C27" s="74"/>
      <c r="D27" s="359" t="str">
        <f>CONCATENATE("$m, real ", (PRCP_y5))</f>
        <v>$m, real 2009-10</v>
      </c>
      <c r="E27" s="360"/>
      <c r="F27" s="361" t="str">
        <f>CONCATENATE("$m, real ", dms_DollarRealPrev_y5)</f>
        <v>$m, real June 2010</v>
      </c>
      <c r="G27" s="350"/>
      <c r="H27" s="350"/>
      <c r="I27" s="350"/>
      <c r="J27" s="351"/>
      <c r="K27" s="46"/>
      <c r="L27" s="359" t="str">
        <f>CONCATENATE("$m, real ", (CRCP_y5))</f>
        <v>$m, real 2014-15</v>
      </c>
      <c r="M27" s="360"/>
      <c r="N27" s="361" t="str">
        <f>CONCATENATE("$m, real ", dms_DollarReal)</f>
        <v>$m, real June 2016</v>
      </c>
      <c r="O27" s="350"/>
      <c r="P27" s="350"/>
      <c r="Q27" s="350"/>
      <c r="R27" s="362"/>
      <c r="S27" s="75"/>
      <c r="T27" s="76"/>
      <c r="U27" s="76"/>
      <c r="V27" s="76"/>
      <c r="W27" s="77"/>
      <c r="AD27"/>
      <c r="AE27"/>
      <c r="AF27"/>
      <c r="AG27"/>
      <c r="AH27"/>
      <c r="AI27"/>
      <c r="AJ27"/>
      <c r="AK27"/>
    </row>
    <row r="28" spans="1:37" ht="15.75" thickBot="1" x14ac:dyDescent="0.3">
      <c r="C28" s="74"/>
      <c r="D28" s="78" t="str">
        <f>PRCP_y4</f>
        <v>2008-09</v>
      </c>
      <c r="E28" s="79" t="str">
        <f>PRCP_y5</f>
        <v>2009-10</v>
      </c>
      <c r="F28" s="80" t="str">
        <f>CRCP_y1</f>
        <v>2010-11</v>
      </c>
      <c r="G28" s="81" t="str">
        <f>CRCP_y2</f>
        <v>2011-12</v>
      </c>
      <c r="H28" s="81" t="str">
        <f>CRCP_y3</f>
        <v>2012-13</v>
      </c>
      <c r="I28" s="81" t="str">
        <f>CRCP_y4</f>
        <v>2013-14</v>
      </c>
      <c r="J28" s="82" t="str">
        <f>CRCP_y5</f>
        <v>2014-15</v>
      </c>
      <c r="K28" s="46"/>
      <c r="L28" s="83" t="str">
        <f>PRCP_y4</f>
        <v>2008-09</v>
      </c>
      <c r="M28" s="84" t="str">
        <f>PRCP_y5</f>
        <v>2009-10</v>
      </c>
      <c r="N28" s="80" t="str">
        <f>CRCP_y1</f>
        <v>2010-11</v>
      </c>
      <c r="O28" s="81" t="str">
        <f>CRCP_y2</f>
        <v>2011-12</v>
      </c>
      <c r="P28" s="81" t="str">
        <f>CRCP_y3</f>
        <v>2012-13</v>
      </c>
      <c r="Q28" s="81" t="str">
        <f>CRCP_y4</f>
        <v>2013-14</v>
      </c>
      <c r="R28" s="82" t="str">
        <f>CRCP_y5</f>
        <v>2014-15</v>
      </c>
      <c r="S28" s="85" t="str">
        <f t="array" ref="S28:W28">FRCP</f>
        <v>2016-17</v>
      </c>
      <c r="T28" s="86" t="str">
        <v>2017-18</v>
      </c>
      <c r="U28" s="86" t="str">
        <v>2018-19</v>
      </c>
      <c r="V28" s="86" t="str">
        <v>2019-20</v>
      </c>
      <c r="W28" s="87" t="str">
        <v>2020-21</v>
      </c>
      <c r="AD28"/>
      <c r="AE28"/>
      <c r="AF28"/>
      <c r="AG28"/>
      <c r="AH28"/>
      <c r="AI28"/>
      <c r="AJ28"/>
      <c r="AK28"/>
    </row>
    <row r="29" spans="1:37" x14ac:dyDescent="0.25">
      <c r="A29" s="1" t="s">
        <v>15</v>
      </c>
      <c r="C29" s="286" t="s">
        <v>16</v>
      </c>
      <c r="D29" s="88"/>
      <c r="E29" s="89"/>
      <c r="F29" s="90">
        <v>20.671608948775262</v>
      </c>
      <c r="G29" s="91">
        <v>22.60161370447209</v>
      </c>
      <c r="H29" s="91">
        <v>23.090342497933278</v>
      </c>
      <c r="I29" s="91">
        <v>22.871101671886031</v>
      </c>
      <c r="J29" s="90">
        <v>23.155003189770881</v>
      </c>
      <c r="K29" s="46"/>
      <c r="L29" s="92"/>
      <c r="M29" s="93"/>
      <c r="N29" s="94">
        <f>+F29/$N$20</f>
        <v>24.073054969176898</v>
      </c>
      <c r="O29" s="95">
        <f>+G29/$N$20</f>
        <v>26.320635730296861</v>
      </c>
      <c r="P29" s="95">
        <f>+H29/$N$20</f>
        <v>26.889783257185801</v>
      </c>
      <c r="Q29" s="95">
        <f>+I29/$N$20</f>
        <v>26.634467066268989</v>
      </c>
      <c r="R29" s="96">
        <f>+J29/$N$20</f>
        <v>26.965083655563539</v>
      </c>
      <c r="S29" s="97"/>
      <c r="T29" s="97"/>
      <c r="U29" s="97"/>
      <c r="V29" s="97"/>
      <c r="W29" s="98"/>
      <c r="X29" s="58"/>
      <c r="Y29" s="61"/>
      <c r="AD29"/>
      <c r="AE29"/>
      <c r="AF29"/>
      <c r="AG29"/>
      <c r="AH29"/>
      <c r="AI29"/>
      <c r="AJ29"/>
      <c r="AK29"/>
    </row>
    <row r="30" spans="1:37" x14ac:dyDescent="0.25">
      <c r="C30" s="99" t="s">
        <v>17</v>
      </c>
      <c r="D30" s="100"/>
      <c r="E30" s="101"/>
      <c r="F30" s="102"/>
      <c r="G30" s="103"/>
      <c r="H30" s="103"/>
      <c r="I30" s="103"/>
      <c r="J30" s="104"/>
      <c r="K30" s="105"/>
      <c r="L30" s="106"/>
      <c r="M30" s="107"/>
      <c r="N30" s="108"/>
      <c r="O30" s="109"/>
      <c r="P30" s="109"/>
      <c r="Q30" s="109"/>
      <c r="R30" s="110"/>
      <c r="S30" s="97"/>
      <c r="T30" s="97"/>
      <c r="U30" s="97"/>
      <c r="V30" s="97"/>
      <c r="W30" s="98"/>
      <c r="X30" s="58"/>
      <c r="Y30" s="58"/>
      <c r="AD30"/>
      <c r="AE30"/>
      <c r="AF30"/>
      <c r="AG30"/>
      <c r="AH30"/>
      <c r="AI30"/>
      <c r="AJ30"/>
      <c r="AK30"/>
    </row>
    <row r="31" spans="1:37" x14ac:dyDescent="0.25">
      <c r="A31" s="1" t="s">
        <v>18</v>
      </c>
      <c r="C31" s="111" t="s">
        <v>19</v>
      </c>
      <c r="D31" s="112"/>
      <c r="E31" s="113"/>
      <c r="F31" s="114">
        <v>0.16924548354485897</v>
      </c>
      <c r="G31" s="115">
        <v>0.17998935212355752</v>
      </c>
      <c r="H31" s="115">
        <v>0.18935972004997531</v>
      </c>
      <c r="I31" s="116">
        <v>0.18974508871113654</v>
      </c>
      <c r="J31" s="117">
        <v>0.18913266495860159</v>
      </c>
      <c r="K31" s="105"/>
      <c r="L31" s="118"/>
      <c r="M31" s="119"/>
      <c r="N31" s="120">
        <f t="shared" ref="N31:R38" si="1">-F31/$N$20</f>
        <v>-0.19709427740996924</v>
      </c>
      <c r="O31" s="121">
        <f t="shared" si="1"/>
        <v>-0.20960601462004966</v>
      </c>
      <c r="P31" s="121">
        <f t="shared" si="1"/>
        <v>-0.22051824611267531</v>
      </c>
      <c r="Q31" s="121">
        <f t="shared" si="1"/>
        <v>-0.22096702593366171</v>
      </c>
      <c r="R31" s="122">
        <f t="shared" si="1"/>
        <v>-0.22025382984448758</v>
      </c>
      <c r="S31" s="97"/>
      <c r="T31" s="97"/>
      <c r="U31" s="97"/>
      <c r="V31" s="97"/>
      <c r="W31" s="98"/>
      <c r="X31" s="58"/>
      <c r="Y31" s="58"/>
      <c r="AD31"/>
      <c r="AE31"/>
      <c r="AF31"/>
      <c r="AG31"/>
      <c r="AH31"/>
      <c r="AI31"/>
      <c r="AJ31"/>
      <c r="AK31"/>
    </row>
    <row r="32" spans="1:37" x14ac:dyDescent="0.25">
      <c r="A32" s="1" t="s">
        <v>20</v>
      </c>
      <c r="C32" s="111" t="s">
        <v>21</v>
      </c>
      <c r="D32" s="112"/>
      <c r="E32" s="113"/>
      <c r="F32" s="123">
        <v>1E-3</v>
      </c>
      <c r="G32" s="124">
        <v>1E-3</v>
      </c>
      <c r="H32" s="124">
        <v>1E-3</v>
      </c>
      <c r="I32" s="125">
        <v>1E-3</v>
      </c>
      <c r="J32" s="117">
        <v>1E-3</v>
      </c>
      <c r="K32" s="105"/>
      <c r="L32" s="118"/>
      <c r="M32" s="119"/>
      <c r="N32" s="120">
        <f t="shared" si="1"/>
        <v>-1.1645467476107205E-3</v>
      </c>
      <c r="O32" s="121">
        <f t="shared" si="1"/>
        <v>-1.1645467476107205E-3</v>
      </c>
      <c r="P32" s="121">
        <f t="shared" si="1"/>
        <v>-1.1645467476107205E-3</v>
      </c>
      <c r="Q32" s="121">
        <f t="shared" si="1"/>
        <v>-1.1645467476107205E-3</v>
      </c>
      <c r="R32" s="122">
        <f t="shared" si="1"/>
        <v>-1.1645467476107205E-3</v>
      </c>
      <c r="S32" s="97"/>
      <c r="T32" s="97"/>
      <c r="U32" s="97"/>
      <c r="V32" s="97"/>
      <c r="W32" s="98"/>
      <c r="X32" s="58"/>
      <c r="Y32" s="58"/>
      <c r="AD32"/>
      <c r="AE32"/>
      <c r="AF32"/>
      <c r="AG32"/>
      <c r="AH32"/>
      <c r="AI32"/>
      <c r="AJ32"/>
      <c r="AK32"/>
    </row>
    <row r="33" spans="1:37" x14ac:dyDescent="0.25">
      <c r="A33" s="1" t="s">
        <v>22</v>
      </c>
      <c r="C33" s="126" t="s">
        <v>23</v>
      </c>
      <c r="D33" s="112"/>
      <c r="E33" s="113"/>
      <c r="F33" s="123">
        <v>8.5505012695854254E-2</v>
      </c>
      <c r="G33" s="124">
        <v>8.5505012695854241E-2</v>
      </c>
      <c r="H33" s="124">
        <v>8.5505012695854254E-2</v>
      </c>
      <c r="I33" s="125">
        <v>8.5505012695854241E-2</v>
      </c>
      <c r="J33" s="117">
        <v>8.5505012695854227E-2</v>
      </c>
      <c r="K33" s="127"/>
      <c r="L33" s="118"/>
      <c r="M33" s="119"/>
      <c r="N33" s="120">
        <f t="shared" si="1"/>
        <v>-9.9574584439370437E-2</v>
      </c>
      <c r="O33" s="121">
        <f t="shared" si="1"/>
        <v>-9.9574584439370423E-2</v>
      </c>
      <c r="P33" s="121">
        <f t="shared" si="1"/>
        <v>-9.9574584439370437E-2</v>
      </c>
      <c r="Q33" s="121">
        <f t="shared" si="1"/>
        <v>-9.9574584439370423E-2</v>
      </c>
      <c r="R33" s="122">
        <f t="shared" si="1"/>
        <v>-9.9574584439370409E-2</v>
      </c>
      <c r="S33" s="97"/>
      <c r="T33" s="97"/>
      <c r="U33" s="97"/>
      <c r="V33" s="97"/>
      <c r="W33" s="98"/>
      <c r="X33" s="128"/>
      <c r="Y33" s="58"/>
      <c r="AD33"/>
      <c r="AE33"/>
      <c r="AF33"/>
      <c r="AG33"/>
      <c r="AH33"/>
      <c r="AI33"/>
      <c r="AJ33"/>
      <c r="AK33"/>
    </row>
    <row r="34" spans="1:37" x14ac:dyDescent="0.25">
      <c r="A34" s="1" t="s">
        <v>24</v>
      </c>
      <c r="C34" s="111" t="s">
        <v>25</v>
      </c>
      <c r="D34" s="112"/>
      <c r="E34" s="113"/>
      <c r="F34" s="123">
        <v>1.8704183500780319E-2</v>
      </c>
      <c r="G34" s="124">
        <v>1.9156645216366893E-2</v>
      </c>
      <c r="H34" s="124">
        <v>1.9620052162685562E-2</v>
      </c>
      <c r="I34" s="125">
        <v>2.0094669109266338E-2</v>
      </c>
      <c r="J34" s="117">
        <v>2.0521965038433329E-2</v>
      </c>
      <c r="K34" s="127"/>
      <c r="L34" s="118"/>
      <c r="M34" s="119"/>
      <c r="N34" s="120">
        <f t="shared" si="1"/>
        <v>-2.1781896062547823E-2</v>
      </c>
      <c r="O34" s="121">
        <f t="shared" si="1"/>
        <v>-2.2308808881852535E-2</v>
      </c>
      <c r="P34" s="121">
        <f t="shared" si="1"/>
        <v>-2.2848467934008156E-2</v>
      </c>
      <c r="Q34" s="121">
        <f t="shared" si="1"/>
        <v>-2.3401181555509729E-2</v>
      </c>
      <c r="R34" s="122">
        <f t="shared" si="1"/>
        <v>-2.3898787640088449E-2</v>
      </c>
      <c r="S34" s="97"/>
      <c r="T34" s="97"/>
      <c r="U34" s="97"/>
      <c r="V34" s="97"/>
      <c r="W34" s="98"/>
      <c r="X34" s="129"/>
      <c r="Y34" s="130"/>
      <c r="AD34"/>
      <c r="AE34"/>
      <c r="AF34"/>
      <c r="AG34"/>
      <c r="AH34"/>
      <c r="AI34"/>
      <c r="AJ34"/>
      <c r="AK34"/>
    </row>
    <row r="35" spans="1:37" x14ac:dyDescent="0.25">
      <c r="A35" s="1" t="s">
        <v>26</v>
      </c>
      <c r="C35" s="126" t="s">
        <v>27</v>
      </c>
      <c r="D35" s="112"/>
      <c r="E35" s="113"/>
      <c r="F35" s="123">
        <v>4.6524407476390204</v>
      </c>
      <c r="G35" s="124">
        <v>4.6890496076503405</v>
      </c>
      <c r="H35" s="124">
        <v>4.7455125174317025</v>
      </c>
      <c r="I35" s="125">
        <v>4.8065091632546961</v>
      </c>
      <c r="J35" s="117">
        <v>4.870336345440986</v>
      </c>
      <c r="K35" s="105"/>
      <c r="L35" s="118"/>
      <c r="M35" s="119"/>
      <c r="N35" s="120">
        <f t="shared" si="1"/>
        <v>-5.4179847411146103</v>
      </c>
      <c r="O35" s="121">
        <f t="shared" si="1"/>
        <v>-5.4606174699745296</v>
      </c>
      <c r="P35" s="121">
        <f t="shared" si="1"/>
        <v>-5.5263711679210523</v>
      </c>
      <c r="Q35" s="121">
        <f t="shared" si="1"/>
        <v>-5.597404613429382</v>
      </c>
      <c r="R35" s="122">
        <f t="shared" si="1"/>
        <v>-5.6717343508535834</v>
      </c>
      <c r="S35" s="97"/>
      <c r="T35" s="97"/>
      <c r="U35" s="97"/>
      <c r="V35" s="97"/>
      <c r="W35" s="98"/>
      <c r="X35" s="129"/>
      <c r="Y35" s="58"/>
    </row>
    <row r="36" spans="1:37" x14ac:dyDescent="0.25">
      <c r="A36" s="1" t="s">
        <v>28</v>
      </c>
      <c r="C36" s="131" t="s">
        <v>29</v>
      </c>
      <c r="D36" s="112"/>
      <c r="E36" s="113"/>
      <c r="F36" s="114"/>
      <c r="G36" s="115"/>
      <c r="H36" s="115"/>
      <c r="I36" s="116"/>
      <c r="J36" s="132"/>
      <c r="K36" s="105"/>
      <c r="L36" s="118"/>
      <c r="M36" s="119"/>
      <c r="N36" s="120">
        <f t="shared" si="1"/>
        <v>0</v>
      </c>
      <c r="O36" s="121">
        <f t="shared" si="1"/>
        <v>0</v>
      </c>
      <c r="P36" s="121">
        <f t="shared" si="1"/>
        <v>0</v>
      </c>
      <c r="Q36" s="121">
        <f t="shared" si="1"/>
        <v>0</v>
      </c>
      <c r="R36" s="122">
        <f t="shared" si="1"/>
        <v>0</v>
      </c>
      <c r="S36" s="97"/>
      <c r="T36" s="97"/>
      <c r="U36" s="97"/>
      <c r="V36" s="97"/>
      <c r="W36" s="98"/>
      <c r="X36" s="129"/>
      <c r="Y36" s="58"/>
    </row>
    <row r="37" spans="1:37" x14ac:dyDescent="0.25">
      <c r="A37" s="1" t="s">
        <v>30</v>
      </c>
      <c r="C37" s="131" t="s">
        <v>31</v>
      </c>
      <c r="D37" s="112"/>
      <c r="E37" s="113"/>
      <c r="F37" s="114"/>
      <c r="G37" s="115"/>
      <c r="H37" s="115"/>
      <c r="I37" s="115"/>
      <c r="J37" s="132"/>
      <c r="K37" s="105"/>
      <c r="L37" s="118"/>
      <c r="M37" s="119"/>
      <c r="N37" s="120">
        <f t="shared" si="1"/>
        <v>0</v>
      </c>
      <c r="O37" s="121">
        <f t="shared" si="1"/>
        <v>0</v>
      </c>
      <c r="P37" s="121">
        <f t="shared" si="1"/>
        <v>0</v>
      </c>
      <c r="Q37" s="121">
        <f t="shared" si="1"/>
        <v>0</v>
      </c>
      <c r="R37" s="122">
        <f t="shared" si="1"/>
        <v>0</v>
      </c>
      <c r="S37" s="97"/>
      <c r="T37" s="97"/>
      <c r="U37" s="97"/>
      <c r="V37" s="97"/>
      <c r="W37" s="98"/>
      <c r="X37" s="129"/>
      <c r="Y37" s="58"/>
    </row>
    <row r="38" spans="1:37" ht="15.75" thickBot="1" x14ac:dyDescent="0.3">
      <c r="A38" s="1" t="s">
        <v>32</v>
      </c>
      <c r="C38" s="321" t="s">
        <v>33</v>
      </c>
      <c r="D38" s="112"/>
      <c r="E38" s="113"/>
      <c r="F38" s="133">
        <v>-0.1249780390442808</v>
      </c>
      <c r="G38" s="134">
        <v>-0.33628173060791111</v>
      </c>
      <c r="H38" s="134">
        <v>-0.58679454904112105</v>
      </c>
      <c r="I38" s="134">
        <v>-0.8561964028688861</v>
      </c>
      <c r="J38" s="135"/>
      <c r="K38" s="105"/>
      <c r="L38" s="136"/>
      <c r="M38" s="137"/>
      <c r="N38" s="120">
        <f t="shared" si="1"/>
        <v>0.14554276889178286</v>
      </c>
      <c r="O38" s="121">
        <f t="shared" si="1"/>
        <v>0.39161579566034738</v>
      </c>
      <c r="P38" s="121">
        <f t="shared" si="1"/>
        <v>0.68334968360153703</v>
      </c>
      <c r="Q38" s="121">
        <f t="shared" si="1"/>
        <v>0.99708073627695948</v>
      </c>
      <c r="R38" s="122">
        <f t="shared" si="1"/>
        <v>0</v>
      </c>
      <c r="S38" s="97"/>
      <c r="T38" s="97"/>
      <c r="U38" s="97"/>
      <c r="V38" s="97"/>
      <c r="W38" s="98"/>
      <c r="X38" s="129"/>
      <c r="Y38" s="58"/>
    </row>
    <row r="39" spans="1:37" ht="15.75" thickBot="1" x14ac:dyDescent="0.3">
      <c r="C39" s="138" t="s">
        <v>73</v>
      </c>
      <c r="D39" s="139"/>
      <c r="E39" s="140"/>
      <c r="F39" s="141">
        <f>F29-SUM(F31:F38)</f>
        <v>15.86969156043903</v>
      </c>
      <c r="G39" s="142">
        <f>G29-SUM(G31:G38)</f>
        <v>17.963194817393884</v>
      </c>
      <c r="H39" s="142">
        <f>H29-SUM(H31:H38)</f>
        <v>18.636139744634182</v>
      </c>
      <c r="I39" s="142">
        <f>I29-SUM(I31:I38)</f>
        <v>18.624444140983965</v>
      </c>
      <c r="J39" s="143">
        <f>J29-SUM(J31:J38)</f>
        <v>17.988507201637006</v>
      </c>
      <c r="K39" s="105"/>
      <c r="L39" s="144"/>
      <c r="M39" s="145"/>
      <c r="N39" s="322">
        <f>+SUM(N29:N38)</f>
        <v>18.480997692294569</v>
      </c>
      <c r="O39" s="322">
        <f>+SUM(O29:O38)</f>
        <v>20.918980101293794</v>
      </c>
      <c r="P39" s="322">
        <f>+SUM(P29:P38)</f>
        <v>21.702655927632623</v>
      </c>
      <c r="Q39" s="322">
        <f>+SUM(Q29:Q38)</f>
        <v>21.689035850440415</v>
      </c>
      <c r="R39" s="322">
        <f>+SUM(R29:R38)</f>
        <v>20.948457556038399</v>
      </c>
      <c r="S39" s="146"/>
      <c r="T39" s="146"/>
      <c r="U39" s="146"/>
      <c r="V39" s="146"/>
      <c r="W39" s="147"/>
      <c r="X39" s="129"/>
      <c r="Y39" s="58"/>
    </row>
    <row r="40" spans="1:37" x14ac:dyDescent="0.25">
      <c r="B40" s="148"/>
      <c r="C40" s="149"/>
      <c r="D40" s="150"/>
      <c r="E40" s="150"/>
      <c r="F40" s="150"/>
      <c r="G40" s="150"/>
      <c r="H40" s="150"/>
      <c r="I40" s="150"/>
      <c r="J40" s="150"/>
      <c r="K40" s="151"/>
      <c r="L40" s="150"/>
      <c r="M40" s="150"/>
      <c r="N40" s="149"/>
      <c r="O40" s="149"/>
      <c r="P40" s="149"/>
      <c r="Q40" s="149"/>
      <c r="R40" s="149"/>
      <c r="S40" s="152"/>
      <c r="T40" s="152"/>
      <c r="U40" s="152"/>
      <c r="V40" s="152"/>
      <c r="W40" s="152"/>
      <c r="X40" s="129"/>
      <c r="Y40" s="58"/>
    </row>
    <row r="41" spans="1:37" s="154" customFormat="1" ht="15.75" thickBot="1" x14ac:dyDescent="0.3">
      <c r="A41" s="1"/>
      <c r="B41" s="153"/>
      <c r="C41" s="153"/>
      <c r="D41" s="153"/>
      <c r="E41" s="153"/>
      <c r="F41" s="153"/>
      <c r="G41" s="153"/>
      <c r="H41" s="153"/>
      <c r="I41" s="153"/>
      <c r="J41" s="153"/>
      <c r="K41" s="153"/>
      <c r="L41" s="153"/>
      <c r="M41" s="153"/>
      <c r="N41" s="153"/>
      <c r="O41" s="153"/>
      <c r="P41" s="153"/>
      <c r="Q41" s="153"/>
      <c r="R41" s="153"/>
      <c r="S41" s="153"/>
      <c r="T41" s="153"/>
      <c r="U41" s="153"/>
      <c r="V41" s="153"/>
      <c r="W41" s="153"/>
      <c r="X41" s="2"/>
      <c r="Y41" s="2"/>
      <c r="Z41" s="2"/>
      <c r="AA41"/>
      <c r="AC41" s="153"/>
    </row>
    <row r="42" spans="1:37" s="68" customFormat="1" ht="25.5" customHeight="1" thickBot="1" x14ac:dyDescent="0.3">
      <c r="A42" s="72"/>
      <c r="C42" s="69" t="s">
        <v>71</v>
      </c>
      <c r="D42" s="70"/>
      <c r="E42" s="70"/>
      <c r="F42" s="70"/>
      <c r="G42" s="70"/>
      <c r="H42" s="70"/>
      <c r="I42" s="70"/>
      <c r="J42" s="70"/>
      <c r="K42" s="70"/>
      <c r="L42" s="70"/>
      <c r="M42" s="70"/>
      <c r="N42" s="70"/>
      <c r="O42" s="70"/>
      <c r="P42" s="70"/>
      <c r="Q42" s="70"/>
      <c r="R42" s="70"/>
      <c r="S42" s="70"/>
      <c r="T42" s="70"/>
      <c r="U42" s="70"/>
      <c r="V42" s="70"/>
      <c r="W42" s="71"/>
      <c r="X42" s="2"/>
      <c r="Y42" s="2"/>
      <c r="Z42"/>
      <c r="AA42"/>
    </row>
    <row r="43" spans="1:37" s="68" customFormat="1" ht="25.5" customHeight="1" x14ac:dyDescent="0.25">
      <c r="A43" s="155"/>
      <c r="C43" s="156"/>
      <c r="D43" s="363" t="s">
        <v>12</v>
      </c>
      <c r="E43" s="364"/>
      <c r="F43" s="365" t="s">
        <v>13</v>
      </c>
      <c r="G43" s="366"/>
      <c r="H43" s="366"/>
      <c r="I43" s="366"/>
      <c r="J43" s="367"/>
      <c r="K43" s="157"/>
      <c r="L43" s="368" t="s">
        <v>12</v>
      </c>
      <c r="M43" s="369"/>
      <c r="N43" s="370" t="s">
        <v>13</v>
      </c>
      <c r="O43" s="347"/>
      <c r="P43" s="347"/>
      <c r="Q43" s="347"/>
      <c r="R43" s="348"/>
      <c r="S43" s="158"/>
      <c r="T43" s="159"/>
      <c r="U43" s="159"/>
      <c r="V43" s="159"/>
      <c r="W43" s="160"/>
      <c r="X43" s="2"/>
      <c r="Y43" s="2"/>
      <c r="Z43"/>
      <c r="AA43"/>
    </row>
    <row r="44" spans="1:37" ht="15.75" thickBot="1" x14ac:dyDescent="0.3">
      <c r="A44" s="155"/>
      <c r="C44" s="156"/>
      <c r="D44" s="359" t="s">
        <v>34</v>
      </c>
      <c r="E44" s="375"/>
      <c r="F44" s="349" t="s">
        <v>34</v>
      </c>
      <c r="G44" s="350"/>
      <c r="H44" s="350"/>
      <c r="I44" s="350"/>
      <c r="J44" s="376"/>
      <c r="K44" s="161"/>
      <c r="L44" s="359" t="str">
        <f>CONCATENATE("$m, real ", (CRCP_y5))</f>
        <v>$m, real 2014-15</v>
      </c>
      <c r="M44" s="375"/>
      <c r="N44" s="349" t="str">
        <f>CONCATENATE("$m, real ", dms_DollarReal)</f>
        <v>$m, real June 2016</v>
      </c>
      <c r="O44" s="350"/>
      <c r="P44" s="350"/>
      <c r="Q44" s="350"/>
      <c r="R44" s="351"/>
      <c r="S44" s="158"/>
      <c r="T44" s="159"/>
      <c r="U44" s="159"/>
      <c r="V44" s="159"/>
      <c r="W44" s="160"/>
      <c r="Z44"/>
      <c r="AA44"/>
    </row>
    <row r="45" spans="1:37" ht="15.75" thickBot="1" x14ac:dyDescent="0.3">
      <c r="C45" s="162"/>
      <c r="D45" s="78" t="str">
        <f>PRCP_y4</f>
        <v>2008-09</v>
      </c>
      <c r="E45" s="79" t="str">
        <f>PRCP_y5</f>
        <v>2009-10</v>
      </c>
      <c r="F45" s="80" t="str">
        <f>CRCP_y1</f>
        <v>2010-11</v>
      </c>
      <c r="G45" s="81" t="str">
        <f>CRCP_y2</f>
        <v>2011-12</v>
      </c>
      <c r="H45" s="81" t="str">
        <f>CRCP_y3</f>
        <v>2012-13</v>
      </c>
      <c r="I45" s="81" t="str">
        <f>CRCP_y4</f>
        <v>2013-14</v>
      </c>
      <c r="J45" s="82" t="str">
        <f>CRCP_y5</f>
        <v>2014-15</v>
      </c>
      <c r="K45" s="161"/>
      <c r="L45" s="83" t="str">
        <f>PRCP_y4</f>
        <v>2008-09</v>
      </c>
      <c r="M45" s="163" t="str">
        <f>PRCP_y5</f>
        <v>2009-10</v>
      </c>
      <c r="N45" s="164" t="str">
        <f>CRCP_y1</f>
        <v>2010-11</v>
      </c>
      <c r="O45" s="81" t="str">
        <f>CRCP_y2</f>
        <v>2011-12</v>
      </c>
      <c r="P45" s="81" t="str">
        <f>CRCP_y3</f>
        <v>2012-13</v>
      </c>
      <c r="Q45" s="81" t="str">
        <f>CRCP_y4</f>
        <v>2013-14</v>
      </c>
      <c r="R45" s="82" t="str">
        <f>CRCP_y5</f>
        <v>2014-15</v>
      </c>
      <c r="S45" s="158"/>
      <c r="T45" s="159"/>
      <c r="U45" s="159"/>
      <c r="V45" s="159"/>
      <c r="W45" s="160"/>
      <c r="Z45"/>
      <c r="AA45"/>
    </row>
    <row r="46" spans="1:37" x14ac:dyDescent="0.25">
      <c r="A46" s="1" t="s">
        <v>35</v>
      </c>
      <c r="C46" s="165" t="s">
        <v>36</v>
      </c>
      <c r="D46" s="166"/>
      <c r="E46" s="166"/>
      <c r="F46" s="90">
        <v>23.250835740000003</v>
      </c>
      <c r="G46" s="91">
        <v>25.547555048161005</v>
      </c>
      <c r="H46" s="91">
        <v>25.516660400487446</v>
      </c>
      <c r="I46" s="167">
        <v>24.6659109</v>
      </c>
      <c r="J46" s="310">
        <v>26.89</v>
      </c>
      <c r="K46" s="275"/>
      <c r="L46" s="169"/>
      <c r="M46" s="170"/>
      <c r="N46" s="171">
        <f>+F46/O$20*(1+O$19)^0.5</f>
        <v>26.699517798359924</v>
      </c>
      <c r="O46" s="171">
        <f>+G46/P$20*(1+P$19)^0.5</f>
        <v>28.450128688907697</v>
      </c>
      <c r="P46" s="171">
        <f>+H46/Q$20*(1+Q$19)^0.5</f>
        <v>27.702971936137097</v>
      </c>
      <c r="Q46" s="171">
        <f>+I46/R$20*(1+R$19)^0.5</f>
        <v>26.227050939153326</v>
      </c>
      <c r="R46" s="172">
        <v>27.6</v>
      </c>
      <c r="S46" s="159"/>
      <c r="T46" s="159"/>
      <c r="U46" s="159"/>
      <c r="V46" s="159"/>
      <c r="W46" s="160"/>
    </row>
    <row r="47" spans="1:37" x14ac:dyDescent="0.25">
      <c r="C47" s="173" t="s">
        <v>37</v>
      </c>
      <c r="D47" s="166"/>
      <c r="E47" s="166"/>
      <c r="F47" s="174"/>
      <c r="G47" s="175"/>
      <c r="H47" s="175"/>
      <c r="I47" s="176"/>
      <c r="J47" s="168"/>
      <c r="K47" s="105"/>
      <c r="L47" s="177"/>
      <c r="M47" s="178"/>
      <c r="N47" s="177"/>
      <c r="O47" s="179"/>
      <c r="P47" s="179"/>
      <c r="Q47" s="180"/>
      <c r="R47" s="181"/>
      <c r="S47" s="158"/>
      <c r="T47" s="159"/>
      <c r="U47" s="159"/>
      <c r="V47" s="159"/>
      <c r="W47" s="160"/>
      <c r="X47" s="58"/>
      <c r="Y47" s="58"/>
    </row>
    <row r="48" spans="1:37" x14ac:dyDescent="0.25">
      <c r="A48" s="1" t="s">
        <v>38</v>
      </c>
      <c r="C48" s="182" t="str">
        <f>+C31</f>
        <v>Debt raising expenditure</v>
      </c>
      <c r="D48" s="113"/>
      <c r="E48" s="113"/>
      <c r="F48" s="114"/>
      <c r="G48" s="115"/>
      <c r="H48" s="115"/>
      <c r="I48" s="116"/>
      <c r="J48" s="168"/>
      <c r="K48" s="127"/>
      <c r="L48" s="183"/>
      <c r="M48" s="184"/>
      <c r="N48" s="185">
        <f t="shared" ref="N48:N56" si="2">-F48/O$20*(1+O$19)^0.5</f>
        <v>0</v>
      </c>
      <c r="O48" s="186">
        <f t="shared" ref="O48:O56" si="3">-G48/P$20*(1+P$19)^0.5</f>
        <v>0</v>
      </c>
      <c r="P48" s="186">
        <f t="shared" ref="P48:P56" si="4">-H48/Q$20*(1+Q$19)^0.5</f>
        <v>0</v>
      </c>
      <c r="Q48" s="187">
        <f t="shared" ref="Q48:Q56" si="5">-I48/R$20*(1+R$19)^0.5</f>
        <v>0</v>
      </c>
      <c r="R48" s="187">
        <f t="shared" ref="R48:R56" si="6">-J48/S$20*(1+S$19)^0.5</f>
        <v>0</v>
      </c>
      <c r="S48" s="158"/>
      <c r="T48" s="159"/>
      <c r="U48" s="159"/>
      <c r="V48" s="159"/>
      <c r="W48" s="160"/>
      <c r="X48" s="58"/>
      <c r="Y48" s="58"/>
    </row>
    <row r="49" spans="1:25" x14ac:dyDescent="0.25">
      <c r="A49" s="1" t="s">
        <v>39</v>
      </c>
      <c r="C49" s="182" t="str">
        <f t="shared" ref="C49:C52" si="7">+C32</f>
        <v>Self insurance</v>
      </c>
      <c r="D49" s="113"/>
      <c r="E49" s="113"/>
      <c r="F49" s="114"/>
      <c r="G49" s="115"/>
      <c r="H49" s="115"/>
      <c r="I49" s="116"/>
      <c r="J49" s="168"/>
      <c r="K49" s="127"/>
      <c r="L49" s="183"/>
      <c r="M49" s="184"/>
      <c r="N49" s="185">
        <f t="shared" si="2"/>
        <v>0</v>
      </c>
      <c r="O49" s="186">
        <f t="shared" si="3"/>
        <v>0</v>
      </c>
      <c r="P49" s="186">
        <f t="shared" si="4"/>
        <v>0</v>
      </c>
      <c r="Q49" s="187">
        <f t="shared" si="5"/>
        <v>0</v>
      </c>
      <c r="R49" s="187">
        <f t="shared" si="6"/>
        <v>0</v>
      </c>
      <c r="S49" s="158"/>
      <c r="T49" s="159"/>
      <c r="U49" s="159"/>
      <c r="V49" s="159"/>
      <c r="W49" s="160"/>
      <c r="X49" s="58"/>
      <c r="Y49" s="58"/>
    </row>
    <row r="50" spans="1:25" x14ac:dyDescent="0.25">
      <c r="A50" s="1" t="s">
        <v>40</v>
      </c>
      <c r="C50" s="308" t="str">
        <f t="shared" si="7"/>
        <v>Insurance</v>
      </c>
      <c r="D50" s="113"/>
      <c r="E50" s="113"/>
      <c r="F50" s="123">
        <v>8.4767899999999993E-2</v>
      </c>
      <c r="G50" s="124">
        <v>8.7168179999999998E-2</v>
      </c>
      <c r="H50" s="124">
        <v>0.10101643000000002</v>
      </c>
      <c r="I50" s="125">
        <v>0.10253434</v>
      </c>
      <c r="J50" s="125">
        <v>0.11</v>
      </c>
      <c r="K50" s="105"/>
      <c r="L50" s="183"/>
      <c r="M50" s="184"/>
      <c r="N50" s="185">
        <f t="shared" si="2"/>
        <v>-9.7341105502111031E-2</v>
      </c>
      <c r="O50" s="186">
        <f t="shared" si="3"/>
        <v>-9.707175242025301E-2</v>
      </c>
      <c r="P50" s="186">
        <f t="shared" si="4"/>
        <v>-0.1096716921986115</v>
      </c>
      <c r="Q50" s="187">
        <f t="shared" si="5"/>
        <v>-0.10902388195168849</v>
      </c>
      <c r="R50" s="187">
        <f t="shared" si="6"/>
        <v>-0.11414394959376836</v>
      </c>
      <c r="S50" s="158"/>
      <c r="T50" s="159"/>
      <c r="U50" s="159"/>
      <c r="V50" s="159"/>
      <c r="W50" s="160"/>
      <c r="X50" s="58"/>
      <c r="Y50" s="58"/>
    </row>
    <row r="51" spans="1:25" x14ac:dyDescent="0.25">
      <c r="A51" s="1" t="s">
        <v>41</v>
      </c>
      <c r="C51" s="308" t="str">
        <f t="shared" si="7"/>
        <v>Superannuation</v>
      </c>
      <c r="D51" s="113"/>
      <c r="E51" s="113"/>
      <c r="F51" s="123">
        <v>5.8036360000000009E-2</v>
      </c>
      <c r="G51" s="124">
        <v>6.1193339999999999E-2</v>
      </c>
      <c r="H51" s="124">
        <v>6.754077E-2</v>
      </c>
      <c r="I51" s="125">
        <v>3.8607469999999998E-2</v>
      </c>
      <c r="J51" s="125">
        <v>3.8607469999999998E-2</v>
      </c>
      <c r="K51" s="188"/>
      <c r="L51" s="183"/>
      <c r="M51" s="184"/>
      <c r="N51" s="185">
        <f t="shared" si="2"/>
        <v>-6.6644607707852827E-2</v>
      </c>
      <c r="O51" s="186">
        <f t="shared" si="3"/>
        <v>-6.8145792997494792E-2</v>
      </c>
      <c r="P51" s="186">
        <f t="shared" si="4"/>
        <v>-7.3327779830441572E-2</v>
      </c>
      <c r="Q51" s="187">
        <f t="shared" si="5"/>
        <v>-4.1050990836175999E-2</v>
      </c>
      <c r="R51" s="187">
        <f t="shared" si="6"/>
        <v>-4.0061900996572038E-2</v>
      </c>
      <c r="S51" s="158"/>
      <c r="T51" s="159"/>
      <c r="U51" s="159"/>
      <c r="V51" s="159"/>
      <c r="W51" s="160"/>
      <c r="X51" s="128"/>
      <c r="Y51" s="130"/>
    </row>
    <row r="52" spans="1:25" x14ac:dyDescent="0.25">
      <c r="A52" s="1" t="s">
        <v>42</v>
      </c>
      <c r="C52" s="308" t="str">
        <f t="shared" si="7"/>
        <v>Non controllable expenditure (re: part 6)</v>
      </c>
      <c r="D52" s="113"/>
      <c r="E52" s="113"/>
      <c r="F52" s="123">
        <v>5.0783536900000001</v>
      </c>
      <c r="G52" s="124">
        <v>6.2007753099999992</v>
      </c>
      <c r="H52" s="124">
        <v>6.0799854599999996</v>
      </c>
      <c r="I52" s="125">
        <v>6.7910399200000002</v>
      </c>
      <c r="J52" s="125">
        <f>5.32+1.21+0.22</f>
        <v>6.75</v>
      </c>
      <c r="K52" s="273"/>
      <c r="L52" s="183"/>
      <c r="M52" s="184"/>
      <c r="N52" s="185">
        <f t="shared" si="2"/>
        <v>-5.831600904532551</v>
      </c>
      <c r="O52" s="186">
        <f t="shared" si="3"/>
        <v>-6.9052735264856695</v>
      </c>
      <c r="P52" s="186">
        <f t="shared" si="4"/>
        <v>-6.6009291156018204</v>
      </c>
      <c r="Q52" s="187">
        <f t="shared" si="5"/>
        <v>-7.2208543456493119</v>
      </c>
      <c r="R52" s="187">
        <f t="shared" si="6"/>
        <v>-7.0042878159812405</v>
      </c>
      <c r="S52" s="158"/>
      <c r="T52" s="159"/>
      <c r="U52" s="159"/>
      <c r="V52" s="159"/>
      <c r="W52" s="160"/>
      <c r="X52" s="130"/>
      <c r="Y52" s="128"/>
    </row>
    <row r="53" spans="1:25" x14ac:dyDescent="0.25">
      <c r="A53" s="1" t="s">
        <v>43</v>
      </c>
      <c r="C53" s="309" t="s">
        <v>44</v>
      </c>
      <c r="D53" s="113"/>
      <c r="E53" s="113"/>
      <c r="F53" s="123"/>
      <c r="G53" s="124">
        <v>1.23585941</v>
      </c>
      <c r="H53" s="124">
        <v>0.84432452000000002</v>
      </c>
      <c r="I53" s="125">
        <v>0.87085500000000005</v>
      </c>
      <c r="J53" s="125">
        <v>0.92143299999999995</v>
      </c>
      <c r="K53" s="188"/>
      <c r="L53" s="183"/>
      <c r="M53" s="184"/>
      <c r="N53" s="185">
        <f t="shared" si="2"/>
        <v>0</v>
      </c>
      <c r="O53" s="186">
        <f t="shared" si="3"/>
        <v>-1.376271004783626</v>
      </c>
      <c r="P53" s="186">
        <f t="shared" si="4"/>
        <v>-0.91666770319620661</v>
      </c>
      <c r="Q53" s="187">
        <f t="shared" si="5"/>
        <v>-0.92597263235943872</v>
      </c>
      <c r="R53" s="187">
        <f t="shared" si="6"/>
        <v>-0.95614547187304322</v>
      </c>
      <c r="S53" s="158"/>
      <c r="T53" s="159"/>
      <c r="U53" s="159"/>
      <c r="V53" s="159"/>
      <c r="W53" s="160"/>
      <c r="X53" s="130"/>
      <c r="Y53" s="128"/>
    </row>
    <row r="54" spans="1:25" x14ac:dyDescent="0.25">
      <c r="A54" s="1" t="s">
        <v>45</v>
      </c>
      <c r="C54" s="189" t="s">
        <v>29</v>
      </c>
      <c r="D54" s="113"/>
      <c r="E54" s="113"/>
      <c r="F54" s="123"/>
      <c r="G54" s="124"/>
      <c r="H54" s="124"/>
      <c r="I54" s="125"/>
      <c r="J54" s="168"/>
      <c r="K54" s="188"/>
      <c r="L54" s="183"/>
      <c r="M54" s="184"/>
      <c r="N54" s="185">
        <f t="shared" si="2"/>
        <v>0</v>
      </c>
      <c r="O54" s="186">
        <f t="shared" si="3"/>
        <v>0</v>
      </c>
      <c r="P54" s="186">
        <f t="shared" si="4"/>
        <v>0</v>
      </c>
      <c r="Q54" s="187">
        <f t="shared" si="5"/>
        <v>0</v>
      </c>
      <c r="R54" s="187">
        <f t="shared" si="6"/>
        <v>0</v>
      </c>
      <c r="S54" s="158"/>
      <c r="T54" s="159"/>
      <c r="U54" s="159"/>
      <c r="V54" s="159"/>
      <c r="W54" s="160"/>
      <c r="X54" s="130"/>
      <c r="Y54" s="128"/>
    </row>
    <row r="55" spans="1:25" x14ac:dyDescent="0.25">
      <c r="A55" s="1" t="s">
        <v>46</v>
      </c>
      <c r="C55" s="189" t="s">
        <v>47</v>
      </c>
      <c r="D55" s="113"/>
      <c r="E55" s="113"/>
      <c r="F55" s="277">
        <f>53826/1000000</f>
        <v>5.3825999999999999E-2</v>
      </c>
      <c r="G55" s="279">
        <f>-37973/1000000</f>
        <v>-3.7973E-2</v>
      </c>
      <c r="H55" s="278">
        <f>174306/1000000</f>
        <v>0.17430599999999999</v>
      </c>
      <c r="I55" s="280">
        <f>92761/1000000</f>
        <v>9.2760999999999996E-2</v>
      </c>
      <c r="J55" s="168">
        <f>13977/1000000</f>
        <v>1.3977E-2</v>
      </c>
      <c r="K55" s="105"/>
      <c r="L55" s="190"/>
      <c r="M55" s="191"/>
      <c r="N55" s="185">
        <f t="shared" si="2"/>
        <v>-6.1809745726349577E-2</v>
      </c>
      <c r="O55" s="186">
        <f t="shared" si="3"/>
        <v>4.2287284817169153E-2</v>
      </c>
      <c r="P55" s="186">
        <f t="shared" si="4"/>
        <v>-0.18924083914241646</v>
      </c>
      <c r="Q55" s="187">
        <f t="shared" si="5"/>
        <v>-9.8631973578028359E-2</v>
      </c>
      <c r="R55" s="187">
        <f t="shared" si="6"/>
        <v>-1.4503545304291822E-2</v>
      </c>
      <c r="S55" s="158"/>
      <c r="T55" s="159"/>
      <c r="U55" s="159"/>
      <c r="V55" s="159"/>
      <c r="W55" s="160"/>
      <c r="X55" s="58"/>
      <c r="Y55" s="58"/>
    </row>
    <row r="56" spans="1:25" ht="15.75" thickBot="1" x14ac:dyDescent="0.3">
      <c r="A56" s="1" t="s">
        <v>48</v>
      </c>
      <c r="C56" s="192" t="s">
        <v>49</v>
      </c>
      <c r="D56" s="113"/>
      <c r="E56" s="113"/>
      <c r="F56" s="133"/>
      <c r="G56" s="134"/>
      <c r="H56" s="134"/>
      <c r="I56" s="193"/>
      <c r="J56" s="194"/>
      <c r="K56" s="105"/>
      <c r="L56" s="190"/>
      <c r="M56" s="191"/>
      <c r="N56" s="185">
        <f t="shared" si="2"/>
        <v>0</v>
      </c>
      <c r="O56" s="186">
        <f t="shared" si="3"/>
        <v>0</v>
      </c>
      <c r="P56" s="186">
        <f t="shared" si="4"/>
        <v>0</v>
      </c>
      <c r="Q56" s="187">
        <f t="shared" si="5"/>
        <v>0</v>
      </c>
      <c r="R56" s="187">
        <f t="shared" si="6"/>
        <v>0</v>
      </c>
      <c r="S56" s="158"/>
      <c r="T56" s="159"/>
      <c r="U56" s="159"/>
      <c r="V56" s="159"/>
      <c r="W56" s="160"/>
      <c r="X56" s="58"/>
      <c r="Y56" s="58"/>
    </row>
    <row r="57" spans="1:25" ht="15.75" thickBot="1" x14ac:dyDescent="0.3">
      <c r="C57" s="195" t="s">
        <v>72</v>
      </c>
      <c r="D57" s="196"/>
      <c r="E57" s="197"/>
      <c r="F57" s="198">
        <f>+F46-SUM(F48:F56)</f>
        <v>17.975851790000004</v>
      </c>
      <c r="G57" s="198">
        <f>+G46-SUM(G48:G56)</f>
        <v>18.000531808161007</v>
      </c>
      <c r="H57" s="198">
        <f>+H46-SUM(H48:H56)</f>
        <v>18.249487220487445</v>
      </c>
      <c r="I57" s="198">
        <f>+I46-SUM(I48:I56)</f>
        <v>16.770113170000002</v>
      </c>
      <c r="J57" s="198">
        <f>+J46-SUM(J48:J56)</f>
        <v>19.055982530000001</v>
      </c>
      <c r="K57" s="272"/>
      <c r="L57" s="199"/>
      <c r="M57" s="197"/>
      <c r="N57" s="322">
        <f>N46+SUM(N48:N56)</f>
        <v>20.64212143489106</v>
      </c>
      <c r="O57" s="322">
        <f>O46+SUM(O48:O56)</f>
        <v>20.045653897037823</v>
      </c>
      <c r="P57" s="322">
        <f>P46+SUM(P48:P56)</f>
        <v>19.8131348061676</v>
      </c>
      <c r="Q57" s="322">
        <f>Q46+SUM(Q48:Q56)</f>
        <v>17.831517114778684</v>
      </c>
      <c r="R57" s="322">
        <f>R46+SUM(R48:R56)</f>
        <v>19.470857316251085</v>
      </c>
      <c r="S57" s="200"/>
      <c r="T57" s="201"/>
      <c r="U57" s="201"/>
      <c r="V57" s="201"/>
      <c r="W57" s="202"/>
      <c r="X57" s="58"/>
      <c r="Y57" s="58"/>
    </row>
    <row r="58" spans="1:25" x14ac:dyDescent="0.25">
      <c r="C58" s="203"/>
      <c r="D58" s="203"/>
      <c r="E58" s="203"/>
      <c r="F58" s="203"/>
      <c r="G58" s="203"/>
      <c r="H58" s="203"/>
      <c r="I58" s="203"/>
      <c r="J58" s="105"/>
      <c r="K58" s="46"/>
      <c r="L58" s="46"/>
      <c r="M58" s="46"/>
      <c r="N58" s="46"/>
      <c r="O58" s="46"/>
      <c r="P58" s="46"/>
      <c r="Q58" s="46"/>
      <c r="R58" s="271"/>
      <c r="S58" s="271"/>
      <c r="T58" s="46"/>
      <c r="U58" s="46"/>
      <c r="V58" s="46"/>
      <c r="W58" s="58"/>
      <c r="X58" s="58"/>
    </row>
    <row r="59" spans="1:25" ht="15.75" thickBot="1" x14ac:dyDescent="0.3">
      <c r="C59" s="203"/>
      <c r="D59" s="203"/>
      <c r="E59" s="203"/>
      <c r="F59" s="203"/>
      <c r="G59" s="203"/>
      <c r="H59" s="203"/>
      <c r="I59" s="203"/>
      <c r="J59" s="274"/>
      <c r="K59" s="46"/>
      <c r="L59" s="46"/>
      <c r="M59" s="46"/>
      <c r="N59" s="269"/>
      <c r="O59" s="270"/>
      <c r="P59" s="270"/>
      <c r="Q59" s="270"/>
      <c r="R59" s="46"/>
      <c r="S59" s="46"/>
      <c r="T59" s="46"/>
      <c r="U59" s="46"/>
      <c r="V59" s="46"/>
      <c r="W59" s="58"/>
      <c r="X59" s="58"/>
    </row>
    <row r="60" spans="1:25" ht="18.75" thickBot="1" x14ac:dyDescent="0.3">
      <c r="A60" s="204"/>
      <c r="C60" s="203"/>
      <c r="D60" s="203"/>
      <c r="E60" s="203"/>
      <c r="F60" s="203"/>
      <c r="G60" s="203"/>
      <c r="H60" s="203"/>
      <c r="I60" s="203"/>
      <c r="J60" s="208"/>
      <c r="L60" s="205" t="str">
        <f>CONCATENATE("Incremental gain ($m, ",dms_DollarReal)</f>
        <v>Incremental gain ($m, June 2016</v>
      </c>
      <c r="M60" s="206"/>
      <c r="N60" s="207"/>
      <c r="O60" s="207"/>
      <c r="P60" s="207"/>
      <c r="Q60" s="207"/>
      <c r="R60" s="207"/>
      <c r="S60" s="281" t="s">
        <v>9</v>
      </c>
      <c r="T60"/>
      <c r="U60"/>
      <c r="V60"/>
      <c r="W60"/>
      <c r="X60"/>
      <c r="Y60" s="58"/>
    </row>
    <row r="61" spans="1:25" s="208" customFormat="1" ht="15.75" thickBot="1" x14ac:dyDescent="0.3">
      <c r="A61" s="1" t="s">
        <v>50</v>
      </c>
      <c r="C61" s="209"/>
      <c r="D61" s="209"/>
      <c r="E61" s="209"/>
      <c r="F61" s="209"/>
      <c r="G61" s="209"/>
      <c r="H61" s="209"/>
      <c r="I61" s="209"/>
      <c r="J61" s="210"/>
      <c r="L61" s="211"/>
      <c r="M61" s="212"/>
      <c r="N61" s="213">
        <f>IF(dms_EBSS_status="No",(N39-N57)-(M39-M57)+(L39-L57),(N39-N57))</f>
        <v>-2.1611237425964909</v>
      </c>
      <c r="O61" s="214">
        <f t="shared" ref="O61:R61" si="8">(O39-O57)-(N39-N57)</f>
        <v>3.0344499468524617</v>
      </c>
      <c r="P61" s="214">
        <f t="shared" si="8"/>
        <v>1.0161949172090523</v>
      </c>
      <c r="Q61" s="214">
        <f t="shared" si="8"/>
        <v>1.9679976141967082</v>
      </c>
      <c r="R61" s="282">
        <f t="shared" si="8"/>
        <v>-2.3799184958744171</v>
      </c>
      <c r="S61" s="283">
        <v>0</v>
      </c>
      <c r="T61"/>
      <c r="U61"/>
      <c r="V61"/>
      <c r="W61"/>
      <c r="X61" s="215"/>
      <c r="Y61" s="215"/>
    </row>
    <row r="62" spans="1:25" s="208" customFormat="1" x14ac:dyDescent="0.25">
      <c r="A62" s="1"/>
      <c r="C62" s="209"/>
      <c r="D62" s="209"/>
      <c r="E62" s="209"/>
      <c r="F62" s="209"/>
      <c r="G62" s="209"/>
      <c r="H62" s="209"/>
      <c r="I62" s="209"/>
      <c r="J62" s="210"/>
      <c r="L62" s="305"/>
      <c r="M62" s="306"/>
      <c r="N62" s="306"/>
      <c r="O62" s="306"/>
      <c r="P62" s="306"/>
      <c r="Q62" s="307"/>
      <c r="R62" s="307"/>
      <c r="S62" s="216"/>
      <c r="T62"/>
      <c r="U62"/>
      <c r="V62"/>
      <c r="W62"/>
      <c r="X62" s="215"/>
      <c r="Y62" s="215"/>
    </row>
    <row r="63" spans="1:25" ht="15.75" thickBot="1" x14ac:dyDescent="0.3">
      <c r="C63" s="203"/>
      <c r="D63" s="203"/>
      <c r="E63" s="203"/>
      <c r="F63" s="203"/>
      <c r="G63" s="203"/>
      <c r="H63" s="203"/>
      <c r="I63" s="203"/>
      <c r="J63" s="151"/>
      <c r="L63" s="216"/>
      <c r="M63" s="216"/>
      <c r="N63" s="216"/>
      <c r="O63" s="216"/>
      <c r="P63" s="216"/>
      <c r="Q63" s="216"/>
      <c r="R63" s="216"/>
      <c r="S63" s="325" t="s">
        <v>9</v>
      </c>
      <c r="T63" s="325" t="s">
        <v>61</v>
      </c>
      <c r="U63" s="325" t="s">
        <v>62</v>
      </c>
      <c r="V63" s="325" t="s">
        <v>63</v>
      </c>
      <c r="W63" s="325" t="s">
        <v>64</v>
      </c>
      <c r="X63" s="325" t="s">
        <v>68</v>
      </c>
    </row>
    <row r="64" spans="1:25" ht="18.75" thickBot="1" x14ac:dyDescent="0.3">
      <c r="A64" s="204"/>
      <c r="C64" s="203"/>
      <c r="D64" s="203"/>
      <c r="E64" s="203"/>
      <c r="F64" s="203"/>
      <c r="G64" s="203"/>
      <c r="H64" s="203"/>
      <c r="I64" s="203"/>
      <c r="J64" s="217"/>
      <c r="L64" s="218" t="s">
        <v>51</v>
      </c>
      <c r="M64" s="219"/>
      <c r="N64" s="219"/>
      <c r="O64" s="220" t="str">
        <f>CONCATENATE("$m, real ", dms_DollarReal)</f>
        <v>$m, real June 2016</v>
      </c>
      <c r="P64" s="220"/>
      <c r="Q64" s="220"/>
      <c r="R64" s="220"/>
      <c r="S64" s="220"/>
      <c r="T64" s="221"/>
      <c r="U64" s="221"/>
      <c r="V64" s="221"/>
      <c r="W64" s="221"/>
      <c r="X64" s="222"/>
      <c r="Y64" s="222" t="s">
        <v>52</v>
      </c>
    </row>
    <row r="65" spans="1:28" ht="15.75" thickBot="1" x14ac:dyDescent="0.3">
      <c r="A65" s="1" t="s">
        <v>53</v>
      </c>
      <c r="B65" s="276"/>
      <c r="C65" s="203"/>
      <c r="D65" s="203"/>
      <c r="E65" s="203"/>
      <c r="F65" s="203"/>
      <c r="G65" s="203"/>
      <c r="H65" s="203"/>
      <c r="I65" s="203"/>
      <c r="J65" s="224"/>
      <c r="L65" s="352" t="str">
        <f>CRCP_y1</f>
        <v>2010-11</v>
      </c>
      <c r="M65" s="353"/>
      <c r="N65" s="225"/>
      <c r="O65" s="226">
        <f>$N$61</f>
        <v>-2.1611237425964909</v>
      </c>
      <c r="P65" s="171">
        <f t="shared" ref="P65:S65" si="9">$N$61</f>
        <v>-2.1611237425964909</v>
      </c>
      <c r="Q65" s="227">
        <f t="shared" si="9"/>
        <v>-2.1611237425964909</v>
      </c>
      <c r="R65" s="171">
        <f t="shared" si="9"/>
        <v>-2.1611237425964909</v>
      </c>
      <c r="S65" s="228">
        <f t="shared" si="9"/>
        <v>-2.1611237425964909</v>
      </c>
      <c r="T65" s="229"/>
      <c r="U65" s="229"/>
      <c r="V65" s="229"/>
      <c r="W65" s="229"/>
      <c r="X65" s="230"/>
      <c r="Y65" s="230"/>
    </row>
    <row r="66" spans="1:28" ht="15.75" thickBot="1" x14ac:dyDescent="0.3">
      <c r="A66" s="1" t="s">
        <v>54</v>
      </c>
      <c r="C66" s="203"/>
      <c r="D66" s="203"/>
      <c r="E66" s="203"/>
      <c r="F66" s="203"/>
      <c r="G66" s="203"/>
      <c r="H66" s="203"/>
      <c r="I66" s="203"/>
      <c r="J66" s="203"/>
      <c r="L66" s="354" t="str">
        <f>CRCP_y2</f>
        <v>2011-12</v>
      </c>
      <c r="M66" s="355"/>
      <c r="N66" s="231"/>
      <c r="O66" s="232"/>
      <c r="P66" s="233">
        <f>$O$61</f>
        <v>3.0344499468524617</v>
      </c>
      <c r="Q66" s="234">
        <f t="shared" ref="Q66:T66" si="10">$O$61</f>
        <v>3.0344499468524617</v>
      </c>
      <c r="R66" s="186">
        <f t="shared" si="10"/>
        <v>3.0344499468524617</v>
      </c>
      <c r="S66" s="234">
        <f t="shared" si="10"/>
        <v>3.0344499468524617</v>
      </c>
      <c r="T66" s="172">
        <f t="shared" si="10"/>
        <v>3.0344499468524617</v>
      </c>
      <c r="U66" s="235"/>
      <c r="V66" s="235"/>
      <c r="W66" s="235"/>
      <c r="X66" s="236"/>
      <c r="Y66" s="236"/>
    </row>
    <row r="67" spans="1:28" ht="15.75" thickBot="1" x14ac:dyDescent="0.3">
      <c r="A67" s="1" t="s">
        <v>55</v>
      </c>
      <c r="C67" s="203"/>
      <c r="D67" s="203"/>
      <c r="E67" s="203"/>
      <c r="F67" s="203"/>
      <c r="G67" s="203"/>
      <c r="H67" s="203"/>
      <c r="I67" s="203"/>
      <c r="J67" s="203"/>
      <c r="L67" s="373" t="str">
        <f>CRCP_y3</f>
        <v>2012-13</v>
      </c>
      <c r="M67" s="374"/>
      <c r="N67" s="231"/>
      <c r="O67" s="235"/>
      <c r="P67" s="232"/>
      <c r="Q67" s="237">
        <f>$P$61</f>
        <v>1.0161949172090523</v>
      </c>
      <c r="R67" s="186">
        <f t="shared" ref="R67:U67" si="11">$P$61</f>
        <v>1.0161949172090523</v>
      </c>
      <c r="S67" s="234">
        <f t="shared" si="11"/>
        <v>1.0161949172090523</v>
      </c>
      <c r="T67" s="186">
        <f t="shared" si="11"/>
        <v>1.0161949172090523</v>
      </c>
      <c r="U67" s="228">
        <f t="shared" si="11"/>
        <v>1.0161949172090523</v>
      </c>
      <c r="V67" s="235"/>
      <c r="W67" s="235"/>
      <c r="X67" s="236"/>
      <c r="Y67" s="236"/>
    </row>
    <row r="68" spans="1:28" ht="15.75" thickBot="1" x14ac:dyDescent="0.3">
      <c r="A68" s="1" t="s">
        <v>56</v>
      </c>
      <c r="C68" s="203"/>
      <c r="D68" s="203"/>
      <c r="E68" s="203"/>
      <c r="F68" s="203"/>
      <c r="G68" s="203"/>
      <c r="H68" s="203"/>
      <c r="I68" s="203"/>
      <c r="J68" s="203"/>
      <c r="L68" s="373" t="str">
        <f>CRCP_y4</f>
        <v>2013-14</v>
      </c>
      <c r="M68" s="374"/>
      <c r="N68" s="231"/>
      <c r="O68" s="235"/>
      <c r="P68" s="235"/>
      <c r="Q68" s="232"/>
      <c r="R68" s="233">
        <f>$Q$61</f>
        <v>1.9679976141967082</v>
      </c>
      <c r="S68" s="186">
        <f t="shared" ref="S68:V68" si="12">$Q$61</f>
        <v>1.9679976141967082</v>
      </c>
      <c r="T68" s="238">
        <f t="shared" si="12"/>
        <v>1.9679976141967082</v>
      </c>
      <c r="U68" s="234">
        <f t="shared" si="12"/>
        <v>1.9679976141967082</v>
      </c>
      <c r="V68" s="172">
        <f t="shared" si="12"/>
        <v>1.9679976141967082</v>
      </c>
      <c r="W68" s="239"/>
      <c r="X68" s="236"/>
      <c r="Y68" s="236"/>
    </row>
    <row r="69" spans="1:28" ht="15.75" thickBot="1" x14ac:dyDescent="0.3">
      <c r="A69" s="1" t="s">
        <v>57</v>
      </c>
      <c r="C69" s="240"/>
      <c r="D69" s="241"/>
      <c r="E69" s="241"/>
      <c r="F69" s="241"/>
      <c r="G69" s="241"/>
      <c r="H69" s="241"/>
      <c r="I69" s="241"/>
      <c r="J69" s="203"/>
      <c r="L69" s="373" t="str">
        <f>CRCP_y5</f>
        <v>2014-15</v>
      </c>
      <c r="M69" s="374"/>
      <c r="N69" s="231"/>
      <c r="O69" s="235"/>
      <c r="P69" s="235"/>
      <c r="Q69" s="232"/>
      <c r="R69" s="235"/>
      <c r="S69" s="314">
        <f>+$R$61</f>
        <v>-2.3799184958744171</v>
      </c>
      <c r="T69" s="186">
        <f t="shared" ref="T69:W69" si="13">+$R$61</f>
        <v>-2.3799184958744171</v>
      </c>
      <c r="U69" s="238">
        <f t="shared" si="13"/>
        <v>-2.3799184958744171</v>
      </c>
      <c r="V69" s="234">
        <f t="shared" si="13"/>
        <v>-2.3799184958744171</v>
      </c>
      <c r="W69" s="234">
        <f t="shared" si="13"/>
        <v>-2.3799184958744171</v>
      </c>
      <c r="X69" s="243"/>
      <c r="Y69" s="243"/>
    </row>
    <row r="70" spans="1:28" ht="15.75" thickBot="1" x14ac:dyDescent="0.3">
      <c r="C70" s="240"/>
      <c r="D70" s="241"/>
      <c r="E70" s="241"/>
      <c r="F70" s="241"/>
      <c r="G70" s="241"/>
      <c r="H70" s="241"/>
      <c r="I70" s="241"/>
      <c r="J70" s="203"/>
      <c r="L70" s="373" t="s">
        <v>9</v>
      </c>
      <c r="M70" s="374" t="s">
        <v>9</v>
      </c>
      <c r="N70" s="231"/>
      <c r="O70" s="239"/>
      <c r="P70" s="239"/>
      <c r="Q70" s="239"/>
      <c r="R70" s="242"/>
      <c r="S70" s="242"/>
      <c r="T70" s="233">
        <v>0</v>
      </c>
      <c r="U70" s="186">
        <v>0</v>
      </c>
      <c r="V70" s="238">
        <v>0</v>
      </c>
      <c r="W70" s="234">
        <v>0</v>
      </c>
      <c r="X70" s="172">
        <v>0</v>
      </c>
      <c r="Y70" s="243"/>
    </row>
    <row r="71" spans="1:28" ht="15.75" thickBot="1" x14ac:dyDescent="0.3">
      <c r="C71" s="276"/>
      <c r="L71" s="244" t="s">
        <v>58</v>
      </c>
      <c r="M71" s="245"/>
      <c r="N71" s="246"/>
      <c r="O71" s="246"/>
      <c r="P71" s="246"/>
      <c r="Q71" s="246"/>
      <c r="R71" s="247"/>
      <c r="S71" s="248">
        <f>+SUM(S65:S69)</f>
        <v>1.4776002397873143</v>
      </c>
      <c r="T71" s="249">
        <f>+SUM(T66:T69)</f>
        <v>3.6387239823838051</v>
      </c>
      <c r="U71" s="250">
        <f>+SUM(U67:U69)</f>
        <v>0.6042740355313434</v>
      </c>
      <c r="V71" s="251">
        <f>+SUM(V68:V69)</f>
        <v>-0.41192088167770891</v>
      </c>
      <c r="W71" s="248">
        <f t="shared" ref="W71:X73" si="14">+SUM(W65:W69)</f>
        <v>-2.3799184958744171</v>
      </c>
      <c r="X71" s="248">
        <f t="shared" si="14"/>
        <v>0</v>
      </c>
      <c r="Y71" s="252">
        <f>+SUM(S71:W71)</f>
        <v>2.9287588801503368</v>
      </c>
    </row>
    <row r="72" spans="1:28" ht="15.75" thickBot="1" x14ac:dyDescent="0.3">
      <c r="L72" s="253"/>
      <c r="M72" s="253"/>
      <c r="N72" s="253"/>
      <c r="O72" s="253"/>
      <c r="P72" s="253"/>
      <c r="Q72" s="253"/>
      <c r="R72" s="253"/>
      <c r="S72" s="254"/>
      <c r="T72" s="254"/>
      <c r="U72" s="254"/>
      <c r="V72" s="254"/>
      <c r="W72" s="254"/>
      <c r="Y72" s="255"/>
    </row>
    <row r="73" spans="1:28" ht="15.75" thickBot="1" x14ac:dyDescent="0.3">
      <c r="L73" s="199" t="s">
        <v>66</v>
      </c>
      <c r="M73" s="199"/>
      <c r="N73" s="199"/>
      <c r="O73" s="246"/>
      <c r="P73" s="246"/>
      <c r="Q73" s="246"/>
      <c r="R73" s="246"/>
      <c r="S73" s="320">
        <f>S71</f>
        <v>1.4776002397873143</v>
      </c>
      <c r="T73" s="320">
        <f>T71</f>
        <v>3.6387239823838051</v>
      </c>
      <c r="U73" s="320">
        <f>U71</f>
        <v>0.6042740355313434</v>
      </c>
      <c r="V73" s="320">
        <f>V71</f>
        <v>-0.41192088167770891</v>
      </c>
      <c r="W73" s="256">
        <f>W71</f>
        <v>-2.3799184958744171</v>
      </c>
      <c r="X73" s="248">
        <f t="shared" si="14"/>
        <v>0</v>
      </c>
      <c r="Y73" s="257">
        <f>+SUM(S73:W73)</f>
        <v>2.9287588801503368</v>
      </c>
    </row>
    <row r="74" spans="1:28" ht="15.75" thickBot="1" x14ac:dyDescent="0.3">
      <c r="L74" s="199" t="s">
        <v>67</v>
      </c>
      <c r="M74" s="199"/>
      <c r="N74" s="199"/>
      <c r="O74" s="246"/>
      <c r="P74" s="246"/>
      <c r="Q74" s="246"/>
      <c r="R74" s="246"/>
      <c r="S74" s="320">
        <f t="shared" ref="S74:Y74" si="15">S73*$S$20</f>
        <v>1.4415612095485995</v>
      </c>
      <c r="T74" s="320">
        <f t="shared" si="15"/>
        <v>3.5499746169598101</v>
      </c>
      <c r="U74" s="320">
        <f t="shared" si="15"/>
        <v>0.58953564442082285</v>
      </c>
      <c r="V74" s="320">
        <f t="shared" si="15"/>
        <v>-0.40187403090508189</v>
      </c>
      <c r="W74" s="256">
        <f t="shared" si="15"/>
        <v>-2.3218717032921146</v>
      </c>
      <c r="X74" s="248">
        <f t="shared" si="15"/>
        <v>0</v>
      </c>
      <c r="Y74" s="251">
        <f t="shared" si="15"/>
        <v>2.8573257367320362</v>
      </c>
    </row>
    <row r="75" spans="1:28" x14ac:dyDescent="0.25">
      <c r="L75" s="284"/>
      <c r="M75" s="284"/>
      <c r="N75" s="284"/>
      <c r="O75" s="323"/>
      <c r="P75" s="323"/>
      <c r="Q75" s="323"/>
      <c r="R75" s="323"/>
      <c r="S75" s="324"/>
      <c r="T75" s="324"/>
      <c r="U75" s="324"/>
      <c r="V75" s="324"/>
      <c r="W75" s="285"/>
      <c r="X75" s="285"/>
      <c r="Y75" s="285"/>
    </row>
    <row r="76" spans="1:28" x14ac:dyDescent="0.25">
      <c r="K76" s="259"/>
      <c r="L76" s="259"/>
      <c r="M76" s="260"/>
      <c r="N76" s="260"/>
      <c r="O76" s="260"/>
      <c r="P76" s="261"/>
      <c r="Q76" s="261"/>
      <c r="R76" s="262"/>
      <c r="S76" s="262"/>
      <c r="T76" s="262"/>
      <c r="U76" s="262"/>
      <c r="V76" s="262"/>
      <c r="W76" s="223"/>
      <c r="X76" s="258"/>
      <c r="Y76" s="262"/>
      <c r="Z76" s="304"/>
    </row>
    <row r="77" spans="1:28" ht="18" x14ac:dyDescent="0.25">
      <c r="A77" s="263"/>
      <c r="K77"/>
      <c r="L77" s="296"/>
      <c r="M77" s="296"/>
      <c r="N77" s="296"/>
      <c r="O77" s="296"/>
      <c r="P77" s="296"/>
      <c r="Q77" s="296"/>
      <c r="R77" s="296"/>
      <c r="S77" s="296"/>
      <c r="T77" s="296"/>
      <c r="U77" s="296"/>
      <c r="V77" s="296"/>
      <c r="W77" s="296"/>
      <c r="X77" s="296"/>
      <c r="Y77" s="311"/>
      <c r="Z77" s="264"/>
      <c r="AA77" s="264"/>
      <c r="AB77" s="264"/>
    </row>
    <row r="78" spans="1:28" ht="18" x14ac:dyDescent="0.25">
      <c r="K78"/>
      <c r="L78" s="296"/>
      <c r="M78" s="296"/>
      <c r="N78" s="296"/>
      <c r="O78" s="296"/>
      <c r="P78" s="296"/>
      <c r="Q78" s="296"/>
      <c r="R78" s="296"/>
      <c r="S78" s="296"/>
      <c r="T78" s="296"/>
      <c r="U78" s="296"/>
      <c r="V78" s="296"/>
      <c r="W78" s="296"/>
      <c r="X78" s="296"/>
      <c r="Y78" s="312"/>
      <c r="Z78" s="264"/>
      <c r="AA78" s="264"/>
      <c r="AB78" s="264"/>
    </row>
    <row r="79" spans="1:28" x14ac:dyDescent="0.25">
      <c r="K79" s="266"/>
      <c r="L79" s="296"/>
      <c r="M79" s="296"/>
      <c r="N79" s="296"/>
      <c r="O79" s="296"/>
      <c r="P79" s="296"/>
      <c r="Q79" s="296"/>
      <c r="R79" s="296"/>
      <c r="S79" s="296"/>
      <c r="T79" s="296"/>
      <c r="U79" s="296"/>
      <c r="V79" s="296"/>
      <c r="W79" s="296"/>
      <c r="X79" s="296"/>
      <c r="Y79" s="315"/>
      <c r="Z79" s="262"/>
    </row>
    <row r="80" spans="1:28" x14ac:dyDescent="0.25">
      <c r="A80" s="18"/>
      <c r="K80" s="265"/>
      <c r="L80" s="296"/>
      <c r="M80" s="296"/>
      <c r="N80" s="296"/>
      <c r="O80" s="296"/>
      <c r="P80" s="296"/>
      <c r="Q80" s="296"/>
      <c r="R80" s="296"/>
      <c r="S80" s="296"/>
      <c r="T80" s="296"/>
      <c r="U80" s="296"/>
      <c r="V80" s="296"/>
      <c r="W80" s="296"/>
      <c r="X80" s="296"/>
      <c r="Y80" s="315"/>
      <c r="Z80" s="262"/>
    </row>
    <row r="81" spans="1:26" ht="18" x14ac:dyDescent="0.25">
      <c r="K81" s="265"/>
      <c r="L81" s="296"/>
      <c r="M81" s="296"/>
      <c r="N81" s="296"/>
      <c r="O81" s="296"/>
      <c r="P81" s="296"/>
      <c r="Q81" s="296"/>
      <c r="R81" s="296"/>
      <c r="S81" s="296"/>
      <c r="T81" s="296"/>
      <c r="U81" s="296"/>
      <c r="V81" s="296"/>
      <c r="W81" s="316"/>
      <c r="X81" s="317"/>
      <c r="Y81" s="315"/>
      <c r="Z81" s="262"/>
    </row>
    <row r="82" spans="1:26" x14ac:dyDescent="0.25">
      <c r="A82" s="1" t="s">
        <v>59</v>
      </c>
      <c r="K82" s="267"/>
      <c r="L82" s="296"/>
      <c r="M82" s="296"/>
      <c r="N82" s="296"/>
      <c r="O82" s="296"/>
      <c r="P82" s="296"/>
      <c r="Q82" s="296"/>
      <c r="R82" s="296"/>
      <c r="S82" s="296"/>
      <c r="T82" s="296"/>
      <c r="U82" s="296"/>
      <c r="V82" s="296"/>
      <c r="W82" s="313"/>
      <c r="X82" s="318"/>
      <c r="Y82" s="315"/>
      <c r="Z82" s="262"/>
    </row>
    <row r="83" spans="1:26" x14ac:dyDescent="0.25">
      <c r="K83" s="268"/>
      <c r="L83" s="296"/>
      <c r="M83" s="296"/>
      <c r="N83" s="296"/>
      <c r="O83" s="296"/>
      <c r="P83" s="296"/>
      <c r="Q83" s="296"/>
      <c r="R83" s="296"/>
      <c r="S83" s="296"/>
      <c r="T83" s="296"/>
      <c r="U83" s="296"/>
      <c r="V83" s="296"/>
      <c r="W83" s="313"/>
      <c r="X83" s="318"/>
      <c r="Y83" s="315"/>
      <c r="Z83" s="262"/>
    </row>
    <row r="84" spans="1:26" x14ac:dyDescent="0.25">
      <c r="A84" s="1" t="s">
        <v>60</v>
      </c>
      <c r="L84" s="296"/>
      <c r="M84" s="296"/>
      <c r="N84" s="296"/>
      <c r="O84" s="296"/>
      <c r="P84" s="296"/>
      <c r="Q84" s="296"/>
      <c r="R84" s="296"/>
      <c r="S84" s="296"/>
      <c r="T84" s="296"/>
      <c r="U84" s="296"/>
      <c r="V84" s="296"/>
      <c r="W84" s="319"/>
      <c r="X84" s="315"/>
      <c r="Y84" s="296"/>
    </row>
    <row r="85" spans="1:26" x14ac:dyDescent="0.25">
      <c r="L85" s="296"/>
      <c r="M85" s="296"/>
      <c r="N85" s="296"/>
      <c r="O85" s="296"/>
      <c r="P85" s="296"/>
      <c r="Q85" s="296"/>
      <c r="R85" s="296"/>
      <c r="S85" s="296"/>
      <c r="T85" s="296"/>
      <c r="U85" s="296"/>
      <c r="V85" s="296"/>
      <c r="W85" s="315"/>
      <c r="X85" s="315"/>
      <c r="Y85" s="296"/>
    </row>
    <row r="86" spans="1:26" x14ac:dyDescent="0.25">
      <c r="L86" s="296"/>
      <c r="M86" s="296"/>
      <c r="N86" s="296"/>
      <c r="O86" s="296"/>
      <c r="P86" s="296"/>
      <c r="Q86" s="296"/>
      <c r="R86" s="296"/>
      <c r="S86" s="296"/>
      <c r="T86" s="296"/>
      <c r="U86" s="296"/>
      <c r="V86" s="296"/>
      <c r="W86" s="296"/>
      <c r="X86" s="296"/>
      <c r="Y86" s="296"/>
    </row>
    <row r="87" spans="1:26" x14ac:dyDescent="0.25">
      <c r="O87" s="296"/>
      <c r="P87" s="296"/>
      <c r="Q87" s="296"/>
      <c r="R87" s="296"/>
      <c r="S87" s="296"/>
      <c r="T87" s="296"/>
      <c r="U87" s="296"/>
      <c r="V87" s="296"/>
      <c r="W87" s="296"/>
      <c r="X87" s="296"/>
      <c r="Y87" s="296"/>
    </row>
    <row r="88" spans="1:26" x14ac:dyDescent="0.25">
      <c r="A88" s="155"/>
    </row>
  </sheetData>
  <mergeCells count="31">
    <mergeCell ref="R17:S17"/>
    <mergeCell ref="C7:H7"/>
    <mergeCell ref="C8:J8"/>
    <mergeCell ref="D17:I17"/>
    <mergeCell ref="K17:M17"/>
    <mergeCell ref="N17:Q17"/>
    <mergeCell ref="K19:M19"/>
    <mergeCell ref="K20:M20"/>
    <mergeCell ref="D26:E26"/>
    <mergeCell ref="F26:J26"/>
    <mergeCell ref="L26:M26"/>
    <mergeCell ref="D43:E43"/>
    <mergeCell ref="F43:J43"/>
    <mergeCell ref="L43:M43"/>
    <mergeCell ref="N43:R43"/>
    <mergeCell ref="N26:R26"/>
    <mergeCell ref="S26:W26"/>
    <mergeCell ref="D27:E27"/>
    <mergeCell ref="F27:J27"/>
    <mergeCell ref="L27:M27"/>
    <mergeCell ref="N27:R27"/>
    <mergeCell ref="D44:E44"/>
    <mergeCell ref="F44:J44"/>
    <mergeCell ref="L44:M44"/>
    <mergeCell ref="N44:R44"/>
    <mergeCell ref="L65:M65"/>
    <mergeCell ref="L66:M66"/>
    <mergeCell ref="L67:M67"/>
    <mergeCell ref="L68:M68"/>
    <mergeCell ref="L69:M69"/>
    <mergeCell ref="L70:M70"/>
  </mergeCells>
  <printOptions horizontalCentered="1" verticalCentered="1"/>
  <pageMargins left="3.937007874015748E-2" right="3.937007874015748E-2" top="0" bottom="0" header="0.31496062992125984" footer="0.31496062992125984"/>
  <pageSetup paperSize="8"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BDF17595C524FADF46FDB2856AD59" ma:contentTypeVersion="0" ma:contentTypeDescription="Create a new document." ma:contentTypeScope="" ma:versionID="eb19cde65535789f294a1dbb7a5faf6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7930D-6A69-4581-9E33-91610A460971}"/>
</file>

<file path=customXml/itemProps2.xml><?xml version="1.0" encoding="utf-8"?>
<ds:datastoreItem xmlns:ds="http://schemas.openxmlformats.org/officeDocument/2006/customXml" ds:itemID="{94A0ED36-AD6F-40D6-9F72-3FD0D4016F2C}"/>
</file>

<file path=customXml/itemProps3.xml><?xml version="1.0" encoding="utf-8"?>
<ds:datastoreItem xmlns:ds="http://schemas.openxmlformats.org/officeDocument/2006/customXml" ds:itemID="{2B952B70-ED82-4905-A724-95C829F3ED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ActewAGL revised proposal</vt:lpstr>
      <vt:lpstr>AER draft decision</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Radosavljevic, Savina</dc:creator>
  <cp:lastModifiedBy>Gillian Symmans</cp:lastModifiedBy>
  <cp:lastPrinted>2015-11-10T01:33:22Z</cp:lastPrinted>
  <dcterms:created xsi:type="dcterms:W3CDTF">2015-08-25T02:50:47Z</dcterms:created>
  <dcterms:modified xsi:type="dcterms:W3CDTF">2015-12-30T06:28:35Z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8578822</vt:lpwstr>
  </property>
  <property fmtid="{D5CDD505-2E9C-101B-9397-08002B2CF9AE}" pid="3" name="currfile">
    <vt:lpwstr>\\cdchnas-evs02\home$\srado\aer - draft decision actewagl distribution access arrangement - proposed efficiency carryover mechanism (public release) (D2015-00173039).xlsx</vt:lpwstr>
  </property>
  <property fmtid="{D5CDD505-2E9C-101B-9397-08002B2CF9AE}" pid="4" name="ContentTypeId">
    <vt:lpwstr>0x010100FFCBDF17595C524FADF46FDB2856AD59</vt:lpwstr>
  </property>
</Properties>
</file>