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9360"/>
  </bookViews>
  <sheets>
    <sheet name="Summary" sheetId="2" r:id="rId1"/>
    <sheet name="Assumptions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1" l="1"/>
  <c r="B26" i="1" l="1"/>
  <c r="B27" i="1" s="1"/>
  <c r="B16" i="1" l="1"/>
  <c r="B9" i="1" l="1"/>
  <c r="B15" i="1"/>
  <c r="F3" i="2"/>
  <c r="F4" i="2"/>
  <c r="F5" i="2"/>
  <c r="F6" i="2"/>
  <c r="B19" i="1"/>
  <c r="B21" i="1" s="1"/>
  <c r="B41" i="1"/>
  <c r="B42" i="1" s="1"/>
  <c r="B100" i="1"/>
  <c r="B94" i="1"/>
  <c r="B38" i="1" s="1"/>
  <c r="B81" i="1"/>
  <c r="B74" i="1" l="1"/>
  <c r="B78" i="1" s="1"/>
  <c r="B22" i="1"/>
  <c r="B20" i="1"/>
  <c r="B17" i="1"/>
  <c r="B73" i="1"/>
  <c r="B77" i="1" s="1"/>
  <c r="B37" i="1"/>
  <c r="B43" i="1" s="1"/>
  <c r="B59" i="1"/>
  <c r="B12" i="1"/>
  <c r="B11" i="1" s="1"/>
  <c r="B10" i="1"/>
  <c r="B60" i="1"/>
  <c r="B64" i="1" s="1"/>
  <c r="B61" i="1"/>
  <c r="B65" i="1" s="1"/>
  <c r="B72" i="1"/>
  <c r="C4" i="2"/>
  <c r="C7" i="2"/>
  <c r="C3" i="2"/>
  <c r="C6" i="2"/>
  <c r="C5" i="2"/>
  <c r="F7" i="2"/>
  <c r="B48" i="1"/>
  <c r="B82" i="1"/>
  <c r="B30" i="1" l="1"/>
  <c r="B85" i="1"/>
  <c r="B84" i="1"/>
  <c r="B83" i="1"/>
  <c r="B90" i="1" l="1"/>
  <c r="E6" i="2" s="1"/>
  <c r="D6" i="2" s="1"/>
  <c r="G6" i="2" s="1"/>
  <c r="B29" i="1"/>
  <c r="B44" i="1"/>
  <c r="E3" i="2" s="1"/>
  <c r="D3" i="2" s="1"/>
  <c r="G3" i="2" s="1"/>
  <c r="B86" i="1"/>
  <c r="E5" i="2" s="1"/>
  <c r="D5" i="2" s="1"/>
  <c r="G5" i="2" s="1"/>
  <c r="B49" i="1" l="1"/>
  <c r="B50" i="1" s="1"/>
  <c r="E4" i="2" s="1"/>
  <c r="D4" i="2" s="1"/>
  <c r="G4" i="2" s="1"/>
  <c r="B28" i="1"/>
  <c r="E7" i="2" l="1"/>
  <c r="D7" i="2" s="1"/>
  <c r="G7" i="2" s="1"/>
</calcChain>
</file>

<file path=xl/comments1.xml><?xml version="1.0" encoding="utf-8"?>
<comments xmlns="http://schemas.openxmlformats.org/spreadsheetml/2006/main">
  <authors>
    <author>Jason Hall</author>
    <author>Tibell, Bjorn</author>
  </authors>
  <commentList>
    <comment ref="A5" authorId="0">
      <text>
        <r>
          <rPr>
            <sz val="9"/>
            <color indexed="81"/>
            <rFont val="Tahoma"/>
            <family val="2"/>
          </rPr>
          <t>Average yield to maturity on 10 year government bonds reported by the RBA for January 2015 converted to an effective annual rate.</t>
        </r>
      </text>
    </comment>
    <comment ref="B47" authorId="1">
      <text>
        <r>
          <rPr>
            <sz val="9"/>
            <color indexed="81"/>
            <rFont val="Tahoma"/>
            <charset val="1"/>
          </rPr>
          <t>Estimated by SFG.
Empirical estimate based upon the relationship between portfolio returns and portfolio beta estimates for portfolios with similar size and book-to-market characteristics.</t>
        </r>
      </text>
    </comment>
  </commentList>
</comments>
</file>

<file path=xl/sharedStrings.xml><?xml version="1.0" encoding="utf-8"?>
<sst xmlns="http://schemas.openxmlformats.org/spreadsheetml/2006/main" count="111" uniqueCount="99">
  <si>
    <t>Number of Australian-listed firms</t>
  </si>
  <si>
    <t>Number of firms listed elsewhere</t>
  </si>
  <si>
    <t>Relative weight placed on an observation from Australia versus elsewhere</t>
  </si>
  <si>
    <t>Weight on Australian-listed firms</t>
  </si>
  <si>
    <t>Weight on firms listed elsewhere</t>
  </si>
  <si>
    <t>Sharpe-Lintner CAPM beta estimate</t>
  </si>
  <si>
    <t>Fama-French Model</t>
  </si>
  <si>
    <t>Sharpe-Lintner CAPM</t>
  </si>
  <si>
    <t>Beta estimate from the sample of Australian-listed firms as an average of estimates from individual firms</t>
  </si>
  <si>
    <t>Beta estimate from the sample of Australian-listed firms compiled from an equal-weighted index</t>
  </si>
  <si>
    <t>Beta estimate from the sample of firms listed elsewhere as an average of estimates from individual firms</t>
  </si>
  <si>
    <t>Beta estimate from the sample of firms listed elsewhere compiled from an equal-weighted index</t>
  </si>
  <si>
    <t>Risk-free rate</t>
  </si>
  <si>
    <t>Market risk premium</t>
  </si>
  <si>
    <t>Black CAPM</t>
  </si>
  <si>
    <t>Market return</t>
  </si>
  <si>
    <t>Zero beta premium</t>
  </si>
  <si>
    <t>Zero beta return</t>
  </si>
  <si>
    <t>Expected market return minus zero beta return</t>
  </si>
  <si>
    <t>Beta estimate from the sample of Australian-listed firms as an average of the estimates from individual firms</t>
  </si>
  <si>
    <t>s estimate from the sample of Australian-listed firms as an average of the estimates from individual firms</t>
  </si>
  <si>
    <t>h estimate from the sample of Australian-listed firms as an average of the estimates from individual firms</t>
  </si>
  <si>
    <t>s estimate from the sample of Australian-listed firms compiled from an equal-weighted index</t>
  </si>
  <si>
    <t>h estimate from the sample of Australian-listed firms compiled from an equal-weighted index</t>
  </si>
  <si>
    <t>Beta estimate from the sample of firms listed elsewhere</t>
  </si>
  <si>
    <t>Beta estimate from the sample of Australian-listed firms</t>
  </si>
  <si>
    <t>s estimate from the sample of Australian-listed firms</t>
  </si>
  <si>
    <t>h estimate from the sample of Australian-listed firms</t>
  </si>
  <si>
    <t>Weights placed on different models and estimation techniques</t>
  </si>
  <si>
    <t>Weight placed on risk estimates computed from an equal-weighted index</t>
  </si>
  <si>
    <t>Weight placed on risk estimates computed as an average from individual firms</t>
  </si>
  <si>
    <t>SMB estimate for Australian-listed firms</t>
  </si>
  <si>
    <t>HML estimate for Australian-listed firms</t>
  </si>
  <si>
    <t>h × HML for Australian-listed firms</t>
  </si>
  <si>
    <t>s × SMB for Australian-listed firms</t>
  </si>
  <si>
    <t>Beta estimate in the Fama-French Model</t>
  </si>
  <si>
    <t>s × SMB estimate in the Fama-French Model</t>
  </si>
  <si>
    <t>h × HML estimate in the Fama-French Model</t>
  </si>
  <si>
    <t>Model</t>
  </si>
  <si>
    <t>Cost of equity</t>
  </si>
  <si>
    <t>Sharpe-Lintner Capital Asset Pricing Model</t>
  </si>
  <si>
    <t>Risk free component</t>
  </si>
  <si>
    <t>Weight</t>
  </si>
  <si>
    <t>Risk premium</t>
  </si>
  <si>
    <t>Black Capital Asset Pricing Model</t>
  </si>
  <si>
    <t>Fama and French Model</t>
  </si>
  <si>
    <t>Dividend discount model</t>
  </si>
  <si>
    <t>Overall cost of equity</t>
  </si>
  <si>
    <t>Weight on the Sharpe-Lintner CAPM cost of equity estimate</t>
  </si>
  <si>
    <t>Weight on the Black CAPM cost of equity estimate</t>
  </si>
  <si>
    <t>Weight on the Fama-French cost of equity estimate</t>
  </si>
  <si>
    <t>Weight on the dividend discount  model cost of equity estimate</t>
  </si>
  <si>
    <t>Total weight</t>
  </si>
  <si>
    <t>Listed network risk premium estimate relative to the market risk premium estimate</t>
  </si>
  <si>
    <t>Implied SL beta</t>
  </si>
  <si>
    <t>Fama-French Model estimate of the cost of equity</t>
  </si>
  <si>
    <t>Sharpe-Lintner CAPM estimate of the cost of equity</t>
  </si>
  <si>
    <t>Black CAPM estimate of the cost of equity</t>
  </si>
  <si>
    <t>Dividend discount model estimate of the cost of equity</t>
  </si>
  <si>
    <t>Beta estimate from the sample of firms listed elsewhere as an average of the estimates from individual firms</t>
  </si>
  <si>
    <t>s estimate from the sample of firms listed elsewhere as an average of the estimates from individual firms</t>
  </si>
  <si>
    <t>h estimate from the sample of firms listed elsewhere as an average of the estimates from individual firms</t>
  </si>
  <si>
    <t>s estimate from the sample of firms listed elsewhere compiled from an equal-weighted index</t>
  </si>
  <si>
    <t>h estimate from the sample of firms listed elsewhere compiled from an equal-weighted index</t>
  </si>
  <si>
    <t>s estimate from the sample of firms listed elsewhere</t>
  </si>
  <si>
    <t>h estimate from the sample of firms listed elsewhere</t>
  </si>
  <si>
    <t>SMB estimate for firms listed elsewhere</t>
  </si>
  <si>
    <t>HML estimate for firms listed elsewhere</t>
  </si>
  <si>
    <t>s × SMB for firms listed elsewhere</t>
  </si>
  <si>
    <t>h × HML for firms listed elsewhere</t>
  </si>
  <si>
    <t>Market returns implied by real return average</t>
  </si>
  <si>
    <t>Market risk premium implied by real return average</t>
  </si>
  <si>
    <t>Other parameter inputs</t>
  </si>
  <si>
    <t>Leverage</t>
  </si>
  <si>
    <t>Corporate tax rate</t>
  </si>
  <si>
    <t>Imputation credits (gamma)</t>
  </si>
  <si>
    <t>Value of a distributed credit</t>
  </si>
  <si>
    <t>Expected inflation</t>
  </si>
  <si>
    <t>Proportion of franked dividends</t>
  </si>
  <si>
    <t>Imputation adjustment factor assuming cash flow perpetuity</t>
  </si>
  <si>
    <t>Real market returns implied by historical average excess returns</t>
  </si>
  <si>
    <t>Market returns implied by historical average excess market returns</t>
  </si>
  <si>
    <t>Market return implied by dividend discount model analysis without adjustment for imputation</t>
  </si>
  <si>
    <t>Market return implied by dividend discount model analysis with imputation adjustment</t>
  </si>
  <si>
    <t>Real market return implied by dividend discount model analysis with imputation adjustment</t>
  </si>
  <si>
    <t>Market risk premium implied by dividend discount model analysis with imputation adjustment</t>
  </si>
  <si>
    <t>Long term growth</t>
  </si>
  <si>
    <t>Weight applied to historical real returns</t>
  </si>
  <si>
    <t>Weight applied to historical risk premium</t>
  </si>
  <si>
    <t>Weight applied to dividend discount model analysis</t>
  </si>
  <si>
    <t>Weight applied to survey evidence</t>
  </si>
  <si>
    <t>Market risk premium implied by survey evidence without adjustment for imputation</t>
  </si>
  <si>
    <t>Market return implied by survey evidence without adjustment for imputation</t>
  </si>
  <si>
    <t>Market return implied by survey evidence with imputation adjustment</t>
  </si>
  <si>
    <t>Market risk premium implied by survey evidence with imputation adjustment</t>
  </si>
  <si>
    <t>Real market return implied by survey evidence with imputation adjustment</t>
  </si>
  <si>
    <t>Market risk premium implied by historical average excess market returns incl. theta imp adj</t>
  </si>
  <si>
    <t>Historical average real market returns incl. theta imp adj</t>
  </si>
  <si>
    <t>Real market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</si>
</sst>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0000FF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2" fontId="4" fillId="2" borderId="0" xfId="0" applyNumberFormat="1" applyFont="1" applyFill="1"/>
    <xf numFmtId="2" fontId="4" fillId="2" borderId="1" xfId="0" applyNumberFormat="1" applyFont="1" applyFill="1" applyBorder="1"/>
    <xf numFmtId="10" fontId="3" fillId="2" borderId="0" xfId="1" applyNumberFormat="1" applyFont="1" applyFill="1"/>
    <xf numFmtId="10" fontId="8" fillId="2" borderId="3" xfId="1" applyNumberFormat="1" applyFont="1" applyFill="1" applyBorder="1"/>
    <xf numFmtId="2" fontId="5" fillId="2" borderId="0" xfId="0" applyNumberFormat="1" applyFont="1" applyFill="1" applyBorder="1"/>
    <xf numFmtId="10" fontId="8" fillId="2" borderId="0" xfId="1" applyNumberFormat="1" applyFont="1" applyFill="1" applyBorder="1"/>
    <xf numFmtId="10" fontId="5" fillId="2" borderId="0" xfId="1" applyNumberFormat="1" applyFont="1" applyFill="1" applyBorder="1"/>
    <xf numFmtId="10" fontId="5" fillId="2" borderId="1" xfId="1" applyNumberFormat="1" applyFont="1" applyFill="1" applyBorder="1"/>
    <xf numFmtId="10" fontId="4" fillId="2" borderId="0" xfId="1" applyNumberFormat="1" applyFont="1" applyFill="1"/>
    <xf numFmtId="2" fontId="4" fillId="2" borderId="0" xfId="0" applyNumberFormat="1" applyFont="1" applyFill="1" applyBorder="1"/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10" fontId="0" fillId="2" borderId="0" xfId="1" applyNumberFormat="1" applyFont="1" applyFill="1"/>
    <xf numFmtId="10" fontId="0" fillId="2" borderId="0" xfId="0" applyNumberFormat="1" applyFill="1"/>
    <xf numFmtId="2" fontId="0" fillId="2" borderId="0" xfId="0" applyNumberFormat="1" applyFill="1"/>
    <xf numFmtId="10" fontId="0" fillId="2" borderId="1" xfId="1" applyNumberFormat="1" applyFont="1" applyFill="1" applyBorder="1"/>
    <xf numFmtId="10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  <xf numFmtId="10" fontId="5" fillId="2" borderId="2" xfId="1" applyNumberFormat="1" applyFont="1" applyFill="1" applyBorder="1"/>
    <xf numFmtId="0" fontId="5" fillId="2" borderId="3" xfId="0" applyFont="1" applyFill="1" applyBorder="1"/>
    <xf numFmtId="0" fontId="5" fillId="2" borderId="1" xfId="0" applyFont="1" applyFill="1" applyBorder="1"/>
    <xf numFmtId="0" fontId="5" fillId="2" borderId="1" xfId="0" quotePrefix="1" applyFont="1" applyFill="1" applyBorder="1" applyAlignment="1">
      <alignment horizontal="right"/>
    </xf>
    <xf numFmtId="10" fontId="5" fillId="2" borderId="3" xfId="1" applyNumberFormat="1" applyFont="1" applyFill="1" applyBorder="1"/>
    <xf numFmtId="2" fontId="5" fillId="2" borderId="3" xfId="0" applyNumberFormat="1" applyFont="1" applyFill="1" applyBorder="1"/>
    <xf numFmtId="10" fontId="0" fillId="2" borderId="2" xfId="1" applyNumberFormat="1" applyFont="1" applyFill="1" applyBorder="1"/>
    <xf numFmtId="10" fontId="0" fillId="2" borderId="2" xfId="0" applyNumberFormat="1" applyFill="1" applyBorder="1"/>
    <xf numFmtId="2" fontId="0" fillId="2" borderId="2" xfId="0" applyNumberFormat="1" applyFill="1" applyBorder="1"/>
    <xf numFmtId="10" fontId="5" fillId="2" borderId="0" xfId="0" applyNumberFormat="1" applyFont="1" applyFill="1"/>
    <xf numFmtId="2" fontId="8" fillId="2" borderId="3" xfId="0" applyNumberFormat="1" applyFont="1" applyFill="1" applyBorder="1"/>
    <xf numFmtId="164" fontId="3" fillId="2" borderId="0" xfId="0" applyNumberFormat="1" applyFont="1" applyFill="1"/>
    <xf numFmtId="10" fontId="4" fillId="2" borderId="0" xfId="0" applyNumberFormat="1" applyFont="1" applyFill="1"/>
    <xf numFmtId="10" fontId="5" fillId="2" borderId="0" xfId="1" applyNumberFormat="1" applyFont="1" applyFill="1"/>
    <xf numFmtId="2" fontId="5" fillId="2" borderId="0" xfId="0" applyNumberFormat="1" applyFont="1" applyFill="1"/>
    <xf numFmtId="9" fontId="3" fillId="2" borderId="0" xfId="0" applyNumberFormat="1" applyFont="1" applyFill="1"/>
    <xf numFmtId="10" fontId="3" fillId="2" borderId="0" xfId="0" applyNumberFormat="1" applyFont="1" applyFill="1"/>
    <xf numFmtId="10" fontId="8" fillId="2" borderId="0" xfId="0" applyNumberFormat="1" applyFont="1" applyFill="1"/>
    <xf numFmtId="0" fontId="5" fillId="2" borderId="0" xfId="0" applyFont="1" applyFill="1" applyBorder="1"/>
    <xf numFmtId="10" fontId="5" fillId="2" borderId="1" xfId="0" applyNumberFormat="1" applyFont="1" applyFill="1" applyBorder="1"/>
    <xf numFmtId="164" fontId="4" fillId="2" borderId="2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B1" sqref="B1"/>
    </sheetView>
  </sheetViews>
  <sheetFormatPr defaultColWidth="8.85546875" defaultRowHeight="12.75" x14ac:dyDescent="0.2"/>
  <cols>
    <col min="1" max="1" width="0.42578125" style="1" customWidth="1"/>
    <col min="2" max="2" width="34.5703125" style="1" bestFit="1" customWidth="1"/>
    <col min="3" max="6" width="10.7109375" style="1" customWidth="1"/>
    <col min="7" max="16384" width="8.85546875" style="1"/>
  </cols>
  <sheetData>
    <row r="1" spans="2:7" ht="5.45" customHeight="1" x14ac:dyDescent="0.2"/>
    <row r="2" spans="2:7" ht="25.5" x14ac:dyDescent="0.2">
      <c r="B2" s="17" t="s">
        <v>38</v>
      </c>
      <c r="C2" s="18" t="s">
        <v>41</v>
      </c>
      <c r="D2" s="18" t="s">
        <v>43</v>
      </c>
      <c r="E2" s="18" t="s">
        <v>39</v>
      </c>
      <c r="F2" s="18" t="s">
        <v>42</v>
      </c>
      <c r="G2" s="18" t="s">
        <v>54</v>
      </c>
    </row>
    <row r="3" spans="2:7" x14ac:dyDescent="0.2">
      <c r="B3" s="1" t="s">
        <v>40</v>
      </c>
      <c r="C3" s="19">
        <f>Assumptions!B5</f>
        <v>2.64E-2</v>
      </c>
      <c r="D3" s="19">
        <f>E3-C3</f>
        <v>6.6765008716216212E-2</v>
      </c>
      <c r="E3" s="20">
        <f>Assumptions!B44</f>
        <v>9.3165008716216219E-2</v>
      </c>
      <c r="F3" s="19">
        <f>Assumptions!B96</f>
        <v>0.25</v>
      </c>
      <c r="G3" s="21">
        <f>D3/Assumptions!B30</f>
        <v>0.81716216216216231</v>
      </c>
    </row>
    <row r="4" spans="2:7" x14ac:dyDescent="0.2">
      <c r="B4" s="1" t="s">
        <v>44</v>
      </c>
      <c r="C4" s="19">
        <f>Assumptions!B5</f>
        <v>2.64E-2</v>
      </c>
      <c r="D4" s="19">
        <f>E4-C4</f>
        <v>7.2871792500000004E-2</v>
      </c>
      <c r="E4" s="20">
        <f>Assumptions!B50</f>
        <v>9.9271792499999997E-2</v>
      </c>
      <c r="F4" s="19">
        <f>Assumptions!B97</f>
        <v>0.25</v>
      </c>
      <c r="G4" s="21">
        <f>D4/Assumptions!B30</f>
        <v>0.89190539572968131</v>
      </c>
    </row>
    <row r="5" spans="2:7" x14ac:dyDescent="0.2">
      <c r="B5" s="1" t="s">
        <v>45</v>
      </c>
      <c r="C5" s="19">
        <f>Assumptions!B5</f>
        <v>2.64E-2</v>
      </c>
      <c r="D5" s="19">
        <f>E5-C5</f>
        <v>7.2864848108108116E-2</v>
      </c>
      <c r="E5" s="20">
        <f>Assumptions!B86</f>
        <v>9.9264848108108122E-2</v>
      </c>
      <c r="F5" s="19">
        <f>Assumptions!B98</f>
        <v>0.25</v>
      </c>
      <c r="G5" s="21">
        <f>D5/Assumptions!B30</f>
        <v>0.8918204006940722</v>
      </c>
    </row>
    <row r="6" spans="2:7" x14ac:dyDescent="0.2">
      <c r="B6" s="1" t="s">
        <v>46</v>
      </c>
      <c r="C6" s="22">
        <f>Assumptions!B5</f>
        <v>2.64E-2</v>
      </c>
      <c r="D6" s="22">
        <f>E6-C6</f>
        <v>7.6801289999999967E-2</v>
      </c>
      <c r="E6" s="23">
        <f>Assumptions!B90</f>
        <v>0.10320128999999997</v>
      </c>
      <c r="F6" s="22">
        <f>Assumptions!B99</f>
        <v>0.25</v>
      </c>
      <c r="G6" s="24">
        <f>D6/Assumptions!B30</f>
        <v>0.93999999999999972</v>
      </c>
    </row>
    <row r="7" spans="2:7" x14ac:dyDescent="0.2">
      <c r="B7" s="25" t="s">
        <v>47</v>
      </c>
      <c r="C7" s="32">
        <f>Assumptions!B5</f>
        <v>2.64E-2</v>
      </c>
      <c r="D7" s="33">
        <f>E7-C7</f>
        <v>7.2325734831081068E-2</v>
      </c>
      <c r="E7" s="32">
        <f>SUMPRODUCT(E3:E6,F3:F6)</f>
        <v>9.8725734831081075E-2</v>
      </c>
      <c r="F7" s="32">
        <f>SUM(F3:F6)</f>
        <v>1</v>
      </c>
      <c r="G7" s="34">
        <f>D7/Assumptions!B30</f>
        <v>0.8852219896464788</v>
      </c>
    </row>
    <row r="10" spans="2:7" x14ac:dyDescent="0.2">
      <c r="E10" s="19"/>
    </row>
    <row r="11" spans="2:7" x14ac:dyDescent="0.2">
      <c r="E11" s="19"/>
    </row>
    <row r="12" spans="2:7" x14ac:dyDescent="0.2">
      <c r="E12" s="20"/>
    </row>
    <row r="13" spans="2:7" x14ac:dyDescent="0.2">
      <c r="E1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0"/>
  <sheetViews>
    <sheetView zoomScale="120" zoomScaleNormal="120" workbookViewId="0"/>
  </sheetViews>
  <sheetFormatPr defaultColWidth="8.85546875" defaultRowHeight="12.75" x14ac:dyDescent="0.2"/>
  <cols>
    <col min="1" max="1" width="84" style="3" bestFit="1" customWidth="1"/>
    <col min="2" max="2" width="7.7109375" style="3" customWidth="1"/>
    <col min="3" max="4" width="7" style="3" customWidth="1"/>
    <col min="5" max="5" width="8.85546875" style="3"/>
    <col min="6" max="6" width="20" style="3" bestFit="1" customWidth="1"/>
    <col min="7" max="8" width="8.85546875" style="3"/>
    <col min="9" max="9" width="9.28515625" style="3" bestFit="1" customWidth="1"/>
    <col min="10" max="16384" width="8.85546875" style="3"/>
  </cols>
  <sheetData>
    <row r="1" spans="1:8" x14ac:dyDescent="0.2">
      <c r="A1" s="27"/>
      <c r="B1" s="27"/>
    </row>
    <row r="2" spans="1:8" x14ac:dyDescent="0.2">
      <c r="A2" s="28"/>
      <c r="B2" s="29"/>
    </row>
    <row r="4" spans="1:8" x14ac:dyDescent="0.2">
      <c r="A4" s="6" t="s">
        <v>12</v>
      </c>
      <c r="E4" s="5"/>
    </row>
    <row r="5" spans="1:8" s="5" customFormat="1" x14ac:dyDescent="0.2">
      <c r="A5" s="5" t="s">
        <v>12</v>
      </c>
      <c r="B5" s="12">
        <v>2.64E-2</v>
      </c>
      <c r="E5" s="3"/>
      <c r="F5" s="7"/>
      <c r="G5" s="7"/>
      <c r="H5" s="7"/>
    </row>
    <row r="6" spans="1:8" x14ac:dyDescent="0.2">
      <c r="A6" s="5"/>
      <c r="F6" s="38"/>
      <c r="G6" s="38"/>
      <c r="H6" s="38"/>
    </row>
    <row r="7" spans="1:8" x14ac:dyDescent="0.2">
      <c r="A7" s="6" t="s">
        <v>13</v>
      </c>
      <c r="F7" s="38"/>
      <c r="G7" s="38"/>
      <c r="H7" s="38"/>
    </row>
    <row r="8" spans="1:8" x14ac:dyDescent="0.2">
      <c r="A8" s="3" t="s">
        <v>97</v>
      </c>
      <c r="B8" s="42">
        <v>8.9200000000000002E-2</v>
      </c>
      <c r="E8" s="35"/>
      <c r="F8" s="38"/>
      <c r="G8" s="38"/>
      <c r="H8" s="38"/>
    </row>
    <row r="9" spans="1:8" x14ac:dyDescent="0.2">
      <c r="A9" s="3" t="s">
        <v>70</v>
      </c>
      <c r="B9" s="15">
        <f>(1+B8)*(1+B107)-1</f>
        <v>0.11642999999999981</v>
      </c>
      <c r="E9" s="38"/>
      <c r="F9" s="7"/>
      <c r="G9" s="7"/>
      <c r="H9" s="7"/>
    </row>
    <row r="10" spans="1:8" x14ac:dyDescent="0.2">
      <c r="A10" s="5" t="s">
        <v>71</v>
      </c>
      <c r="B10" s="35">
        <f>B9-B5</f>
        <v>9.0029999999999805E-2</v>
      </c>
      <c r="E10" s="38"/>
      <c r="F10" s="38"/>
      <c r="G10" s="38"/>
      <c r="H10" s="38"/>
    </row>
    <row r="11" spans="1:8" x14ac:dyDescent="0.2">
      <c r="A11" s="3" t="s">
        <v>80</v>
      </c>
      <c r="B11" s="15">
        <f>(1+B12)/(1+B107)-1</f>
        <v>6.5365853658536865E-2</v>
      </c>
      <c r="E11" s="38"/>
      <c r="F11" s="38"/>
      <c r="G11" s="38"/>
      <c r="H11" s="38"/>
    </row>
    <row r="12" spans="1:8" x14ac:dyDescent="0.2">
      <c r="A12" s="3" t="s">
        <v>81</v>
      </c>
      <c r="B12" s="38">
        <f>B13+B5</f>
        <v>9.1999999999999998E-2</v>
      </c>
      <c r="F12" s="7"/>
      <c r="G12" s="7"/>
      <c r="H12" s="7"/>
    </row>
    <row r="13" spans="1:8" x14ac:dyDescent="0.2">
      <c r="A13" s="5" t="s">
        <v>96</v>
      </c>
      <c r="B13" s="43">
        <v>6.5600000000000006E-2</v>
      </c>
      <c r="E13" s="35"/>
      <c r="F13" s="38"/>
      <c r="G13" s="38"/>
    </row>
    <row r="14" spans="1:8" x14ac:dyDescent="0.2">
      <c r="A14" s="3" t="s">
        <v>82</v>
      </c>
      <c r="B14" s="42">
        <v>0.1027</v>
      </c>
      <c r="E14" s="38"/>
      <c r="F14" s="7"/>
      <c r="G14" s="7"/>
      <c r="H14" s="7"/>
    </row>
    <row r="15" spans="1:8" x14ac:dyDescent="0.2">
      <c r="A15" s="3" t="s">
        <v>84</v>
      </c>
      <c r="B15" s="15">
        <f>(1+B16)/(1+B107)-1</f>
        <v>8.6540069686411369E-2</v>
      </c>
      <c r="E15" s="38"/>
      <c r="F15" s="7"/>
      <c r="G15" s="7"/>
      <c r="H15" s="7"/>
    </row>
    <row r="16" spans="1:8" x14ac:dyDescent="0.2">
      <c r="A16" s="3" t="s">
        <v>83</v>
      </c>
      <c r="B16" s="15">
        <f>B14/B109</f>
        <v>0.11370357142857145</v>
      </c>
      <c r="E16" s="38"/>
      <c r="F16" s="7"/>
      <c r="G16" s="7"/>
      <c r="H16" s="7"/>
    </row>
    <row r="17" spans="1:14" x14ac:dyDescent="0.2">
      <c r="A17" s="5" t="s">
        <v>85</v>
      </c>
      <c r="B17" s="35">
        <f>B16-B5</f>
        <v>8.7303571428571453E-2</v>
      </c>
      <c r="E17" s="38"/>
      <c r="F17" s="15"/>
      <c r="G17" s="15"/>
      <c r="H17" s="15"/>
    </row>
    <row r="18" spans="1:14" x14ac:dyDescent="0.2">
      <c r="A18" s="3" t="s">
        <v>91</v>
      </c>
      <c r="B18" s="42">
        <v>0.06</v>
      </c>
      <c r="F18" s="38"/>
      <c r="G18" s="15"/>
      <c r="H18" s="15"/>
    </row>
    <row r="19" spans="1:14" x14ac:dyDescent="0.2">
      <c r="A19" s="3" t="s">
        <v>92</v>
      </c>
      <c r="B19" s="38">
        <f>B18+B5</f>
        <v>8.6400000000000005E-2</v>
      </c>
      <c r="E19" s="15"/>
      <c r="F19" s="38"/>
      <c r="G19" s="15"/>
      <c r="H19" s="15"/>
    </row>
    <row r="20" spans="1:14" x14ac:dyDescent="0.2">
      <c r="A20" s="3" t="s">
        <v>95</v>
      </c>
      <c r="B20" s="38">
        <f>(1+B21)/(1+B107)-1</f>
        <v>6.893379790940779E-2</v>
      </c>
      <c r="F20" s="38"/>
      <c r="G20" s="38"/>
      <c r="H20" s="15"/>
    </row>
    <row r="21" spans="1:14" x14ac:dyDescent="0.2">
      <c r="A21" s="3" t="s">
        <v>93</v>
      </c>
      <c r="B21" s="38">
        <f>B19/B109</f>
        <v>9.5657142857142871E-2</v>
      </c>
      <c r="F21" s="7"/>
      <c r="G21" s="7"/>
      <c r="H21" s="7"/>
    </row>
    <row r="22" spans="1:14" x14ac:dyDescent="0.2">
      <c r="A22" s="5" t="s">
        <v>94</v>
      </c>
      <c r="B22" s="35">
        <f>B21-B5</f>
        <v>6.9257142857142878E-2</v>
      </c>
    </row>
    <row r="23" spans="1:14" x14ac:dyDescent="0.2">
      <c r="A23" s="3" t="s">
        <v>87</v>
      </c>
      <c r="B23" s="9">
        <v>0.2</v>
      </c>
    </row>
    <row r="24" spans="1:14" x14ac:dyDescent="0.2">
      <c r="A24" s="3" t="s">
        <v>88</v>
      </c>
      <c r="B24" s="9">
        <v>0.2</v>
      </c>
      <c r="F24" s="7"/>
      <c r="G24" s="7"/>
      <c r="H24" s="7"/>
      <c r="L24" s="7"/>
      <c r="M24" s="7"/>
      <c r="N24" s="7"/>
    </row>
    <row r="25" spans="1:14" x14ac:dyDescent="0.2">
      <c r="A25" s="3" t="s">
        <v>89</v>
      </c>
      <c r="B25" s="9">
        <v>0.5</v>
      </c>
      <c r="F25" s="7"/>
      <c r="G25" s="7"/>
      <c r="H25" s="7"/>
      <c r="L25" s="7"/>
    </row>
    <row r="26" spans="1:14" x14ac:dyDescent="0.2">
      <c r="A26" s="3" t="s">
        <v>90</v>
      </c>
      <c r="B26" s="15">
        <f t="shared" ref="B26" si="0">1-SUM(B23:B25)</f>
        <v>9.9999999999999978E-2</v>
      </c>
      <c r="F26" s="7"/>
      <c r="G26" s="7"/>
      <c r="H26" s="7"/>
      <c r="I26" s="7"/>
      <c r="J26" s="7"/>
      <c r="K26" s="7"/>
      <c r="L26" s="7"/>
    </row>
    <row r="27" spans="1:14" x14ac:dyDescent="0.2">
      <c r="A27" s="3" t="s">
        <v>52</v>
      </c>
      <c r="B27" s="15">
        <f t="shared" ref="B27" si="1">SUM(B23,B24,B25,B26)</f>
        <v>1</v>
      </c>
      <c r="F27" s="38"/>
      <c r="G27" s="38"/>
      <c r="H27" s="38"/>
      <c r="I27" s="38"/>
      <c r="J27" s="38"/>
      <c r="K27" s="38"/>
      <c r="L27" s="7"/>
    </row>
    <row r="28" spans="1:14" s="5" customFormat="1" x14ac:dyDescent="0.2">
      <c r="A28" s="27" t="s">
        <v>98</v>
      </c>
      <c r="B28" s="30">
        <f t="shared" ref="B28" si="2">(1+B29)/(1+B107)-1</f>
        <v>8.1076585365853715E-2</v>
      </c>
      <c r="C28" s="39"/>
      <c r="D28" s="40"/>
      <c r="F28" s="39"/>
      <c r="G28" s="39"/>
      <c r="H28" s="39"/>
      <c r="I28" s="39"/>
      <c r="J28" s="39"/>
      <c r="K28" s="39"/>
      <c r="L28" s="15"/>
      <c r="M28" s="15"/>
      <c r="N28" s="15"/>
    </row>
    <row r="29" spans="1:14" s="5" customFormat="1" x14ac:dyDescent="0.2">
      <c r="A29" s="44" t="s">
        <v>15</v>
      </c>
      <c r="B29" s="13">
        <f>B5+B30</f>
        <v>0.10810349999999999</v>
      </c>
      <c r="C29" s="39"/>
      <c r="D29" s="40"/>
      <c r="G29" s="35"/>
      <c r="J29" s="35"/>
      <c r="M29" s="35"/>
    </row>
    <row r="30" spans="1:14" x14ac:dyDescent="0.2">
      <c r="A30" s="28" t="s">
        <v>13</v>
      </c>
      <c r="B30" s="45">
        <f>SUM(B23*B10,B24*B13,B25*B17,B26*B22)</f>
        <v>8.1703499999999984E-2</v>
      </c>
      <c r="C30" s="15"/>
      <c r="D30" s="7"/>
    </row>
    <row r="31" spans="1:14" x14ac:dyDescent="0.2">
      <c r="A31" s="44"/>
      <c r="B31" s="13"/>
      <c r="C31" s="15"/>
      <c r="D31" s="7"/>
    </row>
    <row r="32" spans="1:14" x14ac:dyDescent="0.2">
      <c r="A32" s="6" t="s">
        <v>7</v>
      </c>
      <c r="C32" s="15"/>
      <c r="D32" s="7"/>
    </row>
    <row r="33" spans="1:5" x14ac:dyDescent="0.2">
      <c r="A33" s="3" t="s">
        <v>8</v>
      </c>
      <c r="B33" s="4">
        <v>0.6</v>
      </c>
      <c r="C33" s="38"/>
    </row>
    <row r="34" spans="1:5" x14ac:dyDescent="0.2">
      <c r="A34" s="3" t="s">
        <v>9</v>
      </c>
      <c r="B34" s="2">
        <v>0.55000000000000004</v>
      </c>
      <c r="D34" s="38"/>
    </row>
    <row r="35" spans="1:5" x14ac:dyDescent="0.2">
      <c r="A35" s="3" t="s">
        <v>10</v>
      </c>
      <c r="B35" s="2">
        <v>0.88</v>
      </c>
      <c r="D35" s="15"/>
    </row>
    <row r="36" spans="1:5" x14ac:dyDescent="0.2">
      <c r="A36" s="3" t="s">
        <v>11</v>
      </c>
      <c r="B36" s="2">
        <v>0.91</v>
      </c>
      <c r="D36" s="38"/>
    </row>
    <row r="37" spans="1:5" x14ac:dyDescent="0.2">
      <c r="A37" s="3" t="s">
        <v>25</v>
      </c>
      <c r="B37" s="7">
        <f>B33*B93+B34*B94</f>
        <v>0.57499999999999996</v>
      </c>
    </row>
    <row r="38" spans="1:5" x14ac:dyDescent="0.2">
      <c r="A38" s="3" t="s">
        <v>24</v>
      </c>
      <c r="B38" s="7">
        <f>B35*B93+B36*B94</f>
        <v>0.89500000000000002</v>
      </c>
    </row>
    <row r="39" spans="1:5" x14ac:dyDescent="0.2">
      <c r="A39" s="3" t="s">
        <v>0</v>
      </c>
      <c r="B39" s="2">
        <v>9</v>
      </c>
    </row>
    <row r="40" spans="1:5" x14ac:dyDescent="0.2">
      <c r="A40" s="3" t="s">
        <v>1</v>
      </c>
      <c r="B40" s="2">
        <v>56</v>
      </c>
    </row>
    <row r="41" spans="1:5" x14ac:dyDescent="0.2">
      <c r="A41" s="3" t="s">
        <v>3</v>
      </c>
      <c r="B41" s="7">
        <f>(B95*B39)/(B95*B39+B40)</f>
        <v>0.24324324324324326</v>
      </c>
    </row>
    <row r="42" spans="1:5" x14ac:dyDescent="0.2">
      <c r="A42" s="3" t="s">
        <v>4</v>
      </c>
      <c r="B42" s="16">
        <f>1-B41</f>
        <v>0.7567567567567568</v>
      </c>
    </row>
    <row r="43" spans="1:5" x14ac:dyDescent="0.2">
      <c r="A43" s="5" t="s">
        <v>5</v>
      </c>
      <c r="B43" s="31">
        <f>B37*B41+B38*B42</f>
        <v>0.8171621621621622</v>
      </c>
    </row>
    <row r="44" spans="1:5" x14ac:dyDescent="0.2">
      <c r="A44" s="5" t="s">
        <v>56</v>
      </c>
      <c r="B44" s="14">
        <f>B5+B43*B30</f>
        <v>9.3165008716216219E-2</v>
      </c>
      <c r="D44" s="38"/>
      <c r="E44" s="38"/>
    </row>
    <row r="45" spans="1:5" x14ac:dyDescent="0.2">
      <c r="A45" s="5"/>
    </row>
    <row r="46" spans="1:5" x14ac:dyDescent="0.2">
      <c r="A46" s="6" t="s">
        <v>14</v>
      </c>
    </row>
    <row r="47" spans="1:5" s="5" customFormat="1" x14ac:dyDescent="0.2">
      <c r="A47" s="5" t="s">
        <v>16</v>
      </c>
      <c r="B47" s="10">
        <v>3.3399999999999999E-2</v>
      </c>
    </row>
    <row r="48" spans="1:5" s="5" customFormat="1" x14ac:dyDescent="0.2">
      <c r="A48" s="5" t="s">
        <v>17</v>
      </c>
      <c r="B48" s="13">
        <f>B5+B47</f>
        <v>5.9799999999999999E-2</v>
      </c>
    </row>
    <row r="49" spans="1:3" s="5" customFormat="1" x14ac:dyDescent="0.2">
      <c r="A49" s="5" t="s">
        <v>18</v>
      </c>
      <c r="B49" s="13">
        <f>B29-B48</f>
        <v>4.8303499999999992E-2</v>
      </c>
    </row>
    <row r="50" spans="1:3" s="5" customFormat="1" x14ac:dyDescent="0.2">
      <c r="A50" s="5" t="s">
        <v>57</v>
      </c>
      <c r="B50" s="14">
        <f>B48+B43*B49</f>
        <v>9.9271792499999997E-2</v>
      </c>
    </row>
    <row r="51" spans="1:3" x14ac:dyDescent="0.2">
      <c r="A51" s="5"/>
    </row>
    <row r="52" spans="1:3" x14ac:dyDescent="0.2">
      <c r="A52" s="6" t="s">
        <v>6</v>
      </c>
    </row>
    <row r="53" spans="1:3" x14ac:dyDescent="0.2">
      <c r="A53" s="3" t="s">
        <v>19</v>
      </c>
      <c r="B53" s="4">
        <v>0.49</v>
      </c>
    </row>
    <row r="54" spans="1:3" x14ac:dyDescent="0.2">
      <c r="A54" s="3" t="s">
        <v>20</v>
      </c>
      <c r="B54" s="4">
        <v>7.0000000000000007E-2</v>
      </c>
    </row>
    <row r="55" spans="1:3" x14ac:dyDescent="0.2">
      <c r="A55" s="3" t="s">
        <v>21</v>
      </c>
      <c r="B55" s="4">
        <v>0.33</v>
      </c>
    </row>
    <row r="56" spans="1:3" x14ac:dyDescent="0.2">
      <c r="A56" s="3" t="s">
        <v>9</v>
      </c>
      <c r="B56" s="4">
        <v>0.47</v>
      </c>
    </row>
    <row r="57" spans="1:3" x14ac:dyDescent="0.2">
      <c r="A57" s="3" t="s">
        <v>22</v>
      </c>
      <c r="B57" s="4">
        <v>-0.01</v>
      </c>
    </row>
    <row r="58" spans="1:3" x14ac:dyDescent="0.2">
      <c r="A58" s="3" t="s">
        <v>23</v>
      </c>
      <c r="B58" s="4">
        <v>0.27</v>
      </c>
    </row>
    <row r="59" spans="1:3" x14ac:dyDescent="0.2">
      <c r="A59" s="3" t="s">
        <v>25</v>
      </c>
      <c r="B59" s="7">
        <f>B53*B93+B56*B94</f>
        <v>0.48</v>
      </c>
    </row>
    <row r="60" spans="1:3" x14ac:dyDescent="0.2">
      <c r="A60" s="3" t="s">
        <v>26</v>
      </c>
      <c r="B60" s="7">
        <f>B54*B93+B57*B94</f>
        <v>3.0000000000000002E-2</v>
      </c>
    </row>
    <row r="61" spans="1:3" x14ac:dyDescent="0.2">
      <c r="A61" s="3" t="s">
        <v>27</v>
      </c>
      <c r="B61" s="7">
        <f>B55*B93+B58*B94</f>
        <v>0.30000000000000004</v>
      </c>
    </row>
    <row r="62" spans="1:3" x14ac:dyDescent="0.2">
      <c r="A62" s="3" t="s">
        <v>31</v>
      </c>
      <c r="B62" s="9">
        <v>-4.3E-3</v>
      </c>
    </row>
    <row r="63" spans="1:3" x14ac:dyDescent="0.2">
      <c r="A63" s="3" t="s">
        <v>32</v>
      </c>
      <c r="B63" s="9">
        <v>9.9699999999999997E-2</v>
      </c>
    </row>
    <row r="64" spans="1:3" x14ac:dyDescent="0.2">
      <c r="A64" s="3" t="s">
        <v>34</v>
      </c>
      <c r="B64" s="15">
        <f t="shared" ref="B64:B65" si="3">B60*B62</f>
        <v>-1.2900000000000002E-4</v>
      </c>
      <c r="C64" s="15"/>
    </row>
    <row r="65" spans="1:3" x14ac:dyDescent="0.2">
      <c r="A65" s="3" t="s">
        <v>33</v>
      </c>
      <c r="B65" s="15">
        <f t="shared" si="3"/>
        <v>2.9910000000000003E-2</v>
      </c>
    </row>
    <row r="66" spans="1:3" x14ac:dyDescent="0.2">
      <c r="A66" s="3" t="s">
        <v>59</v>
      </c>
      <c r="B66" s="2">
        <v>0.86</v>
      </c>
    </row>
    <row r="67" spans="1:3" x14ac:dyDescent="0.2">
      <c r="A67" s="3" t="s">
        <v>60</v>
      </c>
      <c r="B67" s="2">
        <v>-0.05</v>
      </c>
    </row>
    <row r="68" spans="1:3" x14ac:dyDescent="0.2">
      <c r="A68" s="3" t="s">
        <v>61</v>
      </c>
      <c r="B68" s="2">
        <v>0.11</v>
      </c>
    </row>
    <row r="69" spans="1:3" x14ac:dyDescent="0.2">
      <c r="A69" s="3" t="s">
        <v>11</v>
      </c>
      <c r="B69" s="2">
        <v>0.88</v>
      </c>
    </row>
    <row r="70" spans="1:3" x14ac:dyDescent="0.2">
      <c r="A70" s="3" t="s">
        <v>62</v>
      </c>
      <c r="B70" s="2">
        <v>-0.09</v>
      </c>
    </row>
    <row r="71" spans="1:3" x14ac:dyDescent="0.2">
      <c r="A71" s="3" t="s">
        <v>63</v>
      </c>
      <c r="B71" s="2">
        <v>0.12</v>
      </c>
    </row>
    <row r="72" spans="1:3" x14ac:dyDescent="0.2">
      <c r="A72" s="3" t="s">
        <v>24</v>
      </c>
      <c r="B72" s="3">
        <f>SUM(B66*B93,B69*B94)</f>
        <v>0.87</v>
      </c>
      <c r="C72" s="15"/>
    </row>
    <row r="73" spans="1:3" x14ac:dyDescent="0.2">
      <c r="A73" s="3" t="s">
        <v>64</v>
      </c>
      <c r="B73" s="3">
        <f>SUM(B67*B93,B70*B94)</f>
        <v>-7.0000000000000007E-2</v>
      </c>
    </row>
    <row r="74" spans="1:3" x14ac:dyDescent="0.2">
      <c r="A74" s="3" t="s">
        <v>65</v>
      </c>
      <c r="B74" s="7">
        <f>SUM(B68*B93,B71*B94)</f>
        <v>0.11499999999999999</v>
      </c>
    </row>
    <row r="75" spans="1:3" x14ac:dyDescent="0.2">
      <c r="A75" s="3" t="s">
        <v>66</v>
      </c>
      <c r="B75" s="9">
        <v>3.5799999999999998E-2</v>
      </c>
    </row>
    <row r="76" spans="1:3" x14ac:dyDescent="0.2">
      <c r="A76" s="3" t="s">
        <v>67</v>
      </c>
      <c r="B76" s="9">
        <v>4.8099999999999997E-2</v>
      </c>
    </row>
    <row r="77" spans="1:3" x14ac:dyDescent="0.2">
      <c r="A77" s="3" t="s">
        <v>68</v>
      </c>
      <c r="B77" s="15">
        <f t="shared" ref="B77:B78" si="4">B73*B75</f>
        <v>-2.506E-3</v>
      </c>
    </row>
    <row r="78" spans="1:3" x14ac:dyDescent="0.2">
      <c r="A78" s="3" t="s">
        <v>69</v>
      </c>
      <c r="B78" s="15">
        <f t="shared" si="4"/>
        <v>5.5314999999999991E-3</v>
      </c>
      <c r="C78" s="38"/>
    </row>
    <row r="79" spans="1:3" x14ac:dyDescent="0.2">
      <c r="A79" s="3" t="s">
        <v>0</v>
      </c>
      <c r="B79" s="2">
        <v>9</v>
      </c>
    </row>
    <row r="80" spans="1:3" x14ac:dyDescent="0.2">
      <c r="A80" s="3" t="s">
        <v>1</v>
      </c>
      <c r="B80" s="2">
        <v>56</v>
      </c>
    </row>
    <row r="81" spans="1:4" x14ac:dyDescent="0.2">
      <c r="A81" s="3" t="s">
        <v>3</v>
      </c>
      <c r="B81" s="7">
        <f>(B95*B79)/(B95*B79+B80)</f>
        <v>0.24324324324324326</v>
      </c>
    </row>
    <row r="82" spans="1:4" x14ac:dyDescent="0.2">
      <c r="A82" s="3" t="s">
        <v>4</v>
      </c>
      <c r="B82" s="8">
        <f>1-B81</f>
        <v>0.7567567567567568</v>
      </c>
    </row>
    <row r="83" spans="1:4" x14ac:dyDescent="0.2">
      <c r="A83" s="3" t="s">
        <v>35</v>
      </c>
      <c r="B83" s="11">
        <f>B81*B59+B82*B72</f>
        <v>0.77513513513513521</v>
      </c>
      <c r="D83" s="38"/>
    </row>
    <row r="84" spans="1:4" x14ac:dyDescent="0.2">
      <c r="A84" s="3" t="s">
        <v>36</v>
      </c>
      <c r="B84" s="13">
        <f>B64*B81+B77*B82</f>
        <v>-1.9278108108108109E-3</v>
      </c>
    </row>
    <row r="85" spans="1:4" x14ac:dyDescent="0.2">
      <c r="A85" s="3" t="s">
        <v>37</v>
      </c>
      <c r="B85" s="14">
        <f>B65*B81+B78*B82</f>
        <v>1.1461405405405406E-2</v>
      </c>
    </row>
    <row r="86" spans="1:4" x14ac:dyDescent="0.2">
      <c r="A86" s="5" t="s">
        <v>55</v>
      </c>
      <c r="B86" s="26">
        <f>B5+B83*B30+B84+B85</f>
        <v>9.9264848108108122E-2</v>
      </c>
      <c r="C86" s="38"/>
    </row>
    <row r="88" spans="1:4" x14ac:dyDescent="0.2">
      <c r="A88" s="6" t="s">
        <v>46</v>
      </c>
    </row>
    <row r="89" spans="1:4" s="5" customFormat="1" x14ac:dyDescent="0.2">
      <c r="A89" s="5" t="s">
        <v>53</v>
      </c>
      <c r="B89" s="36">
        <v>0.94</v>
      </c>
    </row>
    <row r="90" spans="1:4" s="5" customFormat="1" x14ac:dyDescent="0.2">
      <c r="A90" s="5" t="s">
        <v>58</v>
      </c>
      <c r="B90" s="14">
        <f>B5+B89*B30</f>
        <v>0.10320128999999997</v>
      </c>
    </row>
    <row r="92" spans="1:4" x14ac:dyDescent="0.2">
      <c r="A92" s="6" t="s">
        <v>28</v>
      </c>
    </row>
    <row r="93" spans="1:4" x14ac:dyDescent="0.2">
      <c r="A93" s="3" t="s">
        <v>30</v>
      </c>
      <c r="B93" s="4">
        <v>0.5</v>
      </c>
    </row>
    <row r="94" spans="1:4" x14ac:dyDescent="0.2">
      <c r="A94" s="3" t="s">
        <v>29</v>
      </c>
      <c r="B94" s="7">
        <f>1-B93</f>
        <v>0.5</v>
      </c>
    </row>
    <row r="95" spans="1:4" x14ac:dyDescent="0.2">
      <c r="A95" s="3" t="s">
        <v>2</v>
      </c>
      <c r="B95" s="2">
        <v>2</v>
      </c>
    </row>
    <row r="96" spans="1:4" x14ac:dyDescent="0.2">
      <c r="A96" s="3" t="s">
        <v>48</v>
      </c>
      <c r="B96" s="37">
        <v>0.25</v>
      </c>
    </row>
    <row r="97" spans="1:2" x14ac:dyDescent="0.2">
      <c r="A97" s="3" t="s">
        <v>49</v>
      </c>
      <c r="B97" s="37">
        <v>0.25</v>
      </c>
    </row>
    <row r="98" spans="1:2" x14ac:dyDescent="0.2">
      <c r="A98" s="3" t="s">
        <v>50</v>
      </c>
      <c r="B98" s="37">
        <v>0.25</v>
      </c>
    </row>
    <row r="99" spans="1:2" x14ac:dyDescent="0.2">
      <c r="A99" s="3" t="s">
        <v>51</v>
      </c>
      <c r="B99" s="37">
        <v>0.25</v>
      </c>
    </row>
    <row r="100" spans="1:2" x14ac:dyDescent="0.2">
      <c r="A100" s="3" t="s">
        <v>52</v>
      </c>
      <c r="B100" s="46">
        <f>SUM(B96,B97,B98,B99)</f>
        <v>1</v>
      </c>
    </row>
    <row r="102" spans="1:2" x14ac:dyDescent="0.2">
      <c r="A102" s="6" t="s">
        <v>72</v>
      </c>
    </row>
    <row r="103" spans="1:2" x14ac:dyDescent="0.2">
      <c r="A103" s="3" t="s">
        <v>73</v>
      </c>
      <c r="B103" s="41">
        <v>0.6</v>
      </c>
    </row>
    <row r="104" spans="1:2" x14ac:dyDescent="0.2">
      <c r="A104" s="3" t="s">
        <v>74</v>
      </c>
      <c r="B104" s="41">
        <v>0.3</v>
      </c>
    </row>
    <row r="105" spans="1:2" x14ac:dyDescent="0.2">
      <c r="A105" s="3" t="s">
        <v>75</v>
      </c>
      <c r="B105" s="2">
        <v>0.25</v>
      </c>
    </row>
    <row r="106" spans="1:2" x14ac:dyDescent="0.2">
      <c r="A106" s="3" t="s">
        <v>76</v>
      </c>
      <c r="B106" s="2">
        <v>0.35</v>
      </c>
    </row>
    <row r="107" spans="1:2" x14ac:dyDescent="0.2">
      <c r="A107" s="3" t="s">
        <v>77</v>
      </c>
      <c r="B107" s="42">
        <v>2.5000000000000001E-2</v>
      </c>
    </row>
    <row r="108" spans="1:2" x14ac:dyDescent="0.2">
      <c r="A108" s="3" t="s">
        <v>78</v>
      </c>
      <c r="B108" s="41">
        <v>0.75</v>
      </c>
    </row>
    <row r="109" spans="1:2" x14ac:dyDescent="0.2">
      <c r="A109" s="3" t="s">
        <v>79</v>
      </c>
      <c r="B109" s="7">
        <f t="shared" ref="B109" si="5">(1-B104)/(1-B104*(1-B105))</f>
        <v>0.90322580645161277</v>
      </c>
    </row>
    <row r="110" spans="1:2" x14ac:dyDescent="0.2">
      <c r="A110" s="3" t="s">
        <v>86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85662D3AE293449F9E4F56C291B3C8" ma:contentTypeVersion="0" ma:contentTypeDescription="Create a new document." ma:contentTypeScope="" ma:versionID="ec26f281a9d21884cd7cddb9e42ecf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D047E-9A51-49DC-AE9D-44BFD1D62966}"/>
</file>

<file path=customXml/itemProps2.xml><?xml version="1.0" encoding="utf-8"?>
<ds:datastoreItem xmlns:ds="http://schemas.openxmlformats.org/officeDocument/2006/customXml" ds:itemID="{10249F4E-34EA-4F46-9E50-FD4E21E990AF}"/>
</file>

<file path=customXml/itemProps3.xml><?xml version="1.0" encoding="utf-8"?>
<ds:datastoreItem xmlns:ds="http://schemas.openxmlformats.org/officeDocument/2006/customXml" ds:itemID="{E2945CD5-0B64-48A4-A5CE-942C573B9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Assumptions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Hall</dc:creator>
  <cp:lastModifiedBy>Tibell, Bjorn</cp:lastModifiedBy>
  <dcterms:created xsi:type="dcterms:W3CDTF">2015-01-23T18:30:39Z</dcterms:created>
  <dcterms:modified xsi:type="dcterms:W3CDTF">2015-05-20T07:09:56Z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0x0101005E85662D3AE293449F9E4F56C291B3C8</vt:lpwstr>
  </property>
</Properties>
</file>