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-19200" yWindow="-460" windowWidth="19200" windowHeight="21600" tabRatio="500" activeTab="2"/>
  </bookViews>
  <sheets>
    <sheet name="Energex" sheetId="1" r:id="rId1"/>
    <sheet name="Ergon Energy" sheetId="3" r:id="rId2"/>
    <sheet name="Price Generator" sheetId="6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2" i="6" l="1"/>
  <c r="I102" i="6"/>
  <c r="H103" i="6"/>
  <c r="I103" i="6"/>
  <c r="H104" i="6"/>
  <c r="I104" i="6"/>
  <c r="C102" i="6"/>
  <c r="D102" i="6"/>
  <c r="C103" i="6"/>
  <c r="D103" i="6"/>
  <c r="C104" i="6"/>
  <c r="D104" i="6"/>
  <c r="H80" i="6"/>
  <c r="I80" i="6"/>
  <c r="H81" i="6"/>
  <c r="I81" i="6"/>
  <c r="H82" i="6"/>
  <c r="I82" i="6"/>
  <c r="C80" i="6"/>
  <c r="D80" i="6"/>
  <c r="C81" i="6"/>
  <c r="D81" i="6"/>
  <c r="C82" i="6"/>
  <c r="D82" i="6"/>
  <c r="H58" i="6"/>
  <c r="I58" i="6"/>
  <c r="H59" i="6"/>
  <c r="I59" i="6"/>
  <c r="H60" i="6"/>
  <c r="I60" i="6"/>
  <c r="C58" i="6"/>
  <c r="D58" i="6"/>
  <c r="C59" i="6"/>
  <c r="D59" i="6"/>
  <c r="C60" i="6"/>
  <c r="D60" i="6"/>
  <c r="H36" i="6"/>
  <c r="I36" i="6"/>
  <c r="H37" i="6"/>
  <c r="I37" i="6"/>
  <c r="H38" i="6"/>
  <c r="I38" i="6"/>
  <c r="C36" i="6"/>
  <c r="D36" i="6"/>
  <c r="C37" i="6"/>
  <c r="D37" i="6"/>
  <c r="C38" i="6"/>
  <c r="D38" i="6"/>
  <c r="J102" i="6"/>
  <c r="E102" i="6"/>
  <c r="J80" i="6"/>
  <c r="E80" i="6"/>
  <c r="J58" i="6"/>
  <c r="E58" i="6"/>
  <c r="J36" i="6"/>
  <c r="E36" i="6"/>
  <c r="B4" i="6"/>
  <c r="E29" i="3"/>
  <c r="E31" i="3"/>
  <c r="E31" i="1"/>
  <c r="G4" i="1"/>
  <c r="D14" i="1"/>
  <c r="E27" i="1"/>
  <c r="G7" i="1"/>
  <c r="D16" i="1"/>
  <c r="E28" i="1"/>
  <c r="G8" i="1"/>
  <c r="D17" i="1"/>
  <c r="G10" i="1"/>
  <c r="D19" i="1"/>
  <c r="E29" i="1"/>
  <c r="E30" i="1"/>
  <c r="G5" i="1"/>
  <c r="E14" i="1"/>
  <c r="E32" i="1"/>
  <c r="G6" i="1"/>
  <c r="E15" i="1"/>
  <c r="D15" i="1"/>
  <c r="C20" i="1"/>
  <c r="E16" i="1"/>
  <c r="E20" i="1"/>
  <c r="E26" i="1"/>
  <c r="B20" i="1"/>
  <c r="E25" i="1"/>
  <c r="C29" i="1"/>
  <c r="D25" i="1"/>
  <c r="C26" i="1"/>
  <c r="E24" i="1"/>
  <c r="D24" i="1"/>
  <c r="C25" i="1"/>
  <c r="B25" i="1"/>
  <c r="B26" i="1"/>
  <c r="D26" i="1"/>
  <c r="C27" i="1"/>
  <c r="B27" i="1"/>
  <c r="D27" i="1"/>
  <c r="C28" i="1"/>
  <c r="B28" i="1"/>
  <c r="D28" i="1"/>
  <c r="B29" i="1"/>
  <c r="G9" i="1"/>
  <c r="D18" i="1"/>
  <c r="D29" i="1"/>
  <c r="F14" i="1"/>
  <c r="C31" i="1"/>
  <c r="D31" i="1"/>
  <c r="C32" i="1"/>
  <c r="D32" i="1"/>
  <c r="C33" i="1"/>
  <c r="D33" i="1"/>
  <c r="C31" i="3"/>
  <c r="D31" i="3"/>
  <c r="C32" i="3"/>
  <c r="D32" i="3"/>
  <c r="E4" i="6"/>
  <c r="E41" i="6"/>
  <c r="E42" i="6"/>
  <c r="E9" i="6"/>
  <c r="E47" i="6"/>
  <c r="C4" i="6"/>
  <c r="C41" i="6"/>
  <c r="C42" i="6"/>
  <c r="C9" i="6"/>
  <c r="C47" i="6"/>
  <c r="E59" i="6"/>
  <c r="E10" i="6"/>
  <c r="E48" i="6"/>
  <c r="D20" i="1"/>
  <c r="D4" i="6"/>
  <c r="D41" i="6"/>
  <c r="D42" i="6"/>
  <c r="D10" i="6"/>
  <c r="D48" i="6"/>
  <c r="E57" i="6"/>
  <c r="B41" i="6"/>
  <c r="B42" i="6"/>
  <c r="B11" i="1"/>
  <c r="C11" i="1"/>
  <c r="D11" i="1"/>
  <c r="E11" i="1"/>
  <c r="F11" i="1"/>
  <c r="G11" i="1"/>
  <c r="E14" i="3"/>
  <c r="G5" i="3"/>
  <c r="C11" i="3"/>
  <c r="D11" i="3"/>
  <c r="E11" i="3"/>
  <c r="F11" i="3"/>
  <c r="B11" i="3"/>
  <c r="E19" i="6"/>
  <c r="E20" i="6"/>
  <c r="E25" i="6"/>
  <c r="C19" i="6"/>
  <c r="C20" i="6"/>
  <c r="C25" i="6"/>
  <c r="E37" i="6"/>
  <c r="G11" i="3"/>
  <c r="E20" i="3"/>
  <c r="J4" i="6"/>
  <c r="J85" i="6"/>
  <c r="J86" i="6"/>
  <c r="J9" i="6"/>
  <c r="J91" i="6"/>
  <c r="H4" i="6"/>
  <c r="H85" i="6"/>
  <c r="H86" i="6"/>
  <c r="H9" i="6"/>
  <c r="H91" i="6"/>
  <c r="J103" i="6"/>
  <c r="E85" i="6"/>
  <c r="E86" i="6"/>
  <c r="E91" i="6"/>
  <c r="C85" i="6"/>
  <c r="C86" i="6"/>
  <c r="C91" i="6"/>
  <c r="E103" i="6"/>
  <c r="J63" i="6"/>
  <c r="J64" i="6"/>
  <c r="J69" i="6"/>
  <c r="H63" i="6"/>
  <c r="H64" i="6"/>
  <c r="H69" i="6"/>
  <c r="J81" i="6"/>
  <c r="E63" i="6"/>
  <c r="E64" i="6"/>
  <c r="E69" i="6"/>
  <c r="C63" i="6"/>
  <c r="C64" i="6"/>
  <c r="C69" i="6"/>
  <c r="E81" i="6"/>
  <c r="D63" i="6"/>
  <c r="D64" i="6"/>
  <c r="D5" i="6"/>
  <c r="D65" i="6"/>
  <c r="E5" i="6"/>
  <c r="E65" i="6"/>
  <c r="J41" i="6"/>
  <c r="J42" i="6"/>
  <c r="J47" i="6"/>
  <c r="H41" i="6"/>
  <c r="H42" i="6"/>
  <c r="H47" i="6"/>
  <c r="J59" i="6"/>
  <c r="J19" i="6"/>
  <c r="J20" i="6"/>
  <c r="J25" i="6"/>
  <c r="H19" i="6"/>
  <c r="H20" i="6"/>
  <c r="H25" i="6"/>
  <c r="J37" i="6"/>
  <c r="D9" i="6"/>
  <c r="E32" i="3"/>
  <c r="G9" i="3"/>
  <c r="D18" i="3"/>
  <c r="G4" i="3"/>
  <c r="D14" i="3"/>
  <c r="G6" i="3"/>
  <c r="E15" i="3"/>
  <c r="D15" i="3"/>
  <c r="G7" i="3"/>
  <c r="D16" i="3"/>
  <c r="E16" i="3"/>
  <c r="J6" i="6"/>
  <c r="J88" i="6"/>
  <c r="J7" i="6"/>
  <c r="J89" i="6"/>
  <c r="J8" i="6"/>
  <c r="J90" i="6"/>
  <c r="J10" i="6"/>
  <c r="J92" i="6"/>
  <c r="J5" i="6"/>
  <c r="J87" i="6"/>
  <c r="G8" i="3"/>
  <c r="D17" i="3"/>
  <c r="G10" i="3"/>
  <c r="D19" i="3"/>
  <c r="D20" i="3"/>
  <c r="I4" i="6"/>
  <c r="I85" i="6"/>
  <c r="I86" i="6"/>
  <c r="I6" i="6"/>
  <c r="I88" i="6"/>
  <c r="I7" i="6"/>
  <c r="I89" i="6"/>
  <c r="I8" i="6"/>
  <c r="I90" i="6"/>
  <c r="I9" i="6"/>
  <c r="I91" i="6"/>
  <c r="I10" i="6"/>
  <c r="I92" i="6"/>
  <c r="I5" i="6"/>
  <c r="I87" i="6"/>
  <c r="C20" i="3"/>
  <c r="H6" i="6"/>
  <c r="H88" i="6"/>
  <c r="H7" i="6"/>
  <c r="H89" i="6"/>
  <c r="H8" i="6"/>
  <c r="H90" i="6"/>
  <c r="H10" i="6"/>
  <c r="H92" i="6"/>
  <c r="H5" i="6"/>
  <c r="H87" i="6"/>
  <c r="B17" i="3"/>
  <c r="B20" i="3"/>
  <c r="G4" i="6"/>
  <c r="G85" i="6"/>
  <c r="G86" i="6"/>
  <c r="G6" i="6"/>
  <c r="G88" i="6"/>
  <c r="G7" i="6"/>
  <c r="G89" i="6"/>
  <c r="G8" i="6"/>
  <c r="G90" i="6"/>
  <c r="G9" i="6"/>
  <c r="G91" i="6"/>
  <c r="G10" i="6"/>
  <c r="G92" i="6"/>
  <c r="G5" i="6"/>
  <c r="G87" i="6"/>
  <c r="E6" i="6"/>
  <c r="E88" i="6"/>
  <c r="E7" i="6"/>
  <c r="E89" i="6"/>
  <c r="E8" i="6"/>
  <c r="E90" i="6"/>
  <c r="E92" i="6"/>
  <c r="E87" i="6"/>
  <c r="D85" i="6"/>
  <c r="D86" i="6"/>
  <c r="D6" i="6"/>
  <c r="D88" i="6"/>
  <c r="D7" i="6"/>
  <c r="D89" i="6"/>
  <c r="D8" i="6"/>
  <c r="D90" i="6"/>
  <c r="D91" i="6"/>
  <c r="D92" i="6"/>
  <c r="D87" i="6"/>
  <c r="C6" i="6"/>
  <c r="C88" i="6"/>
  <c r="C7" i="6"/>
  <c r="C89" i="6"/>
  <c r="C8" i="6"/>
  <c r="C90" i="6"/>
  <c r="C10" i="6"/>
  <c r="C92" i="6"/>
  <c r="C5" i="6"/>
  <c r="C87" i="6"/>
  <c r="B85" i="6"/>
  <c r="B86" i="6"/>
  <c r="B6" i="6"/>
  <c r="B88" i="6"/>
  <c r="B7" i="6"/>
  <c r="B89" i="6"/>
  <c r="B8" i="6"/>
  <c r="B90" i="6"/>
  <c r="B9" i="6"/>
  <c r="B91" i="6"/>
  <c r="B10" i="6"/>
  <c r="B92" i="6"/>
  <c r="B5" i="6"/>
  <c r="B87" i="6"/>
  <c r="J95" i="6"/>
  <c r="I95" i="6"/>
  <c r="J96" i="6"/>
  <c r="H96" i="6"/>
  <c r="G96" i="6"/>
  <c r="I96" i="6"/>
  <c r="J97" i="6"/>
  <c r="H97" i="6"/>
  <c r="G97" i="6"/>
  <c r="I97" i="6"/>
  <c r="J98" i="6"/>
  <c r="H98" i="6"/>
  <c r="G98" i="6"/>
  <c r="I98" i="6"/>
  <c r="J99" i="6"/>
  <c r="H99" i="6"/>
  <c r="G99" i="6"/>
  <c r="I99" i="6"/>
  <c r="J100" i="6"/>
  <c r="H100" i="6"/>
  <c r="G100" i="6"/>
  <c r="I100" i="6"/>
  <c r="J101" i="6"/>
  <c r="H101" i="6"/>
  <c r="G101" i="6"/>
  <c r="I101" i="6"/>
  <c r="G102" i="6"/>
  <c r="G103" i="6"/>
  <c r="G104" i="6"/>
  <c r="E95" i="6"/>
  <c r="D95" i="6"/>
  <c r="E96" i="6"/>
  <c r="C96" i="6"/>
  <c r="B96" i="6"/>
  <c r="D96" i="6"/>
  <c r="E97" i="6"/>
  <c r="C97" i="6"/>
  <c r="B97" i="6"/>
  <c r="D97" i="6"/>
  <c r="E98" i="6"/>
  <c r="C98" i="6"/>
  <c r="B98" i="6"/>
  <c r="D98" i="6"/>
  <c r="E99" i="6"/>
  <c r="C99" i="6"/>
  <c r="B99" i="6"/>
  <c r="D99" i="6"/>
  <c r="E100" i="6"/>
  <c r="C100" i="6"/>
  <c r="B100" i="6"/>
  <c r="D100" i="6"/>
  <c r="E101" i="6"/>
  <c r="C101" i="6"/>
  <c r="B101" i="6"/>
  <c r="D101" i="6"/>
  <c r="B102" i="6"/>
  <c r="B103" i="6"/>
  <c r="B104" i="6"/>
  <c r="J66" i="6"/>
  <c r="J67" i="6"/>
  <c r="J68" i="6"/>
  <c r="J70" i="6"/>
  <c r="J65" i="6"/>
  <c r="I63" i="6"/>
  <c r="I64" i="6"/>
  <c r="I66" i="6"/>
  <c r="I67" i="6"/>
  <c r="I68" i="6"/>
  <c r="I69" i="6"/>
  <c r="I70" i="6"/>
  <c r="I65" i="6"/>
  <c r="H66" i="6"/>
  <c r="H67" i="6"/>
  <c r="H68" i="6"/>
  <c r="H70" i="6"/>
  <c r="H65" i="6"/>
  <c r="G63" i="6"/>
  <c r="G64" i="6"/>
  <c r="G66" i="6"/>
  <c r="G67" i="6"/>
  <c r="G68" i="6"/>
  <c r="G69" i="6"/>
  <c r="G70" i="6"/>
  <c r="G65" i="6"/>
  <c r="E66" i="6"/>
  <c r="E67" i="6"/>
  <c r="E68" i="6"/>
  <c r="E70" i="6"/>
  <c r="D66" i="6"/>
  <c r="D67" i="6"/>
  <c r="D68" i="6"/>
  <c r="D69" i="6"/>
  <c r="D70" i="6"/>
  <c r="C66" i="6"/>
  <c r="C67" i="6"/>
  <c r="C68" i="6"/>
  <c r="C70" i="6"/>
  <c r="C65" i="6"/>
  <c r="B63" i="6"/>
  <c r="B64" i="6"/>
  <c r="B66" i="6"/>
  <c r="B67" i="6"/>
  <c r="B68" i="6"/>
  <c r="B69" i="6"/>
  <c r="B70" i="6"/>
  <c r="B65" i="6"/>
  <c r="J73" i="6"/>
  <c r="I73" i="6"/>
  <c r="J74" i="6"/>
  <c r="H74" i="6"/>
  <c r="G74" i="6"/>
  <c r="I74" i="6"/>
  <c r="J75" i="6"/>
  <c r="H75" i="6"/>
  <c r="G75" i="6"/>
  <c r="I75" i="6"/>
  <c r="J76" i="6"/>
  <c r="H76" i="6"/>
  <c r="G76" i="6"/>
  <c r="I76" i="6"/>
  <c r="J77" i="6"/>
  <c r="H77" i="6"/>
  <c r="G77" i="6"/>
  <c r="I77" i="6"/>
  <c r="J78" i="6"/>
  <c r="H78" i="6"/>
  <c r="G78" i="6"/>
  <c r="I78" i="6"/>
  <c r="J79" i="6"/>
  <c r="H79" i="6"/>
  <c r="G79" i="6"/>
  <c r="I79" i="6"/>
  <c r="G80" i="6"/>
  <c r="G81" i="6"/>
  <c r="G82" i="6"/>
  <c r="E73" i="6"/>
  <c r="D73" i="6"/>
  <c r="E74" i="6"/>
  <c r="C74" i="6"/>
  <c r="B74" i="6"/>
  <c r="D74" i="6"/>
  <c r="E75" i="6"/>
  <c r="C75" i="6"/>
  <c r="B75" i="6"/>
  <c r="D75" i="6"/>
  <c r="E76" i="6"/>
  <c r="C76" i="6"/>
  <c r="B76" i="6"/>
  <c r="D76" i="6"/>
  <c r="E77" i="6"/>
  <c r="C77" i="6"/>
  <c r="B77" i="6"/>
  <c r="D77" i="6"/>
  <c r="E78" i="6"/>
  <c r="C78" i="6"/>
  <c r="B78" i="6"/>
  <c r="D78" i="6"/>
  <c r="E79" i="6"/>
  <c r="C79" i="6"/>
  <c r="B79" i="6"/>
  <c r="D79" i="6"/>
  <c r="B80" i="6"/>
  <c r="B81" i="6"/>
  <c r="B82" i="6"/>
  <c r="J44" i="6"/>
  <c r="J45" i="6"/>
  <c r="J46" i="6"/>
  <c r="J48" i="6"/>
  <c r="J43" i="6"/>
  <c r="I41" i="6"/>
  <c r="I42" i="6"/>
  <c r="I44" i="6"/>
  <c r="I45" i="6"/>
  <c r="I46" i="6"/>
  <c r="I47" i="6"/>
  <c r="I48" i="6"/>
  <c r="I43" i="6"/>
  <c r="H44" i="6"/>
  <c r="H45" i="6"/>
  <c r="H46" i="6"/>
  <c r="H48" i="6"/>
  <c r="H43" i="6"/>
  <c r="G41" i="6"/>
  <c r="G42" i="6"/>
  <c r="G44" i="6"/>
  <c r="G45" i="6"/>
  <c r="G46" i="6"/>
  <c r="G47" i="6"/>
  <c r="G48" i="6"/>
  <c r="G43" i="6"/>
  <c r="E44" i="6"/>
  <c r="E45" i="6"/>
  <c r="E46" i="6"/>
  <c r="E43" i="6"/>
  <c r="D44" i="6"/>
  <c r="D45" i="6"/>
  <c r="D46" i="6"/>
  <c r="D47" i="6"/>
  <c r="D43" i="6"/>
  <c r="C44" i="6"/>
  <c r="C45" i="6"/>
  <c r="C46" i="6"/>
  <c r="C48" i="6"/>
  <c r="C43" i="6"/>
  <c r="B44" i="6"/>
  <c r="B45" i="6"/>
  <c r="B46" i="6"/>
  <c r="B47" i="6"/>
  <c r="B48" i="6"/>
  <c r="B43" i="6"/>
  <c r="I19" i="6"/>
  <c r="I20" i="6"/>
  <c r="G19" i="6"/>
  <c r="G20" i="6"/>
  <c r="B19" i="6"/>
  <c r="B20" i="6"/>
  <c r="E21" i="6"/>
  <c r="D19" i="6"/>
  <c r="D20" i="6"/>
  <c r="J51" i="6"/>
  <c r="I51" i="6"/>
  <c r="J52" i="6"/>
  <c r="H52" i="6"/>
  <c r="G52" i="6"/>
  <c r="I52" i="6"/>
  <c r="J53" i="6"/>
  <c r="H53" i="6"/>
  <c r="G53" i="6"/>
  <c r="I53" i="6"/>
  <c r="J54" i="6"/>
  <c r="H54" i="6"/>
  <c r="G54" i="6"/>
  <c r="I54" i="6"/>
  <c r="J29" i="6"/>
  <c r="I29" i="6"/>
  <c r="J55" i="6"/>
  <c r="H55" i="6"/>
  <c r="G55" i="6"/>
  <c r="I55" i="6"/>
  <c r="I21" i="6"/>
  <c r="H21" i="6"/>
  <c r="J32" i="6"/>
  <c r="I32" i="6"/>
  <c r="H32" i="6"/>
  <c r="J30" i="6"/>
  <c r="I30" i="6"/>
  <c r="H30" i="6"/>
  <c r="J56" i="6"/>
  <c r="H56" i="6"/>
  <c r="G56" i="6"/>
  <c r="I56" i="6"/>
  <c r="J57" i="6"/>
  <c r="H57" i="6"/>
  <c r="G57" i="6"/>
  <c r="I57" i="6"/>
  <c r="G58" i="6"/>
  <c r="G59" i="6"/>
  <c r="G60" i="6"/>
  <c r="E51" i="6"/>
  <c r="D51" i="6"/>
  <c r="E52" i="6"/>
  <c r="C52" i="6"/>
  <c r="B52" i="6"/>
  <c r="D52" i="6"/>
  <c r="E53" i="6"/>
  <c r="C53" i="6"/>
  <c r="B53" i="6"/>
  <c r="D53" i="6"/>
  <c r="E54" i="6"/>
  <c r="C54" i="6"/>
  <c r="B54" i="6"/>
  <c r="D54" i="6"/>
  <c r="E29" i="6"/>
  <c r="D29" i="6"/>
  <c r="E55" i="6"/>
  <c r="C55" i="6"/>
  <c r="B55" i="6"/>
  <c r="D55" i="6"/>
  <c r="D21" i="6"/>
  <c r="C21" i="6"/>
  <c r="E32" i="6"/>
  <c r="D32" i="6"/>
  <c r="C32" i="6"/>
  <c r="E30" i="6"/>
  <c r="D30" i="6"/>
  <c r="C30" i="6"/>
  <c r="E56" i="6"/>
  <c r="C56" i="6"/>
  <c r="B56" i="6"/>
  <c r="D56" i="6"/>
  <c r="C57" i="6"/>
  <c r="B57" i="6"/>
  <c r="D57" i="6"/>
  <c r="B58" i="6"/>
  <c r="B59" i="6"/>
  <c r="B60" i="6"/>
  <c r="G30" i="6"/>
  <c r="G31" i="6"/>
  <c r="G32" i="6"/>
  <c r="B30" i="6"/>
  <c r="B31" i="6"/>
  <c r="B32" i="6"/>
  <c r="J31" i="6"/>
  <c r="H31" i="6"/>
  <c r="I31" i="6"/>
  <c r="I23" i="6"/>
  <c r="H23" i="6"/>
  <c r="J33" i="6"/>
  <c r="H33" i="6"/>
  <c r="G33" i="6"/>
  <c r="I33" i="6"/>
  <c r="I26" i="6"/>
  <c r="H26" i="6"/>
  <c r="I25" i="6"/>
  <c r="I24" i="6"/>
  <c r="H24" i="6"/>
  <c r="I22" i="6"/>
  <c r="H22" i="6"/>
  <c r="J34" i="6"/>
  <c r="H34" i="6"/>
  <c r="G34" i="6"/>
  <c r="I34" i="6"/>
  <c r="J26" i="6"/>
  <c r="J35" i="6"/>
  <c r="H35" i="6"/>
  <c r="G35" i="6"/>
  <c r="I35" i="6"/>
  <c r="G36" i="6"/>
  <c r="G37" i="6"/>
  <c r="G38" i="6"/>
  <c r="J21" i="6"/>
  <c r="D25" i="6"/>
  <c r="E26" i="6"/>
  <c r="D26" i="6"/>
  <c r="E35" i="6"/>
  <c r="C26" i="6"/>
  <c r="D24" i="6"/>
  <c r="C24" i="6"/>
  <c r="D22" i="6"/>
  <c r="C22" i="6"/>
  <c r="E34" i="6"/>
  <c r="D23" i="6"/>
  <c r="C23" i="6"/>
  <c r="E33" i="6"/>
  <c r="E31" i="6"/>
  <c r="J22" i="6"/>
  <c r="J23" i="6"/>
  <c r="J24" i="6"/>
  <c r="G26" i="6"/>
  <c r="G22" i="6"/>
  <c r="G23" i="6"/>
  <c r="G24" i="6"/>
  <c r="G25" i="6"/>
  <c r="G21" i="6"/>
  <c r="E22" i="6"/>
  <c r="E23" i="6"/>
  <c r="E24" i="6"/>
  <c r="B22" i="6"/>
  <c r="B23" i="6"/>
  <c r="B24" i="6"/>
  <c r="B25" i="6"/>
  <c r="B26" i="6"/>
  <c r="B21" i="6"/>
  <c r="C31" i="6"/>
  <c r="D31" i="6"/>
  <c r="C33" i="6"/>
  <c r="B33" i="6"/>
  <c r="D33" i="6"/>
  <c r="C34" i="6"/>
  <c r="B34" i="6"/>
  <c r="D34" i="6"/>
  <c r="C35" i="6"/>
  <c r="B35" i="6"/>
  <c r="D35" i="6"/>
  <c r="B36" i="6"/>
  <c r="B37" i="6"/>
  <c r="B38" i="6"/>
  <c r="C30" i="1"/>
  <c r="B30" i="1"/>
  <c r="D30" i="1"/>
  <c r="B31" i="1"/>
  <c r="B32" i="1"/>
  <c r="B33" i="1"/>
  <c r="E30" i="3"/>
  <c r="E28" i="3"/>
  <c r="E27" i="3"/>
  <c r="E25" i="3"/>
  <c r="E24" i="3"/>
  <c r="D24" i="3"/>
  <c r="C25" i="3"/>
  <c r="B25" i="3"/>
  <c r="D25" i="3"/>
  <c r="E26" i="3"/>
  <c r="C26" i="3"/>
  <c r="B26" i="3"/>
  <c r="D26" i="3"/>
  <c r="C27" i="3"/>
  <c r="B27" i="3"/>
  <c r="D27" i="3"/>
  <c r="C28" i="3"/>
  <c r="B28" i="3"/>
  <c r="D28" i="3"/>
  <c r="C29" i="3"/>
  <c r="B29" i="3"/>
  <c r="D29" i="3"/>
  <c r="C30" i="3"/>
  <c r="B30" i="3"/>
  <c r="D30" i="3"/>
  <c r="B31" i="3"/>
  <c r="B32" i="3"/>
  <c r="B33" i="3"/>
</calcChain>
</file>

<file path=xl/sharedStrings.xml><?xml version="1.0" encoding="utf-8"?>
<sst xmlns="http://schemas.openxmlformats.org/spreadsheetml/2006/main" count="218" uniqueCount="76">
  <si>
    <t>Return on Capital</t>
  </si>
  <si>
    <t>Operating expenditure</t>
  </si>
  <si>
    <t>Regulatory depreciation</t>
  </si>
  <si>
    <t>Revenue adjustments</t>
  </si>
  <si>
    <t>Net tax allowance</t>
  </si>
  <si>
    <t>Annual revenue requirement (unsmoothed)</t>
  </si>
  <si>
    <t>Additional amounts in DUOS</t>
  </si>
  <si>
    <t>Alliance Proposed Revenues for Energex: 2015-20 ($million, nominal)</t>
  </si>
  <si>
    <t>2015-16</t>
  </si>
  <si>
    <t>2016-17</t>
  </si>
  <si>
    <t>2017-18</t>
  </si>
  <si>
    <t>2018-19</t>
  </si>
  <si>
    <t>2019-20</t>
  </si>
  <si>
    <t>Alliance Proposed Revenues for Ergon Energy: 2015-20 ($million, nominal)</t>
  </si>
  <si>
    <t>Comparison of Proposed Revenues for Energex: 2015-20 ($million, nominal)</t>
  </si>
  <si>
    <t>Energex (Regulatory Proposal)</t>
  </si>
  <si>
    <t>AER (Preliminary Decision)</t>
  </si>
  <si>
    <t>Total</t>
  </si>
  <si>
    <t>Comparison of Proposed Revenues for Ergon Energy 2015-20 ($million, nominal)</t>
  </si>
  <si>
    <t>Ergon Energy (Regulatory Proposal)</t>
  </si>
  <si>
    <t>Alliance Proposal for QLD Government (Energex)</t>
  </si>
  <si>
    <t>Alliance Proposal for QLD Government (Ergon Energy)</t>
  </si>
  <si>
    <t>AER Preliminary Decision</t>
  </si>
  <si>
    <t>Energex Revenue Waterfall</t>
  </si>
  <si>
    <t>Ergon Energy Revenue Waterfall</t>
  </si>
  <si>
    <t>Base</t>
  </si>
  <si>
    <t>Fall</t>
  </si>
  <si>
    <t>Rise</t>
  </si>
  <si>
    <t>Flow</t>
  </si>
  <si>
    <t>Ergon Energy Proposal</t>
  </si>
  <si>
    <t>Less AER Preliminary Decision</t>
  </si>
  <si>
    <t>Less inflated WACC</t>
  </si>
  <si>
    <t>Less inefficient OPEX</t>
  </si>
  <si>
    <t>Less Other Amounts</t>
  </si>
  <si>
    <t>Less Gold Plating</t>
  </si>
  <si>
    <t>Less Tax Allowance</t>
  </si>
  <si>
    <t>Less 44c Solar FiT</t>
  </si>
  <si>
    <t>Efficent Price</t>
  </si>
  <si>
    <t>Energex Proposal</t>
  </si>
  <si>
    <t>Alliance Submission to AER (Ergon Energy)</t>
  </si>
  <si>
    <t>Alliance Submission to AER (Energex)</t>
  </si>
  <si>
    <t>Ergon Energy Regulatory Proposal</t>
  </si>
  <si>
    <t>Total Revenues</t>
  </si>
  <si>
    <t>Energex Regulatory Proposal</t>
  </si>
  <si>
    <t>Alliance Efficient Price Only (Ergon Energy)</t>
  </si>
  <si>
    <t>Alliance Efficient Price Only (Energex)</t>
  </si>
  <si>
    <t>AVERAGE Annual Revenue Requirement (unsmoothed) ($million, nominal)</t>
  </si>
  <si>
    <t>Proportion of revenues</t>
  </si>
  <si>
    <t>Residential</t>
  </si>
  <si>
    <t>Small Business</t>
  </si>
  <si>
    <t>Large Business</t>
  </si>
  <si>
    <t>Industrial</t>
  </si>
  <si>
    <t>Energex</t>
  </si>
  <si>
    <t>Ergon</t>
  </si>
  <si>
    <t>Customer Numbers</t>
  </si>
  <si>
    <t>Residential Annual Network Charge</t>
  </si>
  <si>
    <t>Regulatory Proposal</t>
  </si>
  <si>
    <t>Residential Waterfall (Energex)</t>
  </si>
  <si>
    <t>Residential Waterfall (Ergon Energy)</t>
  </si>
  <si>
    <t>Average Consumption</t>
  </si>
  <si>
    <t>Small Business Annual Network Charge</t>
  </si>
  <si>
    <t>Effective price (C/kWh)</t>
  </si>
  <si>
    <t>Total bill ($/year)</t>
  </si>
  <si>
    <t>Typical Consumers</t>
  </si>
  <si>
    <t>Average Annual Consumption</t>
  </si>
  <si>
    <t>Irrigators (Ergon Energy)</t>
  </si>
  <si>
    <t>Industrial (Ergon Energy)</t>
  </si>
  <si>
    <t>Small Business Waterfall (Energex)</t>
  </si>
  <si>
    <t>Small Business Waterfall (Ergon Energy)</t>
  </si>
  <si>
    <t>IrrigatorAnnual Network Charge</t>
  </si>
  <si>
    <t>Irrigator Waterfall (Energex)</t>
  </si>
  <si>
    <t>Irrigator Waterfall (Ergon Energy)</t>
  </si>
  <si>
    <t>Industrial Annual Network Charge</t>
  </si>
  <si>
    <t>Industrial Waterfall (Energex)</t>
  </si>
  <si>
    <t>Industrial Waterfall (Ergon Energy)</t>
  </si>
  <si>
    <t>ROC with Optimised RAB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</si>
</sst>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Book"/>
    </font>
    <font>
      <sz val="10"/>
      <color theme="1"/>
      <name val="Avenir Black"/>
    </font>
    <font>
      <b/>
      <sz val="10"/>
      <color theme="1"/>
      <name val="Avenir Black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7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164" fontId="5" fillId="0" borderId="0" xfId="1" applyNumberFormat="1" applyFont="1"/>
    <xf numFmtId="164" fontId="5" fillId="0" borderId="0" xfId="0" applyNumberFormat="1" applyFont="1"/>
    <xf numFmtId="0" fontId="7" fillId="0" borderId="0" xfId="0" applyFont="1"/>
    <xf numFmtId="164" fontId="7" fillId="0" borderId="0" xfId="1" applyNumberFormat="1" applyFont="1"/>
    <xf numFmtId="164" fontId="5" fillId="0" borderId="1" xfId="1" applyNumberFormat="1" applyFont="1" applyFill="1" applyBorder="1"/>
    <xf numFmtId="164" fontId="5" fillId="0" borderId="2" xfId="1" applyNumberFormat="1" applyFont="1" applyFill="1" applyBorder="1"/>
    <xf numFmtId="164" fontId="5" fillId="0" borderId="3" xfId="1" applyNumberFormat="1" applyFont="1" applyFill="1" applyBorder="1"/>
    <xf numFmtId="164" fontId="6" fillId="0" borderId="0" xfId="1" applyNumberFormat="1" applyFont="1"/>
    <xf numFmtId="9" fontId="5" fillId="0" borderId="0" xfId="0" applyNumberFormat="1" applyFont="1"/>
    <xf numFmtId="9" fontId="5" fillId="0" borderId="0" xfId="34" applyFont="1"/>
    <xf numFmtId="43" fontId="5" fillId="0" borderId="0" xfId="1" applyNumberFormat="1" applyFont="1"/>
    <xf numFmtId="0" fontId="5" fillId="0" borderId="4" xfId="0" applyFont="1" applyBorder="1"/>
    <xf numFmtId="164" fontId="5" fillId="0" borderId="4" xfId="1" applyNumberFormat="1" applyFont="1" applyBorder="1"/>
    <xf numFmtId="164" fontId="5" fillId="0" borderId="0" xfId="1" applyNumberFormat="1" applyFont="1" applyFill="1"/>
    <xf numFmtId="164" fontId="5" fillId="0" borderId="0" xfId="0" applyNumberFormat="1" applyFont="1" applyFill="1"/>
    <xf numFmtId="0" fontId="5" fillId="0" borderId="0" xfId="0" applyFont="1" applyAlignment="1">
      <alignment horizontal="left" indent="1"/>
    </xf>
    <xf numFmtId="164" fontId="5" fillId="0" borderId="0" xfId="1" applyNumberFormat="1" applyFont="1" applyFill="1" applyAlignment="1">
      <alignment horizontal="left" indent="1"/>
    </xf>
    <xf numFmtId="164" fontId="7" fillId="0" borderId="0" xfId="1" applyNumberFormat="1" applyFont="1" applyFill="1"/>
    <xf numFmtId="0" fontId="5" fillId="0" borderId="0" xfId="0" applyFont="1" applyFill="1"/>
    <xf numFmtId="164" fontId="6" fillId="0" borderId="0" xfId="0" applyNumberFormat="1" applyFont="1" applyFill="1"/>
  </cellXfs>
  <cellStyles count="167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Normal" xfId="0" builtinId="0"/>
    <cellStyle name="Percent" xfId="34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Energex Annual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Revenue Requirement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Ergon Energy Annual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Revenue Requirement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558800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4864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Price Generator</a:t>
          </a: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2" workbookViewId="0">
      <selection activeCell="B24" sqref="B24:E33"/>
    </sheetView>
  </sheetViews>
  <sheetFormatPr baseColWidth="10" defaultRowHeight="15" x14ac:dyDescent="0"/>
  <cols>
    <col min="1" max="1" width="15.6640625" style="1" bestFit="1" customWidth="1"/>
    <col min="2" max="16384" width="10.83203125" style="1"/>
  </cols>
  <sheetData>
    <row r="1" spans="1:7" ht="65" customHeight="1"/>
    <row r="2" spans="1:7">
      <c r="A2" s="2"/>
    </row>
    <row r="3" spans="1:7">
      <c r="A3" s="2" t="s">
        <v>7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17</v>
      </c>
    </row>
    <row r="4" spans="1:7">
      <c r="A4" s="1" t="s">
        <v>0</v>
      </c>
      <c r="B4" s="16">
        <v>339.84539999999998</v>
      </c>
      <c r="C4" s="16">
        <v>352.38220799999999</v>
      </c>
      <c r="D4" s="16">
        <v>363.45191199999999</v>
      </c>
      <c r="E4" s="16">
        <v>374.18371999999999</v>
      </c>
      <c r="F4" s="16">
        <v>382.07951199999997</v>
      </c>
      <c r="G4" s="3">
        <f t="shared" ref="G4:G10" si="0">SUM(B4:F4)</f>
        <v>1811.9427519999999</v>
      </c>
    </row>
    <row r="5" spans="1:7">
      <c r="A5" s="18" t="s">
        <v>75</v>
      </c>
      <c r="B5" s="16">
        <v>157.09472816109866</v>
      </c>
      <c r="C5" s="16">
        <v>157.27938501880755</v>
      </c>
      <c r="D5" s="16">
        <v>157.46404187651638</v>
      </c>
      <c r="E5" s="16">
        <v>157.64869873422521</v>
      </c>
      <c r="F5" s="16">
        <v>157.83335559193409</v>
      </c>
      <c r="G5" s="3">
        <f t="shared" si="0"/>
        <v>787.32020938258188</v>
      </c>
    </row>
    <row r="6" spans="1:7">
      <c r="A6" s="1" t="s">
        <v>2</v>
      </c>
      <c r="B6" s="16">
        <v>-166.45078537844941</v>
      </c>
      <c r="C6" s="16">
        <v>-172.63699809889886</v>
      </c>
      <c r="D6" s="16">
        <v>-178.83727747748395</v>
      </c>
      <c r="E6" s="16">
        <v>-185.05162351420481</v>
      </c>
      <c r="F6" s="16">
        <v>-191.28003620906139</v>
      </c>
      <c r="G6" s="3">
        <f t="shared" si="0"/>
        <v>-894.25672067809842</v>
      </c>
    </row>
    <row r="7" spans="1:7">
      <c r="A7" s="1" t="s">
        <v>1</v>
      </c>
      <c r="B7" s="3">
        <v>233.8596</v>
      </c>
      <c r="C7" s="3">
        <v>239.71920000000003</v>
      </c>
      <c r="D7" s="3">
        <v>245.57880000000003</v>
      </c>
      <c r="E7" s="3">
        <v>251.43840000000006</v>
      </c>
      <c r="F7" s="3">
        <v>257.29800000000006</v>
      </c>
      <c r="G7" s="3">
        <f t="shared" si="0"/>
        <v>1227.894</v>
      </c>
    </row>
    <row r="8" spans="1:7">
      <c r="A8" s="1" t="s">
        <v>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0</v>
      </c>
    </row>
    <row r="9" spans="1:7">
      <c r="A9" s="1" t="s">
        <v>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f t="shared" si="0"/>
        <v>0</v>
      </c>
    </row>
    <row r="10" spans="1:7">
      <c r="A10" s="1" t="s">
        <v>6</v>
      </c>
      <c r="B10" s="3">
        <v>451.79999999999995</v>
      </c>
      <c r="C10" s="3">
        <v>420.70000000000005</v>
      </c>
      <c r="D10" s="3">
        <v>181.7</v>
      </c>
      <c r="E10" s="3">
        <v>174.4</v>
      </c>
      <c r="F10" s="3">
        <v>167.4</v>
      </c>
      <c r="G10" s="3">
        <f t="shared" si="0"/>
        <v>1396.0000000000002</v>
      </c>
    </row>
    <row r="11" spans="1:7">
      <c r="A11" s="5" t="s">
        <v>5</v>
      </c>
      <c r="B11" s="6">
        <f>B4+B6+B7+B8+B9+B10</f>
        <v>859.0542146215505</v>
      </c>
      <c r="C11" s="6">
        <f t="shared" ref="C11:F11" si="1">C4+C6+C7+C8+C9+C10</f>
        <v>840.16440990110118</v>
      </c>
      <c r="D11" s="6">
        <f t="shared" si="1"/>
        <v>611.89343452251615</v>
      </c>
      <c r="E11" s="6">
        <f t="shared" si="1"/>
        <v>614.97049648579525</v>
      </c>
      <c r="F11" s="6">
        <f t="shared" si="1"/>
        <v>615.49747579093867</v>
      </c>
      <c r="G11" s="6">
        <f>B11+C11+D11+E11+F11</f>
        <v>3541.5800313219015</v>
      </c>
    </row>
    <row r="13" spans="1:7">
      <c r="A13" s="2" t="s">
        <v>14</v>
      </c>
      <c r="B13" s="2" t="s">
        <v>15</v>
      </c>
      <c r="C13" s="2" t="s">
        <v>16</v>
      </c>
      <c r="D13" s="2" t="s">
        <v>40</v>
      </c>
      <c r="E13" s="2" t="s">
        <v>20</v>
      </c>
    </row>
    <row r="14" spans="1:7">
      <c r="A14" s="1" t="s">
        <v>0</v>
      </c>
      <c r="B14" s="16">
        <v>4843.8999999999996</v>
      </c>
      <c r="C14" s="16">
        <v>3558.1</v>
      </c>
      <c r="D14" s="16">
        <f>G4</f>
        <v>1811.9427519999999</v>
      </c>
      <c r="E14" s="17">
        <f>G5</f>
        <v>787.32020938258188</v>
      </c>
      <c r="F14" s="4">
        <f>D14-E14</f>
        <v>1024.622542617418</v>
      </c>
    </row>
    <row r="15" spans="1:7">
      <c r="A15" s="1" t="s">
        <v>2</v>
      </c>
      <c r="B15" s="16">
        <v>501.7</v>
      </c>
      <c r="C15" s="16">
        <v>455.4</v>
      </c>
      <c r="D15" s="16">
        <f>C15</f>
        <v>455.4</v>
      </c>
      <c r="E15" s="16">
        <f>ABS(G6)</f>
        <v>894.25672067809842</v>
      </c>
    </row>
    <row r="16" spans="1:7">
      <c r="A16" s="1" t="s">
        <v>1</v>
      </c>
      <c r="B16" s="16">
        <v>1876.6</v>
      </c>
      <c r="C16" s="16">
        <v>1877</v>
      </c>
      <c r="D16" s="16">
        <f t="shared" ref="D16:D19" si="2">G7</f>
        <v>1227.894</v>
      </c>
      <c r="E16" s="17">
        <f>D16</f>
        <v>1227.894</v>
      </c>
    </row>
    <row r="17" spans="1:7">
      <c r="A17" s="1" t="s">
        <v>3</v>
      </c>
      <c r="B17" s="16">
        <v>508.2</v>
      </c>
      <c r="C17" s="16">
        <v>354.4</v>
      </c>
      <c r="D17" s="16">
        <f t="shared" si="2"/>
        <v>0</v>
      </c>
      <c r="E17" s="16">
        <v>0</v>
      </c>
    </row>
    <row r="18" spans="1:7">
      <c r="A18" s="1" t="s">
        <v>4</v>
      </c>
      <c r="B18" s="16">
        <v>602.29999999999995</v>
      </c>
      <c r="C18" s="16">
        <v>242.4</v>
      </c>
      <c r="D18" s="16">
        <f t="shared" si="2"/>
        <v>0</v>
      </c>
      <c r="E18" s="16">
        <v>0</v>
      </c>
    </row>
    <row r="19" spans="1:7">
      <c r="A19" s="1" t="s">
        <v>6</v>
      </c>
      <c r="B19" s="16">
        <v>1400.5</v>
      </c>
      <c r="C19" s="16">
        <v>1603.8</v>
      </c>
      <c r="D19" s="16">
        <f t="shared" si="2"/>
        <v>1396.0000000000002</v>
      </c>
      <c r="E19" s="16">
        <v>0</v>
      </c>
    </row>
    <row r="20" spans="1:7">
      <c r="A20" s="5" t="s">
        <v>5</v>
      </c>
      <c r="B20" s="20">
        <f t="shared" ref="B20:C20" si="3">SUM(B14:B19)</f>
        <v>9733.1999999999989</v>
      </c>
      <c r="C20" s="20">
        <f t="shared" si="3"/>
        <v>8091.0999999999995</v>
      </c>
      <c r="D20" s="20">
        <f>SUM(D14:D19)</f>
        <v>4891.2367519999998</v>
      </c>
      <c r="E20" s="22">
        <f>E19+E18+E17+E16+E15+E14</f>
        <v>2909.4709300606801</v>
      </c>
    </row>
    <row r="21" spans="1:7">
      <c r="B21" s="21"/>
      <c r="C21" s="21"/>
      <c r="D21" s="21"/>
      <c r="E21" s="21"/>
    </row>
    <row r="22" spans="1:7">
      <c r="A22" s="2" t="s">
        <v>23</v>
      </c>
      <c r="B22" s="21"/>
      <c r="C22" s="21"/>
      <c r="D22" s="21"/>
      <c r="E22" s="21"/>
    </row>
    <row r="23" spans="1:7">
      <c r="A23" s="2"/>
      <c r="B23" s="21" t="s">
        <v>25</v>
      </c>
      <c r="C23" s="21" t="s">
        <v>26</v>
      </c>
      <c r="D23" s="21" t="s">
        <v>27</v>
      </c>
      <c r="E23" s="21" t="s">
        <v>28</v>
      </c>
    </row>
    <row r="24" spans="1:7">
      <c r="A24" s="1" t="s">
        <v>38</v>
      </c>
      <c r="B24" s="16"/>
      <c r="C24" s="16"/>
      <c r="D24" s="16">
        <f>IF(E24&gt;0,E24,0)</f>
        <v>9733.1999999999989</v>
      </c>
      <c r="E24" s="16">
        <f>B20</f>
        <v>9733.1999999999989</v>
      </c>
    </row>
    <row r="25" spans="1:7">
      <c r="A25" s="1" t="s">
        <v>30</v>
      </c>
      <c r="B25" s="16">
        <f>B24+D24-C25</f>
        <v>8091.0999999999995</v>
      </c>
      <c r="C25" s="16">
        <f>IF(E25&lt;=0,-E25,0)</f>
        <v>1642.0999999999995</v>
      </c>
      <c r="D25" s="16">
        <f t="shared" ref="D25:D26" si="4">IF(E25&gt;0,E25,0)</f>
        <v>0</v>
      </c>
      <c r="E25" s="16">
        <f>C20-B20</f>
        <v>-1642.0999999999995</v>
      </c>
    </row>
    <row r="26" spans="1:7">
      <c r="A26" s="1" t="s">
        <v>22</v>
      </c>
      <c r="B26" s="16">
        <f>B25+D25-C26</f>
        <v>8091.0999999999995</v>
      </c>
      <c r="C26" s="16">
        <f t="shared" ref="C26" si="5">IF(E26&lt;=0,-E26,0)</f>
        <v>0</v>
      </c>
      <c r="D26" s="16">
        <f t="shared" si="4"/>
        <v>0</v>
      </c>
      <c r="E26" s="16">
        <f>0</f>
        <v>0</v>
      </c>
      <c r="F26" s="21"/>
      <c r="G26" s="17"/>
    </row>
    <row r="27" spans="1:7">
      <c r="A27" s="1" t="s">
        <v>31</v>
      </c>
      <c r="B27" s="16">
        <f t="shared" ref="B27:B33" si="6">B26+D26-C27</f>
        <v>6344.942751999999</v>
      </c>
      <c r="C27" s="16">
        <f>IF(E27&lt;=0,-E27,0)</f>
        <v>1746.157248</v>
      </c>
      <c r="D27" s="16">
        <f>IF(E27&gt;0,E27,0)</f>
        <v>0</v>
      </c>
      <c r="E27" s="16">
        <f>D14-C14</f>
        <v>-1746.157248</v>
      </c>
      <c r="F27" s="17"/>
      <c r="G27" s="17"/>
    </row>
    <row r="28" spans="1:7">
      <c r="A28" s="1" t="s">
        <v>32</v>
      </c>
      <c r="B28" s="16">
        <f t="shared" si="6"/>
        <v>5695.8367519999993</v>
      </c>
      <c r="C28" s="16">
        <f>IF(E28&lt;=0,-E28,0)</f>
        <v>649.10599999999999</v>
      </c>
      <c r="D28" s="16">
        <f>IF(E28&gt;0,E28,0)</f>
        <v>0</v>
      </c>
      <c r="E28" s="16">
        <f>D16-C16</f>
        <v>-649.10599999999999</v>
      </c>
      <c r="F28" s="17"/>
      <c r="G28" s="17"/>
    </row>
    <row r="29" spans="1:7">
      <c r="A29" s="1" t="s">
        <v>33</v>
      </c>
      <c r="B29" s="16">
        <f t="shared" si="6"/>
        <v>5133.6367519999994</v>
      </c>
      <c r="C29" s="16">
        <f>IF(E29&lt;=0,-E29,0)</f>
        <v>562.19999999999959</v>
      </c>
      <c r="D29" s="16">
        <f>IF(E29&gt;0,E29,0)</f>
        <v>0</v>
      </c>
      <c r="E29" s="16">
        <f>D17-C17+D19-C19</f>
        <v>-562.19999999999959</v>
      </c>
      <c r="F29" s="17"/>
      <c r="G29" s="17"/>
    </row>
    <row r="30" spans="1:7">
      <c r="A30" s="1" t="s">
        <v>36</v>
      </c>
      <c r="B30" s="16">
        <f>B29+D29-C30</f>
        <v>3737.6367519999994</v>
      </c>
      <c r="C30" s="16">
        <f>IF(E30&lt;=0,-E30,0)</f>
        <v>1396.0000000000002</v>
      </c>
      <c r="D30" s="16">
        <f>IF(E30&gt;0,E30,0)</f>
        <v>0</v>
      </c>
      <c r="E30" s="16">
        <f>E19-D19</f>
        <v>-1396.0000000000002</v>
      </c>
      <c r="F30" s="17"/>
      <c r="G30" s="17"/>
    </row>
    <row r="31" spans="1:7">
      <c r="A31" s="1" t="s">
        <v>34</v>
      </c>
      <c r="B31" s="16">
        <f t="shared" si="6"/>
        <v>3151.8709300606797</v>
      </c>
      <c r="C31" s="16">
        <f>IF(E31&lt;=0,-E31,0)</f>
        <v>585.76582193931961</v>
      </c>
      <c r="D31" s="16">
        <f>IF(E31&gt;0,E31,0)</f>
        <v>0</v>
      </c>
      <c r="E31" s="17">
        <f>E14-D14+E15-D15</f>
        <v>-585.76582193931961</v>
      </c>
      <c r="F31" s="17"/>
      <c r="G31" s="17"/>
    </row>
    <row r="32" spans="1:7">
      <c r="A32" s="1" t="s">
        <v>35</v>
      </c>
      <c r="B32" s="16">
        <f t="shared" si="6"/>
        <v>2909.4709300606796</v>
      </c>
      <c r="C32" s="16">
        <f>IF(E32&lt;=0,-E32,0)</f>
        <v>242.4</v>
      </c>
      <c r="D32" s="16">
        <f>IF(E32&gt;0,E32,0)</f>
        <v>0</v>
      </c>
      <c r="E32" s="17">
        <f>E18-C18</f>
        <v>-242.4</v>
      </c>
      <c r="F32" s="17"/>
      <c r="G32" s="17"/>
    </row>
    <row r="33" spans="1:7">
      <c r="A33" s="1" t="s">
        <v>37</v>
      </c>
      <c r="B33" s="16">
        <f t="shared" si="6"/>
        <v>2909.4709300606796</v>
      </c>
      <c r="C33" s="16">
        <f t="shared" ref="C33" si="7">IF(E33&lt;=0,-E33,0)</f>
        <v>0</v>
      </c>
      <c r="D33" s="16">
        <f t="shared" ref="D33" si="8">IF(E33&gt;0,E33,0)</f>
        <v>0</v>
      </c>
      <c r="E33" s="21"/>
      <c r="F33" s="17"/>
      <c r="G33" s="21"/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8" workbookViewId="0">
      <selection activeCell="B14" sqref="B14"/>
    </sheetView>
  </sheetViews>
  <sheetFormatPr baseColWidth="10" defaultRowHeight="15" x14ac:dyDescent="0"/>
  <cols>
    <col min="1" max="1" width="15.6640625" style="1" bestFit="1" customWidth="1"/>
    <col min="2" max="2" width="10.83203125" style="1"/>
    <col min="3" max="3" width="12.1640625" style="1" bestFit="1" customWidth="1"/>
    <col min="4" max="16384" width="10.83203125" style="1"/>
  </cols>
  <sheetData>
    <row r="1" spans="1:7" ht="65" customHeight="1"/>
    <row r="2" spans="1:7">
      <c r="A2" s="2"/>
    </row>
    <row r="3" spans="1:7">
      <c r="A3" s="2" t="s">
        <v>13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2" t="s">
        <v>17</v>
      </c>
    </row>
    <row r="4" spans="1:7">
      <c r="A4" s="1" t="s">
        <v>0</v>
      </c>
      <c r="B4" s="16">
        <v>304.71287999999998</v>
      </c>
      <c r="C4" s="16">
        <v>316.27931999999998</v>
      </c>
      <c r="D4" s="16">
        <v>325.382296</v>
      </c>
      <c r="E4" s="16">
        <v>333.13657599999999</v>
      </c>
      <c r="F4" s="16">
        <v>340.02445599999999</v>
      </c>
      <c r="G4" s="3">
        <f>SUM(B4:F4)</f>
        <v>1619.5355279999999</v>
      </c>
    </row>
    <row r="5" spans="1:7" s="18" customFormat="1">
      <c r="A5" s="18" t="s">
        <v>75</v>
      </c>
      <c r="B5" s="19">
        <v>139.10994898933598</v>
      </c>
      <c r="C5" s="19">
        <v>139.42147871767762</v>
      </c>
      <c r="D5" s="19">
        <v>139.73300844601917</v>
      </c>
      <c r="E5" s="19">
        <v>140.04453817436078</v>
      </c>
      <c r="F5" s="19">
        <v>140.35606790270236</v>
      </c>
      <c r="G5" s="3">
        <f>SUM(B5:F5)</f>
        <v>698.66504223009588</v>
      </c>
    </row>
    <row r="6" spans="1:7">
      <c r="A6" s="1" t="s">
        <v>2</v>
      </c>
      <c r="B6" s="16">
        <v>-147.3948905496427</v>
      </c>
      <c r="C6" s="16">
        <v>-153.03534886947298</v>
      </c>
      <c r="D6" s="16">
        <v>-158.69953867830432</v>
      </c>
      <c r="E6" s="16">
        <v>-164.3874599761368</v>
      </c>
      <c r="F6" s="16">
        <v>-170.09911276297032</v>
      </c>
      <c r="G6" s="3">
        <f t="shared" ref="G6:G10" si="0">SUM(B6:F6)</f>
        <v>-793.61635083652709</v>
      </c>
    </row>
    <row r="7" spans="1:7">
      <c r="A7" s="1" t="s">
        <v>1</v>
      </c>
      <c r="B7" s="7">
        <v>201.03720000000001</v>
      </c>
      <c r="C7" s="8">
        <v>206.07440000000003</v>
      </c>
      <c r="D7" s="8">
        <v>211.11160000000004</v>
      </c>
      <c r="E7" s="8">
        <v>216.14880000000005</v>
      </c>
      <c r="F7" s="9">
        <v>221.18600000000006</v>
      </c>
      <c r="G7" s="3">
        <f>SUM(B7:F7)</f>
        <v>1055.5580000000002</v>
      </c>
    </row>
    <row r="8" spans="1:7">
      <c r="A8" s="1" t="s">
        <v>3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f t="shared" si="0"/>
        <v>0</v>
      </c>
    </row>
    <row r="9" spans="1:7">
      <c r="A9" s="1" t="s">
        <v>4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f t="shared" si="0"/>
        <v>0</v>
      </c>
    </row>
    <row r="10" spans="1:7">
      <c r="A10" s="1" t="s">
        <v>6</v>
      </c>
      <c r="B10" s="3">
        <v>245.43</v>
      </c>
      <c r="C10" s="3">
        <v>231.22</v>
      </c>
      <c r="D10" s="3">
        <v>104.9</v>
      </c>
      <c r="E10" s="3">
        <v>102.1</v>
      </c>
      <c r="F10" s="3">
        <v>99.2</v>
      </c>
      <c r="G10" s="3">
        <f t="shared" si="0"/>
        <v>782.85</v>
      </c>
    </row>
    <row r="11" spans="1:7">
      <c r="A11" s="2" t="s">
        <v>5</v>
      </c>
      <c r="B11" s="10">
        <f>B4+B6+B7+B8+B9+B10</f>
        <v>603.78518945035739</v>
      </c>
      <c r="C11" s="10">
        <f t="shared" ref="C11:F11" si="1">C4+C6+C7+C8+C9+C10</f>
        <v>600.53837113052703</v>
      </c>
      <c r="D11" s="10">
        <f t="shared" si="1"/>
        <v>482.69435732169575</v>
      </c>
      <c r="E11" s="10">
        <f t="shared" si="1"/>
        <v>486.99791602386324</v>
      </c>
      <c r="F11" s="10">
        <f t="shared" si="1"/>
        <v>490.31134323702969</v>
      </c>
      <c r="G11" s="10">
        <f>SUM(B11:F11)</f>
        <v>2664.3271771634732</v>
      </c>
    </row>
    <row r="13" spans="1:7">
      <c r="A13" s="2" t="s">
        <v>18</v>
      </c>
      <c r="B13" s="2" t="s">
        <v>19</v>
      </c>
      <c r="C13" s="2" t="s">
        <v>16</v>
      </c>
      <c r="D13" s="2" t="s">
        <v>39</v>
      </c>
      <c r="E13" s="2" t="s">
        <v>21</v>
      </c>
    </row>
    <row r="14" spans="1:7">
      <c r="A14" s="1" t="s">
        <v>0</v>
      </c>
      <c r="B14" s="3">
        <v>4487.8</v>
      </c>
      <c r="C14" s="3">
        <v>3181.7</v>
      </c>
      <c r="D14" s="16">
        <f>G4</f>
        <v>1619.5355279999999</v>
      </c>
      <c r="E14" s="17">
        <f>G5</f>
        <v>698.66504223009588</v>
      </c>
    </row>
    <row r="15" spans="1:7">
      <c r="A15" s="1" t="s">
        <v>2</v>
      </c>
      <c r="B15" s="3">
        <v>903.9</v>
      </c>
      <c r="C15" s="3">
        <v>654.6</v>
      </c>
      <c r="D15" s="16">
        <f>C15</f>
        <v>654.6</v>
      </c>
      <c r="E15" s="17">
        <f>ABS(G6)</f>
        <v>793.61635083652709</v>
      </c>
    </row>
    <row r="16" spans="1:7">
      <c r="A16" s="1" t="s">
        <v>1</v>
      </c>
      <c r="B16" s="3">
        <v>2034.7</v>
      </c>
      <c r="C16" s="3">
        <v>1787.9</v>
      </c>
      <c r="D16" s="3">
        <f>G7</f>
        <v>1055.5580000000002</v>
      </c>
      <c r="E16" s="4">
        <f>D16</f>
        <v>1055.5580000000002</v>
      </c>
    </row>
    <row r="17" spans="1:5">
      <c r="A17" s="1" t="s">
        <v>3</v>
      </c>
      <c r="B17" s="3">
        <f>212.4-31.7</f>
        <v>180.70000000000002</v>
      </c>
      <c r="C17" s="3">
        <v>184.2</v>
      </c>
      <c r="D17" s="3">
        <f t="shared" ref="D17:D19" si="2">G8</f>
        <v>0</v>
      </c>
      <c r="E17" s="3">
        <v>0</v>
      </c>
    </row>
    <row r="18" spans="1:5">
      <c r="A18" s="1" t="s">
        <v>4</v>
      </c>
      <c r="B18" s="3">
        <v>621.4</v>
      </c>
      <c r="C18" s="3">
        <v>204.2</v>
      </c>
      <c r="D18" s="3">
        <f t="shared" si="2"/>
        <v>0</v>
      </c>
      <c r="E18" s="3">
        <v>0</v>
      </c>
    </row>
    <row r="19" spans="1:5">
      <c r="A19" s="1" t="s">
        <v>6</v>
      </c>
      <c r="B19" s="3">
        <v>1062.2</v>
      </c>
      <c r="C19" s="3">
        <v>1062.2</v>
      </c>
      <c r="D19" s="3">
        <f t="shared" si="2"/>
        <v>782.85</v>
      </c>
      <c r="E19" s="3">
        <v>0</v>
      </c>
    </row>
    <row r="20" spans="1:5">
      <c r="A20" s="5" t="s">
        <v>5</v>
      </c>
      <c r="B20" s="6">
        <f>SUM(B14:B19)</f>
        <v>9290.7000000000007</v>
      </c>
      <c r="C20" s="6">
        <f>SUM(C14:C19)</f>
        <v>7074.7999999999993</v>
      </c>
      <c r="D20" s="6">
        <f>SUM(D14:D19)</f>
        <v>4112.5435280000002</v>
      </c>
      <c r="E20" s="6">
        <f>SUM(E14:E19)</f>
        <v>2547.8393930666234</v>
      </c>
    </row>
    <row r="22" spans="1:5">
      <c r="A22" s="2" t="s">
        <v>24</v>
      </c>
    </row>
    <row r="23" spans="1:5">
      <c r="A23" s="2"/>
      <c r="B23" s="1" t="s">
        <v>25</v>
      </c>
      <c r="C23" s="1" t="s">
        <v>26</v>
      </c>
      <c r="D23" s="1" t="s">
        <v>27</v>
      </c>
      <c r="E23" s="1" t="s">
        <v>28</v>
      </c>
    </row>
    <row r="24" spans="1:5">
      <c r="A24" s="1" t="s">
        <v>29</v>
      </c>
      <c r="B24" s="3"/>
      <c r="C24" s="3"/>
      <c r="D24" s="3">
        <f>IF(E24&gt;0,E24,0)</f>
        <v>9290.7000000000007</v>
      </c>
      <c r="E24" s="3">
        <f>B20</f>
        <v>9290.7000000000007</v>
      </c>
    </row>
    <row r="25" spans="1:5">
      <c r="A25" s="1" t="s">
        <v>30</v>
      </c>
      <c r="B25" s="3">
        <f>B24+D24-C25</f>
        <v>7074.7999999999993</v>
      </c>
      <c r="C25" s="3">
        <f>IF(E25&lt;=0,-E25,0)</f>
        <v>2215.9000000000015</v>
      </c>
      <c r="D25" s="3">
        <f t="shared" ref="D25:D30" si="3">IF(E25&gt;0,E25,0)</f>
        <v>0</v>
      </c>
      <c r="E25" s="3">
        <f>C20-B20</f>
        <v>-2215.9000000000015</v>
      </c>
    </row>
    <row r="26" spans="1:5">
      <c r="A26" s="1" t="s">
        <v>22</v>
      </c>
      <c r="B26" s="3">
        <f>B25+D25-C26</f>
        <v>7074.7999999999993</v>
      </c>
      <c r="C26" s="3">
        <f t="shared" ref="C26:C30" si="4">IF(E26&lt;=0,-E26,0)</f>
        <v>0</v>
      </c>
      <c r="D26" s="3">
        <f t="shared" si="3"/>
        <v>0</v>
      </c>
      <c r="E26" s="3">
        <f>0</f>
        <v>0</v>
      </c>
    </row>
    <row r="27" spans="1:5">
      <c r="A27" s="1" t="s">
        <v>31</v>
      </c>
      <c r="B27" s="3">
        <f t="shared" ref="B27:B33" si="5">B26+D26-C27</f>
        <v>5512.6355279999989</v>
      </c>
      <c r="C27" s="3">
        <f t="shared" si="4"/>
        <v>1562.1644719999999</v>
      </c>
      <c r="D27" s="3">
        <f t="shared" si="3"/>
        <v>0</v>
      </c>
      <c r="E27" s="3">
        <f>D14-C14</f>
        <v>-1562.1644719999999</v>
      </c>
    </row>
    <row r="28" spans="1:5">
      <c r="A28" s="1" t="s">
        <v>32</v>
      </c>
      <c r="B28" s="3">
        <f t="shared" si="5"/>
        <v>4780.2935279999992</v>
      </c>
      <c r="C28" s="3">
        <f t="shared" si="4"/>
        <v>732.34199999999987</v>
      </c>
      <c r="D28" s="3">
        <f t="shared" si="3"/>
        <v>0</v>
      </c>
      <c r="E28" s="3">
        <f>D16-C16</f>
        <v>-732.34199999999987</v>
      </c>
    </row>
    <row r="29" spans="1:5">
      <c r="A29" s="1" t="s">
        <v>33</v>
      </c>
      <c r="B29" s="3">
        <f t="shared" si="5"/>
        <v>4316.7435279999991</v>
      </c>
      <c r="C29" s="3">
        <f t="shared" si="4"/>
        <v>463.55</v>
      </c>
      <c r="D29" s="3">
        <f t="shared" si="3"/>
        <v>0</v>
      </c>
      <c r="E29" s="3">
        <f>D19-C19+D17-C17</f>
        <v>-463.55</v>
      </c>
    </row>
    <row r="30" spans="1:5">
      <c r="A30" s="1" t="s">
        <v>36</v>
      </c>
      <c r="B30" s="3">
        <f t="shared" si="5"/>
        <v>3533.8935279999992</v>
      </c>
      <c r="C30" s="3">
        <f t="shared" si="4"/>
        <v>782.85</v>
      </c>
      <c r="D30" s="3">
        <f t="shared" si="3"/>
        <v>0</v>
      </c>
      <c r="E30" s="3">
        <f>E19-D19</f>
        <v>-782.85</v>
      </c>
    </row>
    <row r="31" spans="1:5">
      <c r="A31" s="1" t="s">
        <v>34</v>
      </c>
      <c r="B31" s="3">
        <f t="shared" si="5"/>
        <v>2752.0393930666223</v>
      </c>
      <c r="C31" s="3">
        <f t="shared" ref="C31:C32" si="6">IF(E31&lt;=0,-E31,0)</f>
        <v>781.85413493337694</v>
      </c>
      <c r="D31" s="3">
        <f t="shared" ref="D31:D32" si="7">IF(E31&gt;0,E31,0)</f>
        <v>0</v>
      </c>
      <c r="E31" s="4">
        <f>E14-D14+E15-D15</f>
        <v>-781.85413493337694</v>
      </c>
    </row>
    <row r="32" spans="1:5">
      <c r="A32" s="1" t="s">
        <v>35</v>
      </c>
      <c r="B32" s="3">
        <f t="shared" si="5"/>
        <v>2547.8393930666225</v>
      </c>
      <c r="C32" s="3">
        <f t="shared" si="6"/>
        <v>204.2</v>
      </c>
      <c r="D32" s="3">
        <f t="shared" si="7"/>
        <v>0</v>
      </c>
      <c r="E32" s="4">
        <f>E18-C18</f>
        <v>-204.2</v>
      </c>
    </row>
    <row r="33" spans="1:2">
      <c r="A33" s="1" t="s">
        <v>37</v>
      </c>
      <c r="B33" s="3">
        <f t="shared" si="5"/>
        <v>2547.8393930666225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abSelected="1" topLeftCell="A52" workbookViewId="0">
      <selection activeCell="D68" sqref="D68"/>
    </sheetView>
  </sheetViews>
  <sheetFormatPr baseColWidth="10" defaultRowHeight="15" x14ac:dyDescent="0"/>
  <cols>
    <col min="1" max="1" width="15.6640625" style="1" bestFit="1" customWidth="1"/>
    <col min="2" max="3" width="12.1640625" style="1" bestFit="1" customWidth="1"/>
    <col min="4" max="4" width="13.1640625" style="1" bestFit="1" customWidth="1"/>
    <col min="5" max="6" width="10.83203125" style="1"/>
    <col min="7" max="7" width="11" style="1" bestFit="1" customWidth="1"/>
    <col min="8" max="8" width="10.83203125" style="1"/>
    <col min="9" max="9" width="13.1640625" style="1" bestFit="1" customWidth="1"/>
    <col min="10" max="12" width="10.83203125" style="1"/>
    <col min="13" max="13" width="13.1640625" style="1" bestFit="1" customWidth="1"/>
    <col min="14" max="16384" width="10.83203125" style="1"/>
  </cols>
  <sheetData>
    <row r="1" spans="1:13" ht="65" customHeight="1"/>
    <row r="2" spans="1:13">
      <c r="A2" s="2"/>
    </row>
    <row r="3" spans="1:13">
      <c r="A3" s="5" t="s">
        <v>46</v>
      </c>
      <c r="B3" s="5" t="s">
        <v>43</v>
      </c>
      <c r="C3" s="2" t="s">
        <v>16</v>
      </c>
      <c r="D3" s="2" t="s">
        <v>40</v>
      </c>
      <c r="E3" s="2" t="s">
        <v>45</v>
      </c>
      <c r="G3" s="5" t="s">
        <v>41</v>
      </c>
      <c r="H3" s="2" t="s">
        <v>16</v>
      </c>
      <c r="I3" s="2" t="s">
        <v>39</v>
      </c>
      <c r="J3" s="2" t="s">
        <v>44</v>
      </c>
    </row>
    <row r="4" spans="1:13">
      <c r="A4" s="1" t="s">
        <v>42</v>
      </c>
      <c r="B4" s="3">
        <f>Energex!B20/5</f>
        <v>1946.6399999999999</v>
      </c>
      <c r="C4" s="3">
        <f>Energex!C20/5</f>
        <v>1618.2199999999998</v>
      </c>
      <c r="D4" s="3">
        <f>Energex!D20/5</f>
        <v>978.24735039999996</v>
      </c>
      <c r="E4" s="3">
        <f>Energex!E20/5</f>
        <v>581.89418601213606</v>
      </c>
      <c r="G4" s="3">
        <f>'Ergon Energy'!B20/5</f>
        <v>1858.14</v>
      </c>
      <c r="H4" s="3">
        <f>'Ergon Energy'!C20/5</f>
        <v>1414.9599999999998</v>
      </c>
      <c r="I4" s="3">
        <f>'Ergon Energy'!D20/5</f>
        <v>822.50870559999998</v>
      </c>
      <c r="J4" s="3">
        <f>'Ergon Energy'!E20/5</f>
        <v>509.56787861332469</v>
      </c>
    </row>
    <row r="5" spans="1:13">
      <c r="A5" s="1" t="s">
        <v>0</v>
      </c>
      <c r="B5" s="3">
        <f>Energex!B14/5</f>
        <v>968.78</v>
      </c>
      <c r="C5" s="3">
        <f>Energex!C14/5</f>
        <v>711.62</v>
      </c>
      <c r="D5" s="3">
        <f>Energex!D14/5</f>
        <v>362.38855039999999</v>
      </c>
      <c r="E5" s="3">
        <f>Energex!E14/5</f>
        <v>157.46404187651638</v>
      </c>
      <c r="G5" s="3">
        <f>'Ergon Energy'!B14/5</f>
        <v>897.56000000000006</v>
      </c>
      <c r="H5" s="3">
        <f>'Ergon Energy'!C14/5</f>
        <v>636.33999999999992</v>
      </c>
      <c r="I5" s="3">
        <f>'Ergon Energy'!D14/5</f>
        <v>323.90710559999997</v>
      </c>
      <c r="J5" s="3">
        <f>'Ergon Energy'!E14/5</f>
        <v>139.73300844601917</v>
      </c>
    </row>
    <row r="6" spans="1:13">
      <c r="A6" s="1" t="s">
        <v>2</v>
      </c>
      <c r="B6" s="3">
        <f>Energex!B15/5</f>
        <v>100.34</v>
      </c>
      <c r="C6" s="3">
        <f>Energex!C15/5</f>
        <v>91.08</v>
      </c>
      <c r="D6" s="3">
        <f>Energex!D15/5</f>
        <v>91.08</v>
      </c>
      <c r="E6" s="3">
        <f>Energex!E15/5</f>
        <v>178.85134413561968</v>
      </c>
      <c r="G6" s="3">
        <f>'Ergon Energy'!B15/5</f>
        <v>180.78</v>
      </c>
      <c r="H6" s="3">
        <f>'Ergon Energy'!C15/5</f>
        <v>130.92000000000002</v>
      </c>
      <c r="I6" s="3">
        <f>'Ergon Energy'!D15/5</f>
        <v>130.92000000000002</v>
      </c>
      <c r="J6" s="3">
        <f>'Ergon Energy'!E15/5</f>
        <v>158.72327016730543</v>
      </c>
    </row>
    <row r="7" spans="1:13">
      <c r="A7" s="1" t="s">
        <v>1</v>
      </c>
      <c r="B7" s="3">
        <f>Energex!B16/5</f>
        <v>375.32</v>
      </c>
      <c r="C7" s="3">
        <f>Energex!C16/5</f>
        <v>375.4</v>
      </c>
      <c r="D7" s="3">
        <f>Energex!D16/5</f>
        <v>245.5788</v>
      </c>
      <c r="E7" s="3">
        <f>Energex!E16/5</f>
        <v>245.5788</v>
      </c>
      <c r="G7" s="3">
        <f>'Ergon Energy'!B16/5</f>
        <v>406.94</v>
      </c>
      <c r="H7" s="3">
        <f>'Ergon Energy'!C16/5</f>
        <v>357.58000000000004</v>
      </c>
      <c r="I7" s="3">
        <f>'Ergon Energy'!D16/5</f>
        <v>211.11160000000004</v>
      </c>
      <c r="J7" s="3">
        <f>'Ergon Energy'!E16/5</f>
        <v>211.11160000000004</v>
      </c>
    </row>
    <row r="8" spans="1:13">
      <c r="A8" s="1" t="s">
        <v>3</v>
      </c>
      <c r="B8" s="3">
        <f>Energex!B17/5</f>
        <v>101.64</v>
      </c>
      <c r="C8" s="3">
        <f>Energex!C17/5</f>
        <v>70.88</v>
      </c>
      <c r="D8" s="3">
        <f>Energex!D17/5</f>
        <v>0</v>
      </c>
      <c r="E8" s="3">
        <f>Energex!E17/5</f>
        <v>0</v>
      </c>
      <c r="G8" s="3">
        <f>'Ergon Energy'!B17/5</f>
        <v>36.14</v>
      </c>
      <c r="H8" s="3">
        <f>'Ergon Energy'!C17/5</f>
        <v>36.839999999999996</v>
      </c>
      <c r="I8" s="3">
        <f>'Ergon Energy'!D17/5</f>
        <v>0</v>
      </c>
      <c r="J8" s="3">
        <f>'Ergon Energy'!E17/5</f>
        <v>0</v>
      </c>
    </row>
    <row r="9" spans="1:13">
      <c r="A9" s="1" t="s">
        <v>4</v>
      </c>
      <c r="B9" s="3">
        <f>Energex!B18/5</f>
        <v>120.46</v>
      </c>
      <c r="C9" s="3">
        <f>Energex!C18/5</f>
        <v>48.480000000000004</v>
      </c>
      <c r="D9" s="3">
        <f>Energex!D18/5</f>
        <v>0</v>
      </c>
      <c r="E9" s="3">
        <f>Energex!E18/5</f>
        <v>0</v>
      </c>
      <c r="G9" s="3">
        <f>'Ergon Energy'!B18/5</f>
        <v>124.28</v>
      </c>
      <c r="H9" s="3">
        <f>'Ergon Energy'!C18/5</f>
        <v>40.839999999999996</v>
      </c>
      <c r="I9" s="3">
        <f>'Ergon Energy'!D18/5</f>
        <v>0</v>
      </c>
      <c r="J9" s="3">
        <f>'Ergon Energy'!E18/5</f>
        <v>0</v>
      </c>
    </row>
    <row r="10" spans="1:13">
      <c r="A10" s="1" t="s">
        <v>6</v>
      </c>
      <c r="B10" s="3">
        <f>Energex!B19/5</f>
        <v>280.10000000000002</v>
      </c>
      <c r="C10" s="3">
        <f>Energex!C19/5</f>
        <v>320.76</v>
      </c>
      <c r="D10" s="3">
        <f>Energex!D19/5</f>
        <v>279.20000000000005</v>
      </c>
      <c r="E10" s="3">
        <f>Energex!E19/5</f>
        <v>0</v>
      </c>
      <c r="G10" s="3">
        <f>'Ergon Energy'!B19/5</f>
        <v>212.44</v>
      </c>
      <c r="H10" s="3">
        <f>'Ergon Energy'!C19/5</f>
        <v>212.44</v>
      </c>
      <c r="I10" s="3">
        <f>'Ergon Energy'!D19/5</f>
        <v>156.57</v>
      </c>
      <c r="J10" s="3">
        <f>'Ergon Energy'!E19/5</f>
        <v>0</v>
      </c>
    </row>
    <row r="12" spans="1:13">
      <c r="A12" s="2" t="s">
        <v>52</v>
      </c>
      <c r="B12" s="5" t="s">
        <v>47</v>
      </c>
      <c r="C12" s="5" t="s">
        <v>54</v>
      </c>
      <c r="D12" s="5" t="s">
        <v>59</v>
      </c>
      <c r="F12" s="2" t="s">
        <v>53</v>
      </c>
      <c r="G12" s="5" t="s">
        <v>47</v>
      </c>
      <c r="H12" s="5" t="s">
        <v>54</v>
      </c>
      <c r="I12" s="5" t="s">
        <v>59</v>
      </c>
      <c r="L12" s="14" t="s">
        <v>63</v>
      </c>
      <c r="M12" s="14" t="s">
        <v>64</v>
      </c>
    </row>
    <row r="13" spans="1:13">
      <c r="A13" s="1" t="s">
        <v>48</v>
      </c>
      <c r="B13" s="11">
        <v>0.57560931180232411</v>
      </c>
      <c r="C13" s="3">
        <v>1270854.9553956462</v>
      </c>
      <c r="D13" s="3">
        <v>5815.0678743705066</v>
      </c>
      <c r="G13" s="11">
        <v>0.46152317252317887</v>
      </c>
      <c r="H13" s="3">
        <v>634665.28823850374</v>
      </c>
      <c r="I13" s="3">
        <v>6677.3637565324561</v>
      </c>
      <c r="L13" s="14" t="s">
        <v>48</v>
      </c>
      <c r="M13" s="15">
        <v>5800</v>
      </c>
    </row>
    <row r="14" spans="1:13">
      <c r="A14" s="1" t="s">
        <v>49</v>
      </c>
      <c r="B14" s="11">
        <v>0.16281769905750246</v>
      </c>
      <c r="C14" s="3">
        <v>109468.32281528747</v>
      </c>
      <c r="D14" s="3">
        <v>17788</v>
      </c>
      <c r="G14" s="11">
        <v>0.1761744863307792</v>
      </c>
      <c r="H14" s="3">
        <v>109840.1812892067</v>
      </c>
      <c r="I14" s="3">
        <v>8329.35</v>
      </c>
      <c r="L14" s="14" t="s">
        <v>49</v>
      </c>
      <c r="M14" s="15">
        <v>17800</v>
      </c>
    </row>
    <row r="15" spans="1:13">
      <c r="A15" s="1" t="s">
        <v>50</v>
      </c>
      <c r="B15" s="11">
        <v>0.25268332037015939</v>
      </c>
      <c r="C15" s="3">
        <v>10574</v>
      </c>
      <c r="D15" s="3">
        <v>522381.28948874114</v>
      </c>
      <c r="G15" s="11">
        <v>0.25402177278379667</v>
      </c>
      <c r="H15" s="3">
        <v>8723.7540000000008</v>
      </c>
      <c r="I15" s="3">
        <v>364945.33804382163</v>
      </c>
      <c r="L15" s="14" t="s">
        <v>65</v>
      </c>
      <c r="M15" s="15">
        <v>230000</v>
      </c>
    </row>
    <row r="16" spans="1:13">
      <c r="A16" s="1" t="s">
        <v>51</v>
      </c>
      <c r="B16" s="12">
        <v>2.895684036994394E-3</v>
      </c>
      <c r="C16" s="3">
        <v>576</v>
      </c>
      <c r="D16" s="3">
        <v>10691228.591025878</v>
      </c>
      <c r="G16" s="11">
        <v>9.8694252026002724E-2</v>
      </c>
      <c r="H16" s="3">
        <v>73.348199999999991</v>
      </c>
      <c r="I16" s="3">
        <v>64201996.792841434</v>
      </c>
      <c r="L16" s="14" t="s">
        <v>66</v>
      </c>
      <c r="M16" s="15">
        <v>74000000</v>
      </c>
    </row>
    <row r="18" spans="1:10">
      <c r="A18" s="2" t="s">
        <v>55</v>
      </c>
    </row>
    <row r="19" spans="1:10">
      <c r="A19" s="1" t="s">
        <v>61</v>
      </c>
      <c r="B19" s="13">
        <f>B4*1000000*$B$13/$C$13/$D$13</f>
        <v>0.15162215997335043</v>
      </c>
      <c r="C19" s="13">
        <f>C4*1000000*$B$13/$C$13/$D$13</f>
        <v>0.12604180110964283</v>
      </c>
      <c r="D19" s="13">
        <f>D4*1000000*$B$13/$C$13/$D$13</f>
        <v>7.6194867184407503E-2</v>
      </c>
      <c r="E19" s="13">
        <f>E4*1000000*$B$13/$C$13/$D$13</f>
        <v>4.5323251016672138E-2</v>
      </c>
      <c r="G19" s="13">
        <f>G4*1000000*$G$13/$H$13/$I$13</f>
        <v>0.20235883111803185</v>
      </c>
      <c r="H19" s="13">
        <f>H4*1000000*$G$13/$H$13/$I$13</f>
        <v>0.1540947677132887</v>
      </c>
      <c r="I19" s="13">
        <f>I4*1000000*$G$13/$H$13/$I$13</f>
        <v>8.9574467074397715E-2</v>
      </c>
      <c r="J19" s="13">
        <f>J4*1000000*$G$13/$H$13/$I$13</f>
        <v>5.5493967242235528E-2</v>
      </c>
    </row>
    <row r="20" spans="1:10">
      <c r="A20" s="1" t="s">
        <v>62</v>
      </c>
      <c r="B20" s="3">
        <f>B19*$M$13</f>
        <v>879.40852784543256</v>
      </c>
      <c r="C20" s="3">
        <f>C19*$M$13</f>
        <v>731.04244643592847</v>
      </c>
      <c r="D20" s="3">
        <f t="shared" ref="D20" si="0">D19*$M$13</f>
        <v>441.93022966956352</v>
      </c>
      <c r="E20" s="3">
        <f>E19*$M$13</f>
        <v>262.87485589669842</v>
      </c>
      <c r="G20" s="3">
        <f>G19*$M$13</f>
        <v>1173.6812204845846</v>
      </c>
      <c r="H20" s="3">
        <f t="shared" ref="H20:J20" si="1">H19*$M$13</f>
        <v>893.74965273707448</v>
      </c>
      <c r="I20" s="3">
        <f>I19*$M$13</f>
        <v>519.53190903150676</v>
      </c>
      <c r="J20" s="3">
        <f t="shared" si="1"/>
        <v>321.86501000496605</v>
      </c>
    </row>
    <row r="21" spans="1:10">
      <c r="A21" s="1" t="s">
        <v>0</v>
      </c>
      <c r="B21" s="3">
        <f t="shared" ref="B21:B26" si="2">$B$20*(B5/$B$4)</f>
        <v>437.65328648650916</v>
      </c>
      <c r="C21" s="3">
        <f t="shared" ref="C21:C26" si="3">$C$20*(C5/$C$4)</f>
        <v>321.47941919685547</v>
      </c>
      <c r="D21" s="3">
        <f t="shared" ref="D21:D26" si="4">$D$20*(D5/$D$4)</f>
        <v>163.71161674233775</v>
      </c>
      <c r="E21" s="3">
        <f t="shared" ref="E21:E26" si="5">$E$20*(E5/$E$4)</f>
        <v>71.135505925707307</v>
      </c>
      <c r="G21" s="3">
        <f t="shared" ref="G21:G26" si="6">$G$20*(G5/$G$4)</f>
        <v>566.93753767646342</v>
      </c>
      <c r="H21" s="3">
        <f t="shared" ref="H21:H26" si="7">$H$20*(H5/$H$4)</f>
        <v>401.93973965533297</v>
      </c>
      <c r="I21" s="3">
        <f t="shared" ref="I21:I26" si="8">$I$20*(I5/$I$4)</f>
        <v>204.59367271800684</v>
      </c>
      <c r="J21" s="3">
        <f t="shared" ref="J21:J26" si="9">$J$20*(J5/$J$4)</f>
        <v>88.261383908051357</v>
      </c>
    </row>
    <row r="22" spans="1:10">
      <c r="A22" s="1" t="s">
        <v>2</v>
      </c>
      <c r="B22" s="3">
        <f t="shared" si="2"/>
        <v>45.329311883045001</v>
      </c>
      <c r="C22" s="3">
        <f t="shared" si="3"/>
        <v>41.146040724613698</v>
      </c>
      <c r="D22" s="3">
        <f t="shared" si="4"/>
        <v>41.146040724613698</v>
      </c>
      <c r="E22" s="3">
        <f t="shared" si="5"/>
        <v>80.797372523672678</v>
      </c>
      <c r="G22" s="3">
        <f t="shared" si="6"/>
        <v>114.18843092512039</v>
      </c>
      <c r="H22" s="3">
        <f t="shared" si="7"/>
        <v>82.694708356658722</v>
      </c>
      <c r="I22" s="3">
        <f t="shared" si="8"/>
        <v>82.694708356658737</v>
      </c>
      <c r="J22" s="3">
        <f t="shared" si="9"/>
        <v>100.25645077834153</v>
      </c>
    </row>
    <row r="23" spans="1:10">
      <c r="A23" s="1" t="s">
        <v>1</v>
      </c>
      <c r="B23" s="3">
        <f t="shared" si="2"/>
        <v>169.55349148838397</v>
      </c>
      <c r="C23" s="3">
        <f t="shared" si="3"/>
        <v>169.58963205994709</v>
      </c>
      <c r="D23" s="3">
        <f t="shared" si="4"/>
        <v>110.94197744731844</v>
      </c>
      <c r="E23" s="3">
        <f t="shared" si="5"/>
        <v>110.94197744731845</v>
      </c>
      <c r="G23" s="3">
        <f t="shared" si="6"/>
        <v>257.04082354612507</v>
      </c>
      <c r="H23" s="3">
        <f t="shared" si="7"/>
        <v>225.86292250362072</v>
      </c>
      <c r="I23" s="3">
        <f t="shared" si="8"/>
        <v>133.34717531857316</v>
      </c>
      <c r="J23" s="3">
        <f t="shared" si="9"/>
        <v>133.34717531857314</v>
      </c>
    </row>
    <row r="24" spans="1:10">
      <c r="A24" s="1" t="s">
        <v>3</v>
      </c>
      <c r="B24" s="3">
        <f t="shared" si="2"/>
        <v>45.916596170945716</v>
      </c>
      <c r="C24" s="3">
        <f t="shared" si="3"/>
        <v>32.020546404925547</v>
      </c>
      <c r="D24" s="3">
        <f t="shared" si="4"/>
        <v>0</v>
      </c>
      <c r="E24" s="3">
        <f t="shared" si="5"/>
        <v>0</v>
      </c>
      <c r="G24" s="3">
        <f t="shared" si="6"/>
        <v>22.827579896193445</v>
      </c>
      <c r="H24" s="3">
        <f t="shared" si="7"/>
        <v>23.269730032533658</v>
      </c>
      <c r="I24" s="3">
        <f t="shared" si="8"/>
        <v>0</v>
      </c>
      <c r="J24" s="3">
        <f t="shared" si="9"/>
        <v>0</v>
      </c>
    </row>
    <row r="25" spans="1:10">
      <c r="A25" s="1" t="s">
        <v>4</v>
      </c>
      <c r="B25" s="3">
        <f t="shared" si="2"/>
        <v>54.418665631170022</v>
      </c>
      <c r="C25" s="3">
        <f t="shared" si="3"/>
        <v>21.901186367251562</v>
      </c>
      <c r="D25" s="3">
        <f t="shared" si="4"/>
        <v>0</v>
      </c>
      <c r="E25" s="3">
        <f t="shared" si="5"/>
        <v>0</v>
      </c>
      <c r="G25" s="3">
        <f t="shared" si="6"/>
        <v>78.500598491945809</v>
      </c>
      <c r="H25" s="3">
        <f t="shared" si="7"/>
        <v>25.796302240192034</v>
      </c>
      <c r="I25" s="3">
        <f t="shared" si="8"/>
        <v>0</v>
      </c>
      <c r="J25" s="3">
        <f t="shared" si="9"/>
        <v>0</v>
      </c>
    </row>
    <row r="26" spans="1:10">
      <c r="A26" s="1" t="s">
        <v>6</v>
      </c>
      <c r="B26" s="3">
        <f t="shared" si="2"/>
        <v>126.53717618537877</v>
      </c>
      <c r="C26" s="3">
        <f t="shared" si="3"/>
        <v>144.90562168233518</v>
      </c>
      <c r="D26" s="3">
        <f t="shared" si="4"/>
        <v>126.13059475529366</v>
      </c>
      <c r="E26" s="3">
        <f t="shared" si="5"/>
        <v>0</v>
      </c>
      <c r="G26" s="3">
        <f t="shared" si="6"/>
        <v>134.18624994873645</v>
      </c>
      <c r="H26" s="3">
        <f t="shared" si="7"/>
        <v>134.18624994873647</v>
      </c>
      <c r="I26" s="3">
        <f t="shared" si="8"/>
        <v>98.89635263826807</v>
      </c>
      <c r="J26" s="3">
        <f t="shared" si="9"/>
        <v>0</v>
      </c>
    </row>
    <row r="27" spans="1:10">
      <c r="B27" s="4"/>
    </row>
    <row r="28" spans="1:10">
      <c r="A28" s="2" t="s">
        <v>57</v>
      </c>
      <c r="B28" s="1" t="s">
        <v>25</v>
      </c>
      <c r="C28" s="1" t="s">
        <v>26</v>
      </c>
      <c r="D28" s="1" t="s">
        <v>27</v>
      </c>
      <c r="E28" s="1" t="s">
        <v>28</v>
      </c>
      <c r="G28" s="2" t="s">
        <v>58</v>
      </c>
    </row>
    <row r="29" spans="1:10">
      <c r="A29" s="1" t="s">
        <v>56</v>
      </c>
      <c r="B29" s="3"/>
      <c r="C29" s="3"/>
      <c r="D29" s="3">
        <f>IF(E29&gt;0,E29,0)</f>
        <v>879.40852784543256</v>
      </c>
      <c r="E29" s="3">
        <f>B20</f>
        <v>879.40852784543256</v>
      </c>
      <c r="G29" s="3"/>
      <c r="H29" s="3"/>
      <c r="I29" s="3">
        <f>IF(J29&gt;0,J29,0)</f>
        <v>1173.6812204845846</v>
      </c>
      <c r="J29" s="3">
        <f>G20</f>
        <v>1173.6812204845846</v>
      </c>
    </row>
    <row r="30" spans="1:10">
      <c r="A30" s="1" t="s">
        <v>30</v>
      </c>
      <c r="B30" s="3">
        <f>B29+D29-C30</f>
        <v>731.04244643592847</v>
      </c>
      <c r="C30" s="3">
        <f>IF(E30&lt;=0,-E30,0)</f>
        <v>148.36608140950409</v>
      </c>
      <c r="D30" s="3">
        <f t="shared" ref="D30:D35" si="10">IF(E30&gt;0,E30,0)</f>
        <v>0</v>
      </c>
      <c r="E30" s="3">
        <f>C20-B20</f>
        <v>-148.36608140950409</v>
      </c>
      <c r="G30" s="3">
        <f>G29+I29-H30</f>
        <v>893.74965273707448</v>
      </c>
      <c r="H30" s="3">
        <f>IF(J30&lt;=0,-J30,0)</f>
        <v>279.93156774751014</v>
      </c>
      <c r="I30" s="3">
        <f t="shared" ref="I30:I35" si="11">IF(J30&gt;0,J30,0)</f>
        <v>0</v>
      </c>
      <c r="J30" s="3">
        <f>H20-G20</f>
        <v>-279.93156774751014</v>
      </c>
    </row>
    <row r="31" spans="1:10">
      <c r="A31" s="1" t="s">
        <v>22</v>
      </c>
      <c r="B31" s="3">
        <f>B30+D30-C31</f>
        <v>731.04244643592847</v>
      </c>
      <c r="C31" s="3">
        <f t="shared" ref="C31:C35" si="12">IF(E31&lt;=0,-E31,0)</f>
        <v>0</v>
      </c>
      <c r="D31" s="3">
        <f t="shared" si="10"/>
        <v>0</v>
      </c>
      <c r="E31" s="3">
        <f>0</f>
        <v>0</v>
      </c>
      <c r="G31" s="3">
        <f>G30+I30-H31</f>
        <v>893.74965273707448</v>
      </c>
      <c r="H31" s="3">
        <f t="shared" ref="H31:H35" si="13">IF(J31&lt;=0,-J31,0)</f>
        <v>0</v>
      </c>
      <c r="I31" s="3">
        <f t="shared" si="11"/>
        <v>0</v>
      </c>
      <c r="J31" s="3">
        <f>0</f>
        <v>0</v>
      </c>
    </row>
    <row r="32" spans="1:10">
      <c r="A32" s="1" t="s">
        <v>31</v>
      </c>
      <c r="B32" s="3">
        <f t="shared" ref="B32:B38" si="14">B31+D31-C32</f>
        <v>573.27464398141069</v>
      </c>
      <c r="C32" s="3">
        <f t="shared" si="12"/>
        <v>157.76780245451772</v>
      </c>
      <c r="D32" s="3">
        <f t="shared" si="10"/>
        <v>0</v>
      </c>
      <c r="E32" s="3">
        <f>D21-C21</f>
        <v>-157.76780245451772</v>
      </c>
      <c r="G32" s="3">
        <f t="shared" ref="G32:G38" si="15">G31+I31-H32</f>
        <v>696.40358579974838</v>
      </c>
      <c r="H32" s="3">
        <f t="shared" si="13"/>
        <v>197.34606693732613</v>
      </c>
      <c r="I32" s="3">
        <f t="shared" si="11"/>
        <v>0</v>
      </c>
      <c r="J32" s="3">
        <f>I21-H21</f>
        <v>-197.34606693732613</v>
      </c>
    </row>
    <row r="33" spans="1:10">
      <c r="A33" s="1" t="s">
        <v>32</v>
      </c>
      <c r="B33" s="3">
        <f t="shared" si="14"/>
        <v>514.62698936878201</v>
      </c>
      <c r="C33" s="3">
        <f t="shared" si="12"/>
        <v>58.647654612628656</v>
      </c>
      <c r="D33" s="3">
        <f t="shared" si="10"/>
        <v>0</v>
      </c>
      <c r="E33" s="3">
        <f>D23-C23</f>
        <v>-58.647654612628656</v>
      </c>
      <c r="G33" s="3">
        <f t="shared" si="15"/>
        <v>603.88783861470085</v>
      </c>
      <c r="H33" s="3">
        <f t="shared" si="13"/>
        <v>92.515747185047559</v>
      </c>
      <c r="I33" s="3">
        <f t="shared" si="11"/>
        <v>0</v>
      </c>
      <c r="J33" s="3">
        <f>I23-H23</f>
        <v>-92.515747185047559</v>
      </c>
    </row>
    <row r="34" spans="1:10">
      <c r="A34" s="1" t="s">
        <v>33</v>
      </c>
      <c r="B34" s="3">
        <f t="shared" si="14"/>
        <v>441.93022966956335</v>
      </c>
      <c r="C34" s="3">
        <f t="shared" si="12"/>
        <v>72.696759699218632</v>
      </c>
      <c r="D34" s="3">
        <f t="shared" si="10"/>
        <v>0</v>
      </c>
      <c r="E34" s="3">
        <f>D26-C26+D25-C25+D24-C24+D22-C22</f>
        <v>-72.696759699218632</v>
      </c>
      <c r="G34" s="3">
        <f t="shared" si="15"/>
        <v>519.53190903150676</v>
      </c>
      <c r="H34" s="3">
        <f t="shared" si="13"/>
        <v>84.355929583194083</v>
      </c>
      <c r="I34" s="3">
        <f t="shared" si="11"/>
        <v>0</v>
      </c>
      <c r="J34" s="3">
        <f>I26-H26+I25-H25+I24-H24+I22-H22</f>
        <v>-84.355929583194083</v>
      </c>
    </row>
    <row r="35" spans="1:10">
      <c r="A35" s="1" t="s">
        <v>36</v>
      </c>
      <c r="B35" s="3">
        <f t="shared" si="14"/>
        <v>315.79963491426969</v>
      </c>
      <c r="C35" s="3">
        <f t="shared" si="12"/>
        <v>126.13059475529366</v>
      </c>
      <c r="D35" s="3">
        <f t="shared" si="10"/>
        <v>0</v>
      </c>
      <c r="E35" s="3">
        <f>E26-D26</f>
        <v>-126.13059475529366</v>
      </c>
      <c r="G35" s="3">
        <f t="shared" si="15"/>
        <v>420.63555639323869</v>
      </c>
      <c r="H35" s="3">
        <f t="shared" si="13"/>
        <v>98.89635263826807</v>
      </c>
      <c r="I35" s="3">
        <f t="shared" si="11"/>
        <v>0</v>
      </c>
      <c r="J35" s="3">
        <f>J26-I26</f>
        <v>-98.89635263826807</v>
      </c>
    </row>
    <row r="36" spans="1:10">
      <c r="A36" s="1" t="s">
        <v>34</v>
      </c>
      <c r="B36" s="3">
        <f t="shared" si="14"/>
        <v>262.87485589669825</v>
      </c>
      <c r="C36" s="3">
        <f t="shared" ref="C36:C38" si="16">IF(E36&lt;=0,-E36,0)</f>
        <v>52.924779017571467</v>
      </c>
      <c r="D36" s="3">
        <f t="shared" ref="D36:D38" si="17">IF(E36&gt;0,E36,0)</f>
        <v>0</v>
      </c>
      <c r="E36" s="4">
        <f>E21-D21+E22-D22</f>
        <v>-52.924779017571467</v>
      </c>
      <c r="G36" s="3">
        <f t="shared" si="15"/>
        <v>321.865010004966</v>
      </c>
      <c r="H36" s="3">
        <f t="shared" ref="H36:H38" si="18">IF(J36&lt;=0,-J36,0)</f>
        <v>98.770546388272692</v>
      </c>
      <c r="I36" s="3">
        <f t="shared" ref="I36:I38" si="19">IF(J36&gt;0,J36,0)</f>
        <v>0</v>
      </c>
      <c r="J36" s="4">
        <f>J21-I21+J22-I22</f>
        <v>-98.770546388272692</v>
      </c>
    </row>
    <row r="37" spans="1:10">
      <c r="A37" s="1" t="s">
        <v>35</v>
      </c>
      <c r="B37" s="3">
        <f t="shared" si="14"/>
        <v>240.97366952944668</v>
      </c>
      <c r="C37" s="3">
        <f t="shared" si="16"/>
        <v>21.901186367251562</v>
      </c>
      <c r="D37" s="3">
        <f t="shared" si="17"/>
        <v>0</v>
      </c>
      <c r="E37" s="4">
        <f>E25-C25</f>
        <v>-21.901186367251562</v>
      </c>
      <c r="G37" s="3">
        <f t="shared" si="15"/>
        <v>296.06870776477399</v>
      </c>
      <c r="H37" s="3">
        <f t="shared" si="18"/>
        <v>25.796302240192034</v>
      </c>
      <c r="I37" s="3">
        <f t="shared" si="19"/>
        <v>0</v>
      </c>
      <c r="J37" s="4">
        <f>J25-H25</f>
        <v>-25.796302240192034</v>
      </c>
    </row>
    <row r="38" spans="1:10">
      <c r="A38" s="1" t="s">
        <v>37</v>
      </c>
      <c r="B38" s="3">
        <f t="shared" si="14"/>
        <v>240.97366952944668</v>
      </c>
      <c r="C38" s="3">
        <f t="shared" si="16"/>
        <v>0</v>
      </c>
      <c r="D38" s="3">
        <f t="shared" si="17"/>
        <v>0</v>
      </c>
      <c r="G38" s="3">
        <f t="shared" si="15"/>
        <v>296.06870776477399</v>
      </c>
      <c r="H38" s="3">
        <f t="shared" si="18"/>
        <v>0</v>
      </c>
      <c r="I38" s="3">
        <f t="shared" si="19"/>
        <v>0</v>
      </c>
    </row>
    <row r="40" spans="1:10">
      <c r="A40" s="2" t="s">
        <v>60</v>
      </c>
    </row>
    <row r="41" spans="1:10">
      <c r="A41" s="1" t="s">
        <v>61</v>
      </c>
      <c r="B41" s="13">
        <f>B4*1000000*$B$14/$C$14/$D$14</f>
        <v>0.16276899092040559</v>
      </c>
      <c r="C41" s="13">
        <f t="shared" ref="C41:E41" si="20">C4*1000000*$B$14/$C$14/$D$14</f>
        <v>0.13530803666174473</v>
      </c>
      <c r="D41" s="13">
        <f t="shared" si="20"/>
        <v>8.1796497603649598E-2</v>
      </c>
      <c r="E41" s="13">
        <f t="shared" si="20"/>
        <v>4.8655287818829468E-2</v>
      </c>
      <c r="G41" s="13">
        <f>G4*1000000*$G$14/$H$14/$I$14</f>
        <v>0.35780721509809704</v>
      </c>
      <c r="H41" s="13">
        <f t="shared" ref="H41:J41" si="21">H4*1000000*$G$14/$H$14/$I$14</f>
        <v>0.27246757352793832</v>
      </c>
      <c r="I41" s="13">
        <f t="shared" si="21"/>
        <v>0.15838394811191656</v>
      </c>
      <c r="J41" s="13">
        <f t="shared" si="21"/>
        <v>9.8123426410323719E-2</v>
      </c>
    </row>
    <row r="42" spans="1:10">
      <c r="A42" s="1" t="s">
        <v>62</v>
      </c>
      <c r="B42" s="3">
        <f>B41*$M$14</f>
        <v>2897.2880383832194</v>
      </c>
      <c r="C42" s="3">
        <f t="shared" ref="C42:E42" si="22">C41*$M$14</f>
        <v>2408.4830525790562</v>
      </c>
      <c r="D42" s="3">
        <f t="shared" si="22"/>
        <v>1455.9776573449628</v>
      </c>
      <c r="E42" s="3">
        <f t="shared" si="22"/>
        <v>866.06412317516458</v>
      </c>
      <c r="G42" s="3">
        <f>G41*$M$14</f>
        <v>6368.9684287461278</v>
      </c>
      <c r="H42" s="3">
        <f t="shared" ref="H42:J42" si="23">H41*$M$14</f>
        <v>4849.9228087973024</v>
      </c>
      <c r="I42" s="3">
        <f t="shared" si="23"/>
        <v>2819.2342763921147</v>
      </c>
      <c r="J42" s="3">
        <f t="shared" si="23"/>
        <v>1746.5969901037622</v>
      </c>
    </row>
    <row r="43" spans="1:10">
      <c r="A43" s="1" t="s">
        <v>0</v>
      </c>
      <c r="B43" s="3">
        <f>$B$42*(B5/$B$4)</f>
        <v>1441.8868952784776</v>
      </c>
      <c r="C43" s="3">
        <f>$C$42*(C5/$C$4)</f>
        <v>1059.141964551364</v>
      </c>
      <c r="D43" s="3">
        <f>$D$42*(D5/$D$4)</f>
        <v>539.36218937294757</v>
      </c>
      <c r="E43" s="3">
        <f>$E$42*(E5/$E$4)</f>
        <v>234.36212396966332</v>
      </c>
      <c r="G43" s="3">
        <f>$G$42*(G5/$G$4)</f>
        <v>3076.4804066999122</v>
      </c>
      <c r="H43" s="3">
        <f>$H$42*(H5/$H$4)</f>
        <v>2181.1216431207067</v>
      </c>
      <c r="I43" s="3">
        <f>$I$42*(I5/$I$4)</f>
        <v>1110.2253486889783</v>
      </c>
      <c r="J43" s="3">
        <f>$J$42*(J5/$J$4)</f>
        <v>478.94944366216339</v>
      </c>
    </row>
    <row r="44" spans="1:10">
      <c r="A44" s="1" t="s">
        <v>2</v>
      </c>
      <c r="B44" s="3">
        <f t="shared" ref="B44:B48" si="24">$B$42*(B6/$B$4)</f>
        <v>149.34136859993234</v>
      </c>
      <c r="C44" s="3">
        <f t="shared" ref="C44:C48" si="25">$C$42*(C6/$C$4)</f>
        <v>135.55921718239824</v>
      </c>
      <c r="D44" s="3">
        <f t="shared" ref="D44:D48" si="26">$D$42*(D6/$D$4)</f>
        <v>135.55921718239824</v>
      </c>
      <c r="E44" s="3">
        <f t="shared" ref="E44:E48" si="27">$E$42*(E6/$E$4)</f>
        <v>266.19398554067101</v>
      </c>
      <c r="G44" s="3">
        <f t="shared" ref="G44:G48" si="28">$G$42*(G6/$G$4)</f>
        <v>619.64228343866705</v>
      </c>
      <c r="H44" s="3">
        <f t="shared" ref="H44:H48" si="29">$H$42*(H6/$H$4)</f>
        <v>448.74193908502218</v>
      </c>
      <c r="I44" s="3">
        <f t="shared" ref="I44:I48" si="30">$I$42*(I6/$I$4)</f>
        <v>448.7419390850223</v>
      </c>
      <c r="J44" s="3">
        <f t="shared" ref="J44:J48" si="31">$J$42*(J6/$J$4)</f>
        <v>544.04054409404603</v>
      </c>
    </row>
    <row r="45" spans="1:10">
      <c r="A45" s="1" t="s">
        <v>1</v>
      </c>
      <c r="B45" s="3">
        <f t="shared" si="24"/>
        <v>558.60875486273267</v>
      </c>
      <c r="C45" s="3">
        <f t="shared" si="25"/>
        <v>558.72782312551931</v>
      </c>
      <c r="D45" s="3">
        <f t="shared" si="26"/>
        <v>365.50801366483029</v>
      </c>
      <c r="E45" s="3">
        <f t="shared" si="27"/>
        <v>365.50801366483029</v>
      </c>
      <c r="G45" s="3">
        <f t="shared" si="28"/>
        <v>1394.829244510074</v>
      </c>
      <c r="H45" s="3">
        <f t="shared" si="29"/>
        <v>1225.6427022458161</v>
      </c>
      <c r="I45" s="3">
        <f t="shared" si="30"/>
        <v>723.60700234755268</v>
      </c>
      <c r="J45" s="3">
        <f t="shared" si="31"/>
        <v>723.60700234755257</v>
      </c>
    </row>
    <row r="46" spans="1:10">
      <c r="A46" s="1" t="s">
        <v>3</v>
      </c>
      <c r="B46" s="3">
        <f t="shared" si="24"/>
        <v>151.27622787021249</v>
      </c>
      <c r="C46" s="3">
        <f t="shared" si="25"/>
        <v>105.49448082881408</v>
      </c>
      <c r="D46" s="3">
        <f t="shared" si="26"/>
        <v>0</v>
      </c>
      <c r="E46" s="3">
        <f t="shared" si="27"/>
        <v>0</v>
      </c>
      <c r="G46" s="3">
        <f t="shared" si="28"/>
        <v>123.87361502087305</v>
      </c>
      <c r="H46" s="3">
        <f t="shared" si="29"/>
        <v>126.27293794601447</v>
      </c>
      <c r="I46" s="3">
        <f t="shared" si="30"/>
        <v>0</v>
      </c>
      <c r="J46" s="3">
        <f t="shared" si="31"/>
        <v>0</v>
      </c>
    </row>
    <row r="47" spans="1:10">
      <c r="A47" s="1" t="s">
        <v>4</v>
      </c>
      <c r="B47" s="3">
        <f t="shared" si="24"/>
        <v>179.28703669072996</v>
      </c>
      <c r="C47" s="3">
        <f t="shared" si="25"/>
        <v>72.155367248601962</v>
      </c>
      <c r="D47" s="3">
        <f t="shared" si="26"/>
        <v>0</v>
      </c>
      <c r="E47" s="3">
        <f t="shared" si="27"/>
        <v>0</v>
      </c>
      <c r="G47" s="3">
        <f t="shared" si="28"/>
        <v>425.98264733796634</v>
      </c>
      <c r="H47" s="3">
        <f t="shared" si="29"/>
        <v>139.98335466110834</v>
      </c>
      <c r="I47" s="3">
        <f t="shared" si="30"/>
        <v>0</v>
      </c>
      <c r="J47" s="3">
        <f t="shared" si="31"/>
        <v>0</v>
      </c>
    </row>
    <row r="48" spans="1:10">
      <c r="A48" s="1" t="s">
        <v>6</v>
      </c>
      <c r="B48" s="3">
        <f t="shared" si="24"/>
        <v>416.88775508113463</v>
      </c>
      <c r="C48" s="3">
        <f t="shared" si="25"/>
        <v>477.40419964235895</v>
      </c>
      <c r="D48" s="3">
        <f t="shared" si="26"/>
        <v>415.54823712478691</v>
      </c>
      <c r="E48" s="3">
        <f t="shared" si="27"/>
        <v>0</v>
      </c>
      <c r="G48" s="3">
        <f t="shared" si="28"/>
        <v>728.16023173863505</v>
      </c>
      <c r="H48" s="3">
        <f t="shared" si="29"/>
        <v>728.16023173863516</v>
      </c>
      <c r="I48" s="3">
        <f t="shared" si="30"/>
        <v>536.6599862705616</v>
      </c>
      <c r="J48" s="3">
        <f t="shared" si="31"/>
        <v>0</v>
      </c>
    </row>
    <row r="49" spans="1:10">
      <c r="B49" s="4"/>
    </row>
    <row r="50" spans="1:10">
      <c r="A50" s="2" t="s">
        <v>67</v>
      </c>
      <c r="B50" s="1" t="s">
        <v>25</v>
      </c>
      <c r="C50" s="1" t="s">
        <v>26</v>
      </c>
      <c r="D50" s="1" t="s">
        <v>27</v>
      </c>
      <c r="E50" s="1" t="s">
        <v>28</v>
      </c>
      <c r="G50" s="2" t="s">
        <v>68</v>
      </c>
    </row>
    <row r="51" spans="1:10">
      <c r="A51" s="1" t="s">
        <v>56</v>
      </c>
      <c r="B51" s="3"/>
      <c r="C51" s="3"/>
      <c r="D51" s="3">
        <f>IF(E51&gt;0,E51,0)</f>
        <v>2897.2880383832194</v>
      </c>
      <c r="E51" s="3">
        <f>B42</f>
        <v>2897.2880383832194</v>
      </c>
      <c r="G51" s="3"/>
      <c r="H51" s="3"/>
      <c r="I51" s="3">
        <f>IF(J51&gt;0,J51,0)</f>
        <v>6368.9684287461278</v>
      </c>
      <c r="J51" s="3">
        <f>G42</f>
        <v>6368.9684287461278</v>
      </c>
    </row>
    <row r="52" spans="1:10">
      <c r="A52" s="1" t="s">
        <v>30</v>
      </c>
      <c r="B52" s="3">
        <f>B51+D51-C52</f>
        <v>2408.4830525790562</v>
      </c>
      <c r="C52" s="3">
        <f>IF(E52&lt;=0,-E52,0)</f>
        <v>488.80498580416315</v>
      </c>
      <c r="D52" s="3">
        <f t="shared" ref="D52:D57" si="32">IF(E52&gt;0,E52,0)</f>
        <v>0</v>
      </c>
      <c r="E52" s="3">
        <f>C42-B42</f>
        <v>-488.80498580416315</v>
      </c>
      <c r="G52" s="3">
        <f>G51+I51-H52</f>
        <v>4849.9228087973024</v>
      </c>
      <c r="H52" s="3">
        <f>IF(J52&lt;=0,-J52,0)</f>
        <v>1519.0456199488253</v>
      </c>
      <c r="I52" s="3">
        <f t="shared" ref="I52:I57" si="33">IF(J52&gt;0,J52,0)</f>
        <v>0</v>
      </c>
      <c r="J52" s="3">
        <f>H42-G42</f>
        <v>-1519.0456199488253</v>
      </c>
    </row>
    <row r="53" spans="1:10">
      <c r="A53" s="1" t="s">
        <v>22</v>
      </c>
      <c r="B53" s="3">
        <f>B52+D52-C53</f>
        <v>2408.4830525790562</v>
      </c>
      <c r="C53" s="3">
        <f t="shared" ref="C53:C57" si="34">IF(E53&lt;=0,-E53,0)</f>
        <v>0</v>
      </c>
      <c r="D53" s="3">
        <f t="shared" si="32"/>
        <v>0</v>
      </c>
      <c r="E53" s="3">
        <f>0</f>
        <v>0</v>
      </c>
      <c r="G53" s="3">
        <f>G52+I52-H53</f>
        <v>4849.9228087973024</v>
      </c>
      <c r="H53" s="3">
        <f t="shared" ref="H53:H57" si="35">IF(J53&lt;=0,-J53,0)</f>
        <v>0</v>
      </c>
      <c r="I53" s="3">
        <f t="shared" si="33"/>
        <v>0</v>
      </c>
      <c r="J53" s="3">
        <f>0</f>
        <v>0</v>
      </c>
    </row>
    <row r="54" spans="1:10">
      <c r="A54" s="1" t="s">
        <v>31</v>
      </c>
      <c r="B54" s="3">
        <f t="shared" ref="B54:B60" si="36">B53+D53-C54</f>
        <v>1888.7032774006398</v>
      </c>
      <c r="C54" s="3">
        <f t="shared" si="34"/>
        <v>519.77977517841646</v>
      </c>
      <c r="D54" s="3">
        <f t="shared" si="32"/>
        <v>0</v>
      </c>
      <c r="E54" s="3">
        <f>D43-C43</f>
        <v>-519.77977517841646</v>
      </c>
      <c r="G54" s="3">
        <f t="shared" ref="G54:G60" si="37">G53+I53-H54</f>
        <v>3779.0265143655743</v>
      </c>
      <c r="H54" s="3">
        <f t="shared" si="35"/>
        <v>1070.8962944317284</v>
      </c>
      <c r="I54" s="3">
        <f t="shared" si="33"/>
        <v>0</v>
      </c>
      <c r="J54" s="3">
        <f>I43-H43</f>
        <v>-1070.8962944317284</v>
      </c>
    </row>
    <row r="55" spans="1:10">
      <c r="A55" s="1" t="s">
        <v>32</v>
      </c>
      <c r="B55" s="3">
        <f t="shared" si="36"/>
        <v>1695.4834679399507</v>
      </c>
      <c r="C55" s="3">
        <f t="shared" si="34"/>
        <v>193.21980946068902</v>
      </c>
      <c r="D55" s="3">
        <f t="shared" si="32"/>
        <v>0</v>
      </c>
      <c r="E55" s="3">
        <f>D45-C45</f>
        <v>-193.21980946068902</v>
      </c>
      <c r="G55" s="3">
        <f t="shared" si="37"/>
        <v>3276.9908144673109</v>
      </c>
      <c r="H55" s="3">
        <f t="shared" si="35"/>
        <v>502.03569989826337</v>
      </c>
      <c r="I55" s="3">
        <f t="shared" si="33"/>
        <v>0</v>
      </c>
      <c r="J55" s="3">
        <f>I45-H45</f>
        <v>-502.03569989826337</v>
      </c>
    </row>
    <row r="56" spans="1:10">
      <c r="A56" s="1" t="s">
        <v>33</v>
      </c>
      <c r="B56" s="3">
        <f t="shared" si="36"/>
        <v>1455.9776573449626</v>
      </c>
      <c r="C56" s="3">
        <f t="shared" si="34"/>
        <v>239.50581059498808</v>
      </c>
      <c r="D56" s="3">
        <f t="shared" si="32"/>
        <v>0</v>
      </c>
      <c r="E56" s="3">
        <f>D48-C48+D47-C47+D46-C46+D44-C44</f>
        <v>-239.50581059498808</v>
      </c>
      <c r="G56" s="3">
        <f t="shared" si="37"/>
        <v>2819.2342763921147</v>
      </c>
      <c r="H56" s="3">
        <f t="shared" si="35"/>
        <v>457.75653807519626</v>
      </c>
      <c r="I56" s="3">
        <f t="shared" si="33"/>
        <v>0</v>
      </c>
      <c r="J56" s="3">
        <f>I48-H48+I47-H47+I46-H46+I44-H44</f>
        <v>-457.75653807519626</v>
      </c>
    </row>
    <row r="57" spans="1:10">
      <c r="A57" s="1" t="s">
        <v>36</v>
      </c>
      <c r="B57" s="3">
        <f t="shared" si="36"/>
        <v>1040.4294202201756</v>
      </c>
      <c r="C57" s="3">
        <f t="shared" si="34"/>
        <v>415.54823712478691</v>
      </c>
      <c r="D57" s="3">
        <f t="shared" si="32"/>
        <v>0</v>
      </c>
      <c r="E57" s="3">
        <f>E48-D48</f>
        <v>-415.54823712478691</v>
      </c>
      <c r="G57" s="3">
        <f t="shared" si="37"/>
        <v>2282.5742901215531</v>
      </c>
      <c r="H57" s="3">
        <f t="shared" si="35"/>
        <v>536.6599862705616</v>
      </c>
      <c r="I57" s="3">
        <f t="shared" si="33"/>
        <v>0</v>
      </c>
      <c r="J57" s="3">
        <f>J48-I48</f>
        <v>-536.6599862705616</v>
      </c>
    </row>
    <row r="58" spans="1:10">
      <c r="A58" s="1" t="s">
        <v>34</v>
      </c>
      <c r="B58" s="3">
        <f t="shared" si="36"/>
        <v>866.06412317516424</v>
      </c>
      <c r="C58" s="3">
        <f t="shared" ref="C58:C60" si="38">IF(E58&lt;=0,-E58,0)</f>
        <v>174.36529704501146</v>
      </c>
      <c r="D58" s="3">
        <f t="shared" ref="D58:D60" si="39">IF(E58&gt;0,E58,0)</f>
        <v>0</v>
      </c>
      <c r="E58" s="4">
        <f>E43-D43+E44-D44</f>
        <v>-174.36529704501146</v>
      </c>
      <c r="G58" s="3">
        <f t="shared" si="37"/>
        <v>1746.596990103762</v>
      </c>
      <c r="H58" s="3">
        <f t="shared" ref="H58:H60" si="40">IF(J58&lt;=0,-J58,0)</f>
        <v>535.97730001779121</v>
      </c>
      <c r="I58" s="3">
        <f t="shared" ref="I58:I60" si="41">IF(J58&gt;0,J58,0)</f>
        <v>0</v>
      </c>
      <c r="J58" s="4">
        <f>J43-I43+J44-I44</f>
        <v>-535.97730001779121</v>
      </c>
    </row>
    <row r="59" spans="1:10">
      <c r="A59" s="1" t="s">
        <v>35</v>
      </c>
      <c r="B59" s="3">
        <f t="shared" si="36"/>
        <v>793.90875592656232</v>
      </c>
      <c r="C59" s="3">
        <f t="shared" si="38"/>
        <v>72.155367248601962</v>
      </c>
      <c r="D59" s="3">
        <f t="shared" si="39"/>
        <v>0</v>
      </c>
      <c r="E59" s="4">
        <f>E47-C47</f>
        <v>-72.155367248601962</v>
      </c>
      <c r="G59" s="3">
        <f t="shared" si="37"/>
        <v>1606.6136354426537</v>
      </c>
      <c r="H59" s="3">
        <f t="shared" si="40"/>
        <v>139.98335466110834</v>
      </c>
      <c r="I59" s="3">
        <f t="shared" si="41"/>
        <v>0</v>
      </c>
      <c r="J59" s="4">
        <f>J47-H47</f>
        <v>-139.98335466110834</v>
      </c>
    </row>
    <row r="60" spans="1:10">
      <c r="A60" s="1" t="s">
        <v>37</v>
      </c>
      <c r="B60" s="3">
        <f t="shared" si="36"/>
        <v>793.90875592656232</v>
      </c>
      <c r="C60" s="3">
        <f t="shared" si="38"/>
        <v>0</v>
      </c>
      <c r="D60" s="3">
        <f t="shared" si="39"/>
        <v>0</v>
      </c>
      <c r="G60" s="3">
        <f t="shared" si="37"/>
        <v>1606.6136354426537</v>
      </c>
      <c r="H60" s="3">
        <f t="shared" si="40"/>
        <v>0</v>
      </c>
      <c r="I60" s="3">
        <f t="shared" si="41"/>
        <v>0</v>
      </c>
    </row>
    <row r="62" spans="1:10">
      <c r="A62" s="2" t="s">
        <v>69</v>
      </c>
    </row>
    <row r="63" spans="1:10">
      <c r="A63" s="1" t="s">
        <v>61</v>
      </c>
      <c r="B63" s="13">
        <f>B4*1000000*$B$15/$C$15/$D$15</f>
        <v>8.9050281982939211E-2</v>
      </c>
      <c r="C63" s="13">
        <f t="shared" ref="C63:E63" si="42">C4*1000000*$B$15/$C$15/$D$15</f>
        <v>7.402650069372449E-2</v>
      </c>
      <c r="D63" s="13">
        <f t="shared" si="42"/>
        <v>4.475054576202233E-2</v>
      </c>
      <c r="E63" s="13">
        <f t="shared" si="42"/>
        <v>2.6619118762901E-2</v>
      </c>
      <c r="G63" s="13">
        <f>G4*1000000*$G$15/$H$15/$I$15</f>
        <v>0.14825800245609061</v>
      </c>
      <c r="H63" s="13">
        <f t="shared" ref="H63:J63" si="43">H4*1000000*$G$15/$H$15/$I$15</f>
        <v>0.11289738295029975</v>
      </c>
      <c r="I63" s="13">
        <f t="shared" si="43"/>
        <v>6.5626646913042458E-2</v>
      </c>
      <c r="J63" s="13">
        <f t="shared" si="43"/>
        <v>4.0657601579536087E-2</v>
      </c>
    </row>
    <row r="64" spans="1:10">
      <c r="A64" s="1" t="s">
        <v>62</v>
      </c>
      <c r="B64" s="3">
        <f>B63*$M$15</f>
        <v>20481.56485607602</v>
      </c>
      <c r="C64" s="3">
        <f t="shared" ref="C64:E64" si="44">C63*$M$15</f>
        <v>17026.095159556633</v>
      </c>
      <c r="D64" s="3">
        <f t="shared" si="44"/>
        <v>10292.625525265135</v>
      </c>
      <c r="E64" s="3">
        <f t="shared" si="44"/>
        <v>6122.3973154672303</v>
      </c>
      <c r="G64" s="3">
        <f>G63*$M$15</f>
        <v>34099.340564900842</v>
      </c>
      <c r="H64" s="3">
        <f t="shared" ref="H64:J64" si="45">H63*$M$15</f>
        <v>25966.398078568942</v>
      </c>
      <c r="I64" s="3">
        <f t="shared" si="45"/>
        <v>15094.128789999766</v>
      </c>
      <c r="J64" s="3">
        <f t="shared" si="45"/>
        <v>9351.2483632932999</v>
      </c>
    </row>
    <row r="65" spans="1:10">
      <c r="A65" s="1" t="s">
        <v>0</v>
      </c>
      <c r="B65" s="3">
        <f>$B$64*(B5/$B$4)</f>
        <v>10193.01483647173</v>
      </c>
      <c r="C65" s="3">
        <f>$C$64*(C5/$C$4)</f>
        <v>7487.3069406160421</v>
      </c>
      <c r="D65" s="3">
        <f>$D$64*(D5/$D$4)</f>
        <v>3812.8696616307961</v>
      </c>
      <c r="E65" s="3">
        <f>$E$64*(E5/$E$4)</f>
        <v>1656.7572772540075</v>
      </c>
      <c r="G65" s="3">
        <f>$G$64*(G5/$G$4)</f>
        <v>16471.419870102578</v>
      </c>
      <c r="H65" s="3">
        <f>$H$64*(H5/$H$4)</f>
        <v>11677.685413945666</v>
      </c>
      <c r="I65" s="3">
        <f>$I$64*(I5/$I$4)</f>
        <v>5944.1262258202833</v>
      </c>
      <c r="J65" s="3">
        <f>$J$64*(J5/$J$4)</f>
        <v>2564.2865678361018</v>
      </c>
    </row>
    <row r="66" spans="1:10">
      <c r="A66" s="1" t="s">
        <v>2</v>
      </c>
      <c r="B66" s="3">
        <f t="shared" ref="B66:B70" si="46">$B$64*(B6/$B$4)</f>
        <v>1055.7269025904473</v>
      </c>
      <c r="C66" s="3">
        <f t="shared" ref="C66:C70" si="47">$C$64*(C6/$C$4)</f>
        <v>958.29785018873724</v>
      </c>
      <c r="D66" s="3">
        <f t="shared" ref="D66:D70" si="48">$D$64*(D6/$D$4)</f>
        <v>958.29785018873747</v>
      </c>
      <c r="E66" s="3">
        <f t="shared" ref="E66:E70" si="49">$E$64*(E6/$E$4)</f>
        <v>1881.7836911345016</v>
      </c>
      <c r="G66" s="3">
        <f t="shared" ref="G66:G70" si="50">$G$64*(G6/$G$4)</f>
        <v>3317.553460623405</v>
      </c>
      <c r="H66" s="3">
        <f t="shared" ref="H66:H70" si="51">$H$64*(H6/$H$4)</f>
        <v>2402.5561404182781</v>
      </c>
      <c r="I66" s="3">
        <f t="shared" ref="I66:I70" si="52">$I$64*(I6/$I$4)</f>
        <v>2402.5561404182781</v>
      </c>
      <c r="J66" s="3">
        <f t="shared" ref="J66:J70" si="53">$J$64*(J6/$J$4)</f>
        <v>2912.7831299093259</v>
      </c>
    </row>
    <row r="67" spans="1:10">
      <c r="A67" s="1" t="s">
        <v>1</v>
      </c>
      <c r="B67" s="3">
        <f t="shared" si="46"/>
        <v>3948.9278560917537</v>
      </c>
      <c r="C67" s="3">
        <f t="shared" si="47"/>
        <v>3949.7695757669294</v>
      </c>
      <c r="D67" s="3">
        <f t="shared" si="48"/>
        <v>2583.8563470787212</v>
      </c>
      <c r="E67" s="3">
        <f t="shared" si="49"/>
        <v>2583.8563470787212</v>
      </c>
      <c r="G67" s="3">
        <f t="shared" si="50"/>
        <v>7467.8902824764264</v>
      </c>
      <c r="H67" s="3">
        <f t="shared" si="51"/>
        <v>6562.0686273355323</v>
      </c>
      <c r="I67" s="3">
        <f t="shared" si="52"/>
        <v>3874.1786655478718</v>
      </c>
      <c r="J67" s="3">
        <f t="shared" si="53"/>
        <v>3874.1786655478713</v>
      </c>
    </row>
    <row r="68" spans="1:10">
      <c r="A68" s="1" t="s">
        <v>3</v>
      </c>
      <c r="B68" s="3">
        <f t="shared" si="46"/>
        <v>1069.4048473120695</v>
      </c>
      <c r="C68" s="3">
        <f t="shared" si="47"/>
        <v>745.76363220660619</v>
      </c>
      <c r="D68" s="3">
        <f t="shared" si="48"/>
        <v>0</v>
      </c>
      <c r="E68" s="3">
        <f t="shared" si="49"/>
        <v>0</v>
      </c>
      <c r="G68" s="3">
        <f t="shared" si="50"/>
        <v>663.21707084262562</v>
      </c>
      <c r="H68" s="3">
        <f t="shared" si="51"/>
        <v>676.06300193254924</v>
      </c>
      <c r="I68" s="3">
        <f t="shared" si="52"/>
        <v>0</v>
      </c>
      <c r="J68" s="3">
        <f t="shared" si="53"/>
        <v>0</v>
      </c>
    </row>
    <row r="69" spans="1:10">
      <c r="A69" s="1" t="s">
        <v>4</v>
      </c>
      <c r="B69" s="3">
        <f t="shared" si="46"/>
        <v>1267.4194008974014</v>
      </c>
      <c r="C69" s="3">
        <f t="shared" si="47"/>
        <v>510.08212315711449</v>
      </c>
      <c r="D69" s="3">
        <f t="shared" si="48"/>
        <v>0</v>
      </c>
      <c r="E69" s="3">
        <f>$E$64*(E9/$E$4)</f>
        <v>0</v>
      </c>
      <c r="G69" s="3">
        <f t="shared" si="50"/>
        <v>2280.7033083652882</v>
      </c>
      <c r="H69" s="3">
        <f t="shared" si="51"/>
        <v>749.46832244639825</v>
      </c>
      <c r="I69" s="3">
        <f t="shared" si="52"/>
        <v>0</v>
      </c>
      <c r="J69" s="3">
        <f t="shared" si="53"/>
        <v>0</v>
      </c>
    </row>
    <row r="70" spans="1:10">
      <c r="A70" s="1" t="s">
        <v>6</v>
      </c>
      <c r="B70" s="3">
        <f t="shared" si="46"/>
        <v>2947.0710127126199</v>
      </c>
      <c r="C70" s="3">
        <f t="shared" si="47"/>
        <v>3374.8750376212047</v>
      </c>
      <c r="D70" s="3">
        <f t="shared" si="48"/>
        <v>2937.6016663668811</v>
      </c>
      <c r="E70" s="3">
        <f t="shared" si="49"/>
        <v>0</v>
      </c>
      <c r="G70" s="3">
        <f t="shared" si="50"/>
        <v>3898.55657249052</v>
      </c>
      <c r="H70" s="3">
        <f t="shared" si="51"/>
        <v>3898.5565724905209</v>
      </c>
      <c r="I70" s="3">
        <f t="shared" si="52"/>
        <v>2873.2677582133342</v>
      </c>
      <c r="J70" s="3">
        <f t="shared" si="53"/>
        <v>0</v>
      </c>
    </row>
    <row r="71" spans="1:10">
      <c r="B71" s="4"/>
    </row>
    <row r="72" spans="1:10">
      <c r="A72" s="2" t="s">
        <v>70</v>
      </c>
      <c r="B72" s="1" t="s">
        <v>25</v>
      </c>
      <c r="C72" s="1" t="s">
        <v>26</v>
      </c>
      <c r="D72" s="1" t="s">
        <v>27</v>
      </c>
      <c r="E72" s="1" t="s">
        <v>28</v>
      </c>
      <c r="G72" s="2" t="s">
        <v>71</v>
      </c>
    </row>
    <row r="73" spans="1:10">
      <c r="A73" s="1" t="s">
        <v>56</v>
      </c>
      <c r="B73" s="3"/>
      <c r="C73" s="3"/>
      <c r="D73" s="3">
        <f>IF(E73&gt;0,E73,0)</f>
        <v>20481.56485607602</v>
      </c>
      <c r="E73" s="3">
        <f>B64</f>
        <v>20481.56485607602</v>
      </c>
      <c r="G73" s="3"/>
      <c r="H73" s="3"/>
      <c r="I73" s="3">
        <f>IF(J73&gt;0,J73,0)</f>
        <v>34099.340564900842</v>
      </c>
      <c r="J73" s="3">
        <f>G64</f>
        <v>34099.340564900842</v>
      </c>
    </row>
    <row r="74" spans="1:10">
      <c r="A74" s="1" t="s">
        <v>30</v>
      </c>
      <c r="B74" s="3">
        <f>B73+D73-C74</f>
        <v>17026.095159556633</v>
      </c>
      <c r="C74" s="3">
        <f>IF(E74&lt;=0,-E74,0)</f>
        <v>3455.4696965193871</v>
      </c>
      <c r="D74" s="3">
        <f t="shared" ref="D74:D79" si="54">IF(E74&gt;0,E74,0)</f>
        <v>0</v>
      </c>
      <c r="E74" s="3">
        <f>C64-B64</f>
        <v>-3455.4696965193871</v>
      </c>
      <c r="G74" s="3">
        <f>G73+I73-H74</f>
        <v>25966.398078568942</v>
      </c>
      <c r="H74" s="3">
        <f>IF(J74&lt;=0,-J74,0)</f>
        <v>8132.9424863319</v>
      </c>
      <c r="I74" s="3">
        <f t="shared" ref="I74:I79" si="55">IF(J74&gt;0,J74,0)</f>
        <v>0</v>
      </c>
      <c r="J74" s="3">
        <f>H64-G64</f>
        <v>-8132.9424863319</v>
      </c>
    </row>
    <row r="75" spans="1:10">
      <c r="A75" s="1" t="s">
        <v>22</v>
      </c>
      <c r="B75" s="3">
        <f>B74+D74-C75</f>
        <v>17026.095159556633</v>
      </c>
      <c r="C75" s="3">
        <f t="shared" ref="C75:C79" si="56">IF(E75&lt;=0,-E75,0)</f>
        <v>0</v>
      </c>
      <c r="D75" s="3">
        <f t="shared" si="54"/>
        <v>0</v>
      </c>
      <c r="E75" s="3">
        <f>0</f>
        <v>0</v>
      </c>
      <c r="G75" s="3">
        <f>G74+I74-H75</f>
        <v>25966.398078568942</v>
      </c>
      <c r="H75" s="3">
        <f t="shared" ref="H75:H79" si="57">IF(J75&lt;=0,-J75,0)</f>
        <v>0</v>
      </c>
      <c r="I75" s="3">
        <f t="shared" si="55"/>
        <v>0</v>
      </c>
      <c r="J75" s="3">
        <f>0</f>
        <v>0</v>
      </c>
    </row>
    <row r="76" spans="1:10">
      <c r="A76" s="1" t="s">
        <v>31</v>
      </c>
      <c r="B76" s="3">
        <f t="shared" ref="B76:B82" si="58">B75+D75-C76</f>
        <v>13351.657880571387</v>
      </c>
      <c r="C76" s="3">
        <f t="shared" si="56"/>
        <v>3674.4372789852459</v>
      </c>
      <c r="D76" s="3">
        <f t="shared" si="54"/>
        <v>0</v>
      </c>
      <c r="E76" s="3">
        <f>D65-C65</f>
        <v>-3674.4372789852459</v>
      </c>
      <c r="G76" s="3">
        <f t="shared" ref="G76:G82" si="59">G75+I75-H76</f>
        <v>20232.83889044356</v>
      </c>
      <c r="H76" s="3">
        <f t="shared" si="57"/>
        <v>5733.5591881253831</v>
      </c>
      <c r="I76" s="3">
        <f t="shared" si="55"/>
        <v>0</v>
      </c>
      <c r="J76" s="3">
        <f>I65-H65</f>
        <v>-5733.5591881253831</v>
      </c>
    </row>
    <row r="77" spans="1:10">
      <c r="A77" s="1" t="s">
        <v>32</v>
      </c>
      <c r="B77" s="3">
        <f t="shared" si="58"/>
        <v>11985.744651883178</v>
      </c>
      <c r="C77" s="3">
        <f t="shared" si="56"/>
        <v>1365.9132286882082</v>
      </c>
      <c r="D77" s="3">
        <f t="shared" si="54"/>
        <v>0</v>
      </c>
      <c r="E77" s="3">
        <f>D67-C67</f>
        <v>-1365.9132286882082</v>
      </c>
      <c r="G77" s="3">
        <f t="shared" si="59"/>
        <v>17544.9489286559</v>
      </c>
      <c r="H77" s="3">
        <f t="shared" si="57"/>
        <v>2687.8899617876605</v>
      </c>
      <c r="I77" s="3">
        <f t="shared" si="55"/>
        <v>0</v>
      </c>
      <c r="J77" s="3">
        <f>I67-H67</f>
        <v>-2687.8899617876605</v>
      </c>
    </row>
    <row r="78" spans="1:10">
      <c r="A78" s="1" t="s">
        <v>33</v>
      </c>
      <c r="B78" s="3">
        <f t="shared" si="58"/>
        <v>10292.625525265135</v>
      </c>
      <c r="C78" s="3">
        <f t="shared" si="56"/>
        <v>1693.119126618044</v>
      </c>
      <c r="D78" s="3">
        <f t="shared" si="54"/>
        <v>0</v>
      </c>
      <c r="E78" s="3">
        <f>D70-C70+D69-C69+D68-C68+D66-C66</f>
        <v>-1693.119126618044</v>
      </c>
      <c r="G78" s="3">
        <f t="shared" si="59"/>
        <v>15094.128789999766</v>
      </c>
      <c r="H78" s="3">
        <f t="shared" si="57"/>
        <v>2450.8201386561341</v>
      </c>
      <c r="I78" s="3">
        <f t="shared" si="55"/>
        <v>0</v>
      </c>
      <c r="J78" s="3">
        <f>I70-H70+I69-H69+I68-H68+I66-H66</f>
        <v>-2450.8201386561341</v>
      </c>
    </row>
    <row r="79" spans="1:10">
      <c r="A79" s="1" t="s">
        <v>36</v>
      </c>
      <c r="B79" s="3">
        <f t="shared" si="58"/>
        <v>7355.0238588982538</v>
      </c>
      <c r="C79" s="3">
        <f t="shared" si="56"/>
        <v>2937.6016663668811</v>
      </c>
      <c r="D79" s="3">
        <f t="shared" si="54"/>
        <v>0</v>
      </c>
      <c r="E79" s="3">
        <f>E70-D70</f>
        <v>-2937.6016663668811</v>
      </c>
      <c r="G79" s="3">
        <f t="shared" si="59"/>
        <v>12220.861031786431</v>
      </c>
      <c r="H79" s="3">
        <f t="shared" si="57"/>
        <v>2873.2677582133342</v>
      </c>
      <c r="I79" s="3">
        <f t="shared" si="55"/>
        <v>0</v>
      </c>
      <c r="J79" s="3">
        <f>J70-I70</f>
        <v>-2873.2677582133342</v>
      </c>
    </row>
    <row r="80" spans="1:10">
      <c r="A80" s="1" t="s">
        <v>34</v>
      </c>
      <c r="B80" s="3">
        <f t="shared" si="58"/>
        <v>6122.3973154672294</v>
      </c>
      <c r="C80" s="3">
        <f t="shared" ref="C80:C82" si="60">IF(E80&lt;=0,-E80,0)</f>
        <v>1232.6265434310244</v>
      </c>
      <c r="D80" s="3">
        <f t="shared" ref="D80:D82" si="61">IF(E80&gt;0,E80,0)</f>
        <v>0</v>
      </c>
      <c r="E80" s="4">
        <f>E65-D65+E66-D66</f>
        <v>-1232.6265434310244</v>
      </c>
      <c r="G80" s="3">
        <f t="shared" si="59"/>
        <v>9351.2483632932981</v>
      </c>
      <c r="H80" s="3">
        <f t="shared" ref="H80:H82" si="62">IF(J80&lt;=0,-J80,0)</f>
        <v>2869.6126684931337</v>
      </c>
      <c r="I80" s="3">
        <f t="shared" ref="I80:I82" si="63">IF(J80&gt;0,J80,0)</f>
        <v>0</v>
      </c>
      <c r="J80" s="4">
        <f>J65-I65+J66-I66</f>
        <v>-2869.6126684931337</v>
      </c>
    </row>
    <row r="81" spans="1:10">
      <c r="A81" s="1" t="s">
        <v>35</v>
      </c>
      <c r="B81" s="3">
        <f t="shared" si="58"/>
        <v>5612.315192310115</v>
      </c>
      <c r="C81" s="3">
        <f t="shared" si="60"/>
        <v>510.08212315711449</v>
      </c>
      <c r="D81" s="3">
        <f t="shared" si="61"/>
        <v>0</v>
      </c>
      <c r="E81" s="4">
        <f>E69-C69</f>
        <v>-510.08212315711449</v>
      </c>
      <c r="G81" s="3">
        <f t="shared" si="59"/>
        <v>8601.7800408468993</v>
      </c>
      <c r="H81" s="3">
        <f t="shared" si="62"/>
        <v>749.46832244639825</v>
      </c>
      <c r="I81" s="3">
        <f t="shared" si="63"/>
        <v>0</v>
      </c>
      <c r="J81" s="4">
        <f>J69-H69</f>
        <v>-749.46832244639825</v>
      </c>
    </row>
    <row r="82" spans="1:10">
      <c r="A82" s="1" t="s">
        <v>37</v>
      </c>
      <c r="B82" s="3">
        <f t="shared" si="58"/>
        <v>5612.315192310115</v>
      </c>
      <c r="C82" s="3">
        <f t="shared" si="60"/>
        <v>0</v>
      </c>
      <c r="D82" s="3">
        <f t="shared" si="61"/>
        <v>0</v>
      </c>
      <c r="G82" s="3">
        <f t="shared" si="59"/>
        <v>8601.7800408468993</v>
      </c>
      <c r="H82" s="3">
        <f t="shared" si="62"/>
        <v>0</v>
      </c>
      <c r="I82" s="3">
        <f t="shared" si="63"/>
        <v>0</v>
      </c>
    </row>
    <row r="84" spans="1:10">
      <c r="A84" s="2" t="s">
        <v>72</v>
      </c>
    </row>
    <row r="85" spans="1:10">
      <c r="A85" s="1" t="s">
        <v>61</v>
      </c>
      <c r="B85" s="13">
        <f>B4*1000000*$B$16/$C$16/$D$16</f>
        <v>9.153490103317116E-4</v>
      </c>
      <c r="C85" s="13">
        <f t="shared" ref="C85:E85" si="64">C4*1000000*$B$16/$C$16/$D$16</f>
        <v>7.6091936644627782E-4</v>
      </c>
      <c r="D85" s="13">
        <f t="shared" si="64"/>
        <v>4.5999144374319809E-4</v>
      </c>
      <c r="E85" s="13">
        <f t="shared" si="64"/>
        <v>2.736182690605277E-4</v>
      </c>
      <c r="G85" s="13">
        <f>G4*1000000*$G$16/$H$16/$I$16</f>
        <v>3.8943259299114949E-2</v>
      </c>
      <c r="H85" s="13">
        <f t="shared" ref="H85:J85" si="65">H4*1000000*$G$16/$H$16/$I$16</f>
        <v>2.9655006715250565E-2</v>
      </c>
      <c r="I85" s="13">
        <f t="shared" si="65"/>
        <v>1.7238297328489891E-2</v>
      </c>
      <c r="J85" s="13">
        <f t="shared" si="65"/>
        <v>1.0679622648098979E-2</v>
      </c>
    </row>
    <row r="86" spans="1:10">
      <c r="A86" s="1" t="s">
        <v>62</v>
      </c>
      <c r="B86" s="3">
        <f>B85*$M$16</f>
        <v>67735.826764546655</v>
      </c>
      <c r="C86" s="3">
        <f t="shared" ref="C86:E86" si="66">C85*$M$16</f>
        <v>56308.033117024555</v>
      </c>
      <c r="D86" s="3">
        <f t="shared" si="66"/>
        <v>34039.366836996662</v>
      </c>
      <c r="E86" s="3">
        <f t="shared" si="66"/>
        <v>20247.751910479052</v>
      </c>
      <c r="G86" s="3">
        <f>G85*$M$16</f>
        <v>2881801.1881345063</v>
      </c>
      <c r="H86" s="3">
        <f t="shared" ref="H86:J86" si="67">H85*$M$16</f>
        <v>2194470.4969285419</v>
      </c>
      <c r="I86" s="3">
        <f t="shared" si="67"/>
        <v>1275634.002308252</v>
      </c>
      <c r="J86" s="3">
        <f t="shared" si="67"/>
        <v>790292.07595932437</v>
      </c>
    </row>
    <row r="87" spans="1:10">
      <c r="A87" s="1" t="s">
        <v>0</v>
      </c>
      <c r="B87" s="3">
        <f>$B$86*(B5/$B$4)</f>
        <v>33709.938279783375</v>
      </c>
      <c r="C87" s="3">
        <f>$C$86*(C5/$C$4)</f>
        <v>24761.727408348073</v>
      </c>
      <c r="D87" s="3">
        <f>$D$86*(D5/$D$4)</f>
        <v>12609.772773265518</v>
      </c>
      <c r="E87" s="3">
        <f>$E$86*(E5/$E$4)</f>
        <v>5479.1625889702436</v>
      </c>
      <c r="G87" s="3">
        <f>$G$86*(G5/$G$4)</f>
        <v>1392031.5339113348</v>
      </c>
      <c r="H87" s="3">
        <f>$H$86*(H5/$H$4)</f>
        <v>986903.76831536461</v>
      </c>
      <c r="I87" s="3">
        <f>$I$86*(I5/$I$4)</f>
        <v>502349.59785769059</v>
      </c>
      <c r="J87" s="3">
        <f>$J$86*(J5/$J$4)</f>
        <v>216712.81483706666</v>
      </c>
    </row>
    <row r="88" spans="1:10">
      <c r="A88" s="1" t="s">
        <v>2</v>
      </c>
      <c r="B88" s="3">
        <f t="shared" ref="B88:B92" si="68">$B$86*(B6/$B$4)</f>
        <v>3491.4585426964472</v>
      </c>
      <c r="C88" s="3">
        <f t="shared" ref="C88:C92" si="69">$C$86*(C6/$C$4)</f>
        <v>3169.2450076618738</v>
      </c>
      <c r="D88" s="3">
        <f t="shared" ref="D88:D92" si="70">$D$86*(D6/$D$4)</f>
        <v>3169.2450076618743</v>
      </c>
      <c r="E88" s="3">
        <f t="shared" ref="E88:E92" si="71">$E$86*(E6/$E$4)</f>
        <v>6223.3611057908256</v>
      </c>
      <c r="G88" s="3">
        <f t="shared" ref="G88:G92" si="72">$G$86*(G6/$G$4)</f>
        <v>280372.8560770211</v>
      </c>
      <c r="H88" s="3">
        <f t="shared" ref="H88:H92" si="73">$H$86*(H6/$H$4)</f>
        <v>203044.66377698648</v>
      </c>
      <c r="I88" s="3">
        <f t="shared" ref="I88:I92" si="74">$I$86*(I6/$I$4)</f>
        <v>203044.6637769865</v>
      </c>
      <c r="J88" s="3">
        <f t="shared" ref="J88:J92" si="75">$J$86*(J6/$J$4)</f>
        <v>246164.93297207696</v>
      </c>
    </row>
    <row r="89" spans="1:10">
      <c r="A89" s="1" t="s">
        <v>1</v>
      </c>
      <c r="B89" s="3">
        <f t="shared" si="68"/>
        <v>13059.739089543855</v>
      </c>
      <c r="C89" s="3">
        <f t="shared" si="69"/>
        <v>13062.522791790376</v>
      </c>
      <c r="D89" s="3">
        <f t="shared" si="70"/>
        <v>8545.2282157179834</v>
      </c>
      <c r="E89" s="3">
        <f t="shared" si="71"/>
        <v>8545.2282157179816</v>
      </c>
      <c r="G89" s="3">
        <f t="shared" si="72"/>
        <v>631125.84385431453</v>
      </c>
      <c r="H89" s="3">
        <f t="shared" si="73"/>
        <v>554573.10474621772</v>
      </c>
      <c r="I89" s="3">
        <f t="shared" si="74"/>
        <v>327414.32815018081</v>
      </c>
      <c r="J89" s="3">
        <f t="shared" si="75"/>
        <v>327414.32815018069</v>
      </c>
    </row>
    <row r="90" spans="1:10">
      <c r="A90" s="1" t="s">
        <v>3</v>
      </c>
      <c r="B90" s="3">
        <f t="shared" si="68"/>
        <v>3536.6937042023806</v>
      </c>
      <c r="C90" s="3">
        <f t="shared" si="69"/>
        <v>2466.3601904158277</v>
      </c>
      <c r="D90" s="3">
        <f t="shared" si="70"/>
        <v>0</v>
      </c>
      <c r="E90" s="3">
        <f t="shared" si="71"/>
        <v>0</v>
      </c>
      <c r="G90" s="3">
        <f t="shared" si="72"/>
        <v>56049.756713262213</v>
      </c>
      <c r="H90" s="3">
        <f t="shared" si="73"/>
        <v>57135.391181975101</v>
      </c>
      <c r="I90" s="3">
        <f t="shared" si="74"/>
        <v>0</v>
      </c>
      <c r="J90" s="3">
        <f t="shared" si="75"/>
        <v>0</v>
      </c>
    </row>
    <row r="91" spans="1:10">
      <c r="A91" s="1" t="s">
        <v>4</v>
      </c>
      <c r="B91" s="3">
        <f t="shared" si="68"/>
        <v>4191.5596576959733</v>
      </c>
      <c r="C91" s="3">
        <f t="shared" si="69"/>
        <v>1686.92356139051</v>
      </c>
      <c r="D91" s="3">
        <f t="shared" si="70"/>
        <v>0</v>
      </c>
      <c r="E91" s="3">
        <f t="shared" si="71"/>
        <v>0</v>
      </c>
      <c r="G91" s="3">
        <f t="shared" si="72"/>
        <v>192746.6453880528</v>
      </c>
      <c r="H91" s="3">
        <f t="shared" si="73"/>
        <v>63339.01671747728</v>
      </c>
      <c r="I91" s="3">
        <f t="shared" si="74"/>
        <v>0</v>
      </c>
      <c r="J91" s="3">
        <f t="shared" si="75"/>
        <v>0</v>
      </c>
    </row>
    <row r="92" spans="1:10">
      <c r="A92" s="1" t="s">
        <v>6</v>
      </c>
      <c r="B92" s="3">
        <f t="shared" si="68"/>
        <v>9746.4374906246267</v>
      </c>
      <c r="C92" s="3">
        <f t="shared" si="69"/>
        <v>11161.254157417901</v>
      </c>
      <c r="D92" s="3">
        <f t="shared" si="70"/>
        <v>9715.1208403512883</v>
      </c>
      <c r="E92" s="3">
        <f t="shared" si="71"/>
        <v>0</v>
      </c>
      <c r="G92" s="3">
        <f t="shared" si="72"/>
        <v>329474.55219052092</v>
      </c>
      <c r="H92" s="3">
        <f t="shared" si="73"/>
        <v>329474.55219052098</v>
      </c>
      <c r="I92" s="3">
        <f t="shared" si="74"/>
        <v>242825.41252339422</v>
      </c>
      <c r="J92" s="3">
        <f t="shared" si="75"/>
        <v>0</v>
      </c>
    </row>
    <row r="93" spans="1:10">
      <c r="B93" s="4"/>
    </row>
    <row r="94" spans="1:10">
      <c r="A94" s="2" t="s">
        <v>73</v>
      </c>
      <c r="B94" s="1" t="s">
        <v>25</v>
      </c>
      <c r="C94" s="1" t="s">
        <v>26</v>
      </c>
      <c r="D94" s="1" t="s">
        <v>27</v>
      </c>
      <c r="E94" s="1" t="s">
        <v>28</v>
      </c>
      <c r="G94" s="2" t="s">
        <v>74</v>
      </c>
    </row>
    <row r="95" spans="1:10">
      <c r="A95" s="1" t="s">
        <v>56</v>
      </c>
      <c r="B95" s="3"/>
      <c r="C95" s="3"/>
      <c r="D95" s="3">
        <f>IF(E95&gt;0,E95,0)</f>
        <v>67735.826764546655</v>
      </c>
      <c r="E95" s="3">
        <f>B86</f>
        <v>67735.826764546655</v>
      </c>
      <c r="G95" s="3"/>
      <c r="H95" s="3"/>
      <c r="I95" s="3">
        <f>IF(J95&gt;0,J95,0)</f>
        <v>2881801.1881345063</v>
      </c>
      <c r="J95" s="3">
        <f>G86</f>
        <v>2881801.1881345063</v>
      </c>
    </row>
    <row r="96" spans="1:10">
      <c r="A96" s="1" t="s">
        <v>30</v>
      </c>
      <c r="B96" s="3">
        <f>B95+D95-C96</f>
        <v>56308.033117024555</v>
      </c>
      <c r="C96" s="3">
        <f>IF(E96&lt;=0,-E96,0)</f>
        <v>11427.793647522099</v>
      </c>
      <c r="D96" s="3">
        <f t="shared" ref="D96:D101" si="76">IF(E96&gt;0,E96,0)</f>
        <v>0</v>
      </c>
      <c r="E96" s="3">
        <f>C86-B86</f>
        <v>-11427.793647522099</v>
      </c>
      <c r="G96" s="3">
        <f>G95+I95-H96</f>
        <v>2194470.4969285419</v>
      </c>
      <c r="H96" s="3">
        <f>IF(J96&lt;=0,-J96,0)</f>
        <v>687330.69120596442</v>
      </c>
      <c r="I96" s="3">
        <f t="shared" ref="I96:I101" si="77">IF(J96&gt;0,J96,0)</f>
        <v>0</v>
      </c>
      <c r="J96" s="3">
        <f>H86-G86</f>
        <v>-687330.69120596442</v>
      </c>
    </row>
    <row r="97" spans="1:10">
      <c r="A97" s="1" t="s">
        <v>22</v>
      </c>
      <c r="B97" s="3">
        <f>B96+D96-C97</f>
        <v>56308.033117024555</v>
      </c>
      <c r="C97" s="3">
        <f t="shared" ref="C97:C101" si="78">IF(E97&lt;=0,-E97,0)</f>
        <v>0</v>
      </c>
      <c r="D97" s="3">
        <f t="shared" si="76"/>
        <v>0</v>
      </c>
      <c r="E97" s="3">
        <f>0</f>
        <v>0</v>
      </c>
      <c r="G97" s="3">
        <f>G96+I96-H97</f>
        <v>2194470.4969285419</v>
      </c>
      <c r="H97" s="3">
        <f t="shared" ref="H97:H101" si="79">IF(J97&lt;=0,-J97,0)</f>
        <v>0</v>
      </c>
      <c r="I97" s="3">
        <f t="shared" si="77"/>
        <v>0</v>
      </c>
      <c r="J97" s="3">
        <f>0</f>
        <v>0</v>
      </c>
    </row>
    <row r="98" spans="1:10">
      <c r="A98" s="1" t="s">
        <v>31</v>
      </c>
      <c r="B98" s="3">
        <f t="shared" ref="B98:B104" si="80">B97+D97-C98</f>
        <v>44156.078481942001</v>
      </c>
      <c r="C98" s="3">
        <f t="shared" si="78"/>
        <v>12151.954635082555</v>
      </c>
      <c r="D98" s="3">
        <f t="shared" si="76"/>
        <v>0</v>
      </c>
      <c r="E98" s="3">
        <f>D87-C87</f>
        <v>-12151.954635082555</v>
      </c>
      <c r="G98" s="3">
        <f t="shared" ref="G98:G104" si="81">G97+I97-H98</f>
        <v>1709916.326470868</v>
      </c>
      <c r="H98" s="3">
        <f t="shared" si="79"/>
        <v>484554.17045767402</v>
      </c>
      <c r="I98" s="3">
        <f t="shared" si="77"/>
        <v>0</v>
      </c>
      <c r="J98" s="3">
        <f>I87-H87</f>
        <v>-484554.17045767402</v>
      </c>
    </row>
    <row r="99" spans="1:10">
      <c r="A99" s="1" t="s">
        <v>32</v>
      </c>
      <c r="B99" s="3">
        <f t="shared" si="80"/>
        <v>39638.783905869612</v>
      </c>
      <c r="C99" s="3">
        <f t="shared" si="78"/>
        <v>4517.2945760723924</v>
      </c>
      <c r="D99" s="3">
        <f t="shared" si="76"/>
        <v>0</v>
      </c>
      <c r="E99" s="3">
        <f>D89-C89</f>
        <v>-4517.2945760723924</v>
      </c>
      <c r="G99" s="3">
        <f t="shared" si="81"/>
        <v>1482757.549874831</v>
      </c>
      <c r="H99" s="3">
        <f t="shared" si="79"/>
        <v>227158.77659603691</v>
      </c>
      <c r="I99" s="3">
        <f t="shared" si="77"/>
        <v>0</v>
      </c>
      <c r="J99" s="3">
        <f>I89-H89</f>
        <v>-227158.77659603691</v>
      </c>
    </row>
    <row r="100" spans="1:10">
      <c r="A100" s="1" t="s">
        <v>33</v>
      </c>
      <c r="B100" s="3">
        <f t="shared" si="80"/>
        <v>34039.366836996662</v>
      </c>
      <c r="C100" s="3">
        <f t="shared" si="78"/>
        <v>5599.41706887295</v>
      </c>
      <c r="D100" s="3">
        <f t="shared" si="76"/>
        <v>0</v>
      </c>
      <c r="E100" s="3">
        <f>D92-C92+D91-C91+D90-C90+D88-C88</f>
        <v>-5599.41706887295</v>
      </c>
      <c r="G100" s="3">
        <f t="shared" si="81"/>
        <v>1275634.0023082518</v>
      </c>
      <c r="H100" s="3">
        <f t="shared" si="79"/>
        <v>207123.54756657913</v>
      </c>
      <c r="I100" s="3">
        <f t="shared" si="77"/>
        <v>0</v>
      </c>
      <c r="J100" s="3">
        <f>I92-H92+I91-H91+I90-H90+I88-H88</f>
        <v>-207123.54756657913</v>
      </c>
    </row>
    <row r="101" spans="1:10">
      <c r="A101" s="1" t="s">
        <v>36</v>
      </c>
      <c r="B101" s="3">
        <f t="shared" si="80"/>
        <v>24324.245996645375</v>
      </c>
      <c r="C101" s="3">
        <f t="shared" si="78"/>
        <v>9715.1208403512883</v>
      </c>
      <c r="D101" s="3">
        <f t="shared" si="76"/>
        <v>0</v>
      </c>
      <c r="E101" s="3">
        <f>E92-D92</f>
        <v>-9715.1208403512883</v>
      </c>
      <c r="G101" s="3">
        <f t="shared" si="81"/>
        <v>1032808.5897848576</v>
      </c>
      <c r="H101" s="3">
        <f t="shared" si="79"/>
        <v>242825.41252339422</v>
      </c>
      <c r="I101" s="3">
        <f t="shared" si="77"/>
        <v>0</v>
      </c>
      <c r="J101" s="3">
        <f>J92-I92</f>
        <v>-242825.41252339422</v>
      </c>
    </row>
    <row r="102" spans="1:10">
      <c r="A102" s="1" t="s">
        <v>34</v>
      </c>
      <c r="B102" s="3">
        <f t="shared" si="80"/>
        <v>20247.751910479052</v>
      </c>
      <c r="C102" s="3">
        <f t="shared" ref="C102:C104" si="82">IF(E102&lt;=0,-E102,0)</f>
        <v>4076.4940861663235</v>
      </c>
      <c r="D102" s="3">
        <f t="shared" ref="D102:D104" si="83">IF(E102&gt;0,E102,0)</f>
        <v>0</v>
      </c>
      <c r="E102" s="4">
        <f>E87-D87+E88-D88</f>
        <v>-4076.4940861663235</v>
      </c>
      <c r="G102" s="3">
        <f t="shared" si="81"/>
        <v>790292.07595932414</v>
      </c>
      <c r="H102" s="3">
        <f t="shared" ref="H102:H104" si="84">IF(J102&lt;=0,-J102,0)</f>
        <v>242516.5138255335</v>
      </c>
      <c r="I102" s="3">
        <f t="shared" ref="I102:I104" si="85">IF(J102&gt;0,J102,0)</f>
        <v>0</v>
      </c>
      <c r="J102" s="4">
        <f>J87-I87+J88-I88</f>
        <v>-242516.5138255335</v>
      </c>
    </row>
    <row r="103" spans="1:10">
      <c r="A103" s="1" t="s">
        <v>35</v>
      </c>
      <c r="B103" s="3">
        <f t="shared" si="80"/>
        <v>18560.828349088541</v>
      </c>
      <c r="C103" s="3">
        <f t="shared" si="82"/>
        <v>1686.92356139051</v>
      </c>
      <c r="D103" s="3">
        <f t="shared" si="83"/>
        <v>0</v>
      </c>
      <c r="E103" s="4">
        <f>E91-C91</f>
        <v>-1686.92356139051</v>
      </c>
      <c r="G103" s="3">
        <f t="shared" si="81"/>
        <v>726953.0592418469</v>
      </c>
      <c r="H103" s="3">
        <f t="shared" si="84"/>
        <v>63339.01671747728</v>
      </c>
      <c r="I103" s="3">
        <f t="shared" si="85"/>
        <v>0</v>
      </c>
      <c r="J103" s="4">
        <f>J91-H91</f>
        <v>-63339.01671747728</v>
      </c>
    </row>
    <row r="104" spans="1:10">
      <c r="A104" s="1" t="s">
        <v>37</v>
      </c>
      <c r="B104" s="3">
        <f t="shared" si="80"/>
        <v>18560.828349088541</v>
      </c>
      <c r="C104" s="3">
        <f t="shared" si="82"/>
        <v>0</v>
      </c>
      <c r="D104" s="3">
        <f t="shared" si="83"/>
        <v>0</v>
      </c>
      <c r="G104" s="3">
        <f t="shared" si="81"/>
        <v>726953.0592418469</v>
      </c>
      <c r="H104" s="3">
        <f t="shared" si="84"/>
        <v>0</v>
      </c>
      <c r="I104" s="3">
        <f t="shared" si="85"/>
        <v>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Energex</vt:lpstr>
      <vt:lpstr>Ergon Energy</vt:lpstr>
      <vt:lpstr>Price Generator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Pavetto</dc:creator>
  <cp:lastModifiedBy>Jonathan Pavetto</cp:lastModifiedBy>
  <dcterms:created xsi:type="dcterms:W3CDTF">2015-06-28T02:12:16Z</dcterms:created>
  <dcterms:modified xsi:type="dcterms:W3CDTF">2015-06-30T12:42:16Z</dcterms:modified>
</cp:coreProperties>
</file>