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605" windowHeight="15465" tabRatio="500" activeTab="8"/>
  </bookViews>
  <sheets>
    <sheet name="Ergon ARR" sheetId="1" r:id="rId1"/>
    <sheet name="Alliance ARR" sheetId="2" r:id="rId2"/>
    <sheet name="Alliance Forecasts" sheetId="7" r:id="rId3"/>
    <sheet name="Alliance Productivity" sheetId="3" r:id="rId4"/>
    <sheet name="Alliance CAPEX" sheetId="4" r:id="rId5"/>
    <sheet name="Alliance WACC" sheetId="5" r:id="rId6"/>
    <sheet name="Alliance OPEX" sheetId="6" r:id="rId7"/>
    <sheet name="Alliance prices" sheetId="8" r:id="rId8"/>
    <sheet name="Inflation figures" sheetId="9" r:id="rId9"/>
  </sheets>
  <externalReferences>
    <externalReference r:id="rId10"/>
  </externalReferenc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5" l="1"/>
  <c r="D28" i="5"/>
  <c r="D10" i="5"/>
  <c r="B36" i="2"/>
  <c r="C36" i="2"/>
  <c r="D36" i="2"/>
  <c r="B41" i="2"/>
  <c r="L20" i="4"/>
  <c r="M20" i="4"/>
  <c r="N20" i="4"/>
  <c r="O20" i="4"/>
  <c r="P20" i="4"/>
  <c r="G20" i="4"/>
  <c r="H20" i="4"/>
  <c r="I20" i="4"/>
  <c r="J20" i="4"/>
  <c r="K20" i="4"/>
  <c r="B20" i="4"/>
  <c r="C20" i="4"/>
  <c r="D20" i="4"/>
  <c r="E20" i="4"/>
  <c r="F20" i="4"/>
  <c r="L29" i="4"/>
  <c r="L30" i="4"/>
  <c r="M29" i="4"/>
  <c r="M30" i="4"/>
  <c r="N29" i="4"/>
  <c r="N30" i="4"/>
  <c r="O29" i="4"/>
  <c r="O30" i="4"/>
  <c r="P29" i="4"/>
  <c r="P30" i="4"/>
  <c r="Q30" i="4"/>
  <c r="Q28" i="4"/>
  <c r="Q31" i="4"/>
  <c r="Q29" i="4"/>
  <c r="L27" i="4"/>
  <c r="M27" i="4"/>
  <c r="N27" i="4"/>
  <c r="O27" i="4"/>
  <c r="P27" i="4"/>
  <c r="Q27" i="4"/>
  <c r="L19" i="7"/>
  <c r="L24" i="7"/>
  <c r="L11" i="4"/>
  <c r="K7" i="4"/>
  <c r="G7" i="4"/>
  <c r="K51" i="4"/>
  <c r="J51" i="4"/>
  <c r="I51" i="4"/>
  <c r="H51" i="4"/>
  <c r="G51" i="4"/>
  <c r="L53" i="4"/>
  <c r="L54" i="4"/>
  <c r="M19" i="7"/>
  <c r="M24" i="7"/>
  <c r="M11" i="4"/>
  <c r="M53" i="4"/>
  <c r="M54" i="4"/>
  <c r="N19" i="7"/>
  <c r="N24" i="7"/>
  <c r="N11" i="4"/>
  <c r="N53" i="4"/>
  <c r="N54" i="4"/>
  <c r="O19" i="7"/>
  <c r="O24" i="7"/>
  <c r="O11" i="4"/>
  <c r="O53" i="4"/>
  <c r="O54" i="4"/>
  <c r="P19" i="7"/>
  <c r="P24" i="7"/>
  <c r="P11" i="4"/>
  <c r="P53" i="4"/>
  <c r="P54" i="4"/>
  <c r="Q54" i="4"/>
  <c r="Q52" i="4"/>
  <c r="Q55" i="4"/>
  <c r="Q53" i="4"/>
  <c r="K38" i="4"/>
  <c r="L41" i="4"/>
  <c r="L42" i="4"/>
  <c r="M41" i="4"/>
  <c r="M42" i="4"/>
  <c r="N41" i="4"/>
  <c r="N42" i="4"/>
  <c r="O41" i="4"/>
  <c r="O42" i="4"/>
  <c r="P41" i="4"/>
  <c r="P42" i="4"/>
  <c r="Q42" i="4"/>
  <c r="Q40" i="4"/>
  <c r="Q43" i="4"/>
  <c r="L39" i="4"/>
  <c r="M39" i="4"/>
  <c r="N39" i="4"/>
  <c r="O39" i="4"/>
  <c r="P39" i="4"/>
  <c r="Q39" i="4"/>
  <c r="Q41" i="4"/>
  <c r="C159" i="5"/>
  <c r="F18" i="2"/>
  <c r="F19" i="2"/>
  <c r="F20" i="2"/>
  <c r="F24" i="2"/>
  <c r="Q44" i="3"/>
  <c r="Q39" i="3"/>
  <c r="A59" i="3"/>
  <c r="B45" i="2"/>
  <c r="F25" i="2"/>
  <c r="F28" i="2"/>
  <c r="F10" i="2"/>
  <c r="C4" i="5"/>
  <c r="D4" i="5"/>
  <c r="B37" i="2"/>
  <c r="F50" i="2"/>
  <c r="F51" i="2"/>
  <c r="F11" i="2"/>
  <c r="F12" i="2"/>
  <c r="H12" i="2"/>
  <c r="F15" i="1"/>
  <c r="F16" i="1"/>
  <c r="F17" i="1"/>
  <c r="F18" i="1"/>
  <c r="F19" i="1"/>
  <c r="F20" i="1"/>
  <c r="F21" i="1"/>
  <c r="F24" i="1"/>
  <c r="F10" i="1"/>
  <c r="F39" i="1"/>
  <c r="F40" i="1"/>
  <c r="F11" i="1"/>
  <c r="F12" i="1"/>
  <c r="F13" i="2"/>
  <c r="H13" i="2"/>
  <c r="H14" i="2"/>
  <c r="H15" i="2"/>
  <c r="B50" i="2"/>
  <c r="L3" i="4"/>
  <c r="J3" i="4"/>
  <c r="H58" i="1"/>
  <c r="H59" i="1"/>
  <c r="H60" i="1"/>
  <c r="H57" i="1"/>
  <c r="D24" i="5"/>
  <c r="C24" i="5"/>
  <c r="C5" i="5"/>
  <c r="D5" i="5"/>
  <c r="E24" i="5"/>
  <c r="F24" i="5"/>
  <c r="G24" i="5"/>
  <c r="I24" i="5"/>
  <c r="D27" i="5"/>
  <c r="D29" i="5"/>
  <c r="D31" i="5"/>
  <c r="D9" i="5"/>
  <c r="D11" i="5"/>
  <c r="G106" i="6"/>
  <c r="H106" i="6"/>
  <c r="I106" i="6"/>
  <c r="J106" i="6"/>
  <c r="K106" i="6"/>
  <c r="G107" i="6"/>
  <c r="H107" i="6"/>
  <c r="I107" i="6"/>
  <c r="J107" i="6"/>
  <c r="K107" i="6"/>
  <c r="B106" i="6"/>
  <c r="C106" i="6"/>
  <c r="D106" i="6"/>
  <c r="E106" i="6"/>
  <c r="F106" i="6"/>
  <c r="B107" i="6"/>
  <c r="C107" i="6"/>
  <c r="D107" i="6"/>
  <c r="E107" i="6"/>
  <c r="F107" i="6"/>
  <c r="B48" i="1"/>
  <c r="B49" i="1"/>
  <c r="L5" i="6"/>
  <c r="L94" i="6"/>
  <c r="L108" i="6"/>
  <c r="C48" i="1"/>
  <c r="C49" i="1"/>
  <c r="M5" i="6"/>
  <c r="M94" i="6"/>
  <c r="M108" i="6"/>
  <c r="D48" i="1"/>
  <c r="D49" i="1"/>
  <c r="N5" i="6"/>
  <c r="N94" i="6"/>
  <c r="N108" i="6"/>
  <c r="E48" i="1"/>
  <c r="E49" i="1"/>
  <c r="O5" i="6"/>
  <c r="O94" i="6"/>
  <c r="O108" i="6"/>
  <c r="F48" i="1"/>
  <c r="F49" i="1"/>
  <c r="P5" i="6"/>
  <c r="P94" i="6"/>
  <c r="P108" i="6"/>
  <c r="L107" i="6"/>
  <c r="M107" i="6"/>
  <c r="N107" i="6"/>
  <c r="O107" i="6"/>
  <c r="P107" i="6"/>
  <c r="M13" i="6"/>
  <c r="B49" i="6"/>
  <c r="C49" i="6"/>
  <c r="D49" i="6"/>
  <c r="E49" i="6"/>
  <c r="F49" i="6"/>
  <c r="B50" i="6"/>
  <c r="C50" i="6"/>
  <c r="D50" i="6"/>
  <c r="E50" i="6"/>
  <c r="F50" i="6"/>
  <c r="B51" i="6"/>
  <c r="C51" i="6"/>
  <c r="D51" i="6"/>
  <c r="E51" i="6"/>
  <c r="F51" i="6"/>
  <c r="B52" i="6"/>
  <c r="C52" i="6"/>
  <c r="D52" i="6"/>
  <c r="E52" i="6"/>
  <c r="F52" i="6"/>
  <c r="B53" i="6"/>
  <c r="C53" i="6"/>
  <c r="D53" i="6"/>
  <c r="E53" i="6"/>
  <c r="F53" i="6"/>
  <c r="B54" i="6"/>
  <c r="C54" i="6"/>
  <c r="D54" i="6"/>
  <c r="E54" i="6"/>
  <c r="F54" i="6"/>
  <c r="F56" i="6"/>
  <c r="M89" i="6"/>
  <c r="M7" i="7"/>
  <c r="M22" i="7"/>
  <c r="M22" i="6"/>
  <c r="B59" i="6"/>
  <c r="C59" i="6"/>
  <c r="D59" i="6"/>
  <c r="E59" i="6"/>
  <c r="F59" i="6"/>
  <c r="B60" i="6"/>
  <c r="C60" i="6"/>
  <c r="D60" i="6"/>
  <c r="E60" i="6"/>
  <c r="F60" i="6"/>
  <c r="B61" i="6"/>
  <c r="C61" i="6"/>
  <c r="D61" i="6"/>
  <c r="E61" i="6"/>
  <c r="F61" i="6"/>
  <c r="B62" i="6"/>
  <c r="C62" i="6"/>
  <c r="D62" i="6"/>
  <c r="E62" i="6"/>
  <c r="F62" i="6"/>
  <c r="B63" i="6"/>
  <c r="C63" i="6"/>
  <c r="D63" i="6"/>
  <c r="E63" i="6"/>
  <c r="F63" i="6"/>
  <c r="B64" i="6"/>
  <c r="C64" i="6"/>
  <c r="D64" i="6"/>
  <c r="E64" i="6"/>
  <c r="F64" i="6"/>
  <c r="F66" i="6"/>
  <c r="M90" i="6"/>
  <c r="M13" i="7"/>
  <c r="M23" i="7"/>
  <c r="M31" i="6"/>
  <c r="B69" i="6"/>
  <c r="C69" i="6"/>
  <c r="D69" i="6"/>
  <c r="E69" i="6"/>
  <c r="F69" i="6"/>
  <c r="B70" i="6"/>
  <c r="C70" i="6"/>
  <c r="D70" i="6"/>
  <c r="E70" i="6"/>
  <c r="F70" i="6"/>
  <c r="B71" i="6"/>
  <c r="C71" i="6"/>
  <c r="D71" i="6"/>
  <c r="E71" i="6"/>
  <c r="F71" i="6"/>
  <c r="B72" i="6"/>
  <c r="C72" i="6"/>
  <c r="D72" i="6"/>
  <c r="E72" i="6"/>
  <c r="F72" i="6"/>
  <c r="B73" i="6"/>
  <c r="C73" i="6"/>
  <c r="D73" i="6"/>
  <c r="E73" i="6"/>
  <c r="F73" i="6"/>
  <c r="B74" i="6"/>
  <c r="C74" i="6"/>
  <c r="D74" i="6"/>
  <c r="E74" i="6"/>
  <c r="F74" i="6"/>
  <c r="F76" i="6"/>
  <c r="M91" i="6"/>
  <c r="B79" i="6"/>
  <c r="C79" i="6"/>
  <c r="D79" i="6"/>
  <c r="E79" i="6"/>
  <c r="F79" i="6"/>
  <c r="B80" i="6"/>
  <c r="C80" i="6"/>
  <c r="D80" i="6"/>
  <c r="E80" i="6"/>
  <c r="F80" i="6"/>
  <c r="B81" i="6"/>
  <c r="C81" i="6"/>
  <c r="D81" i="6"/>
  <c r="E81" i="6"/>
  <c r="F81" i="6"/>
  <c r="B82" i="6"/>
  <c r="C82" i="6"/>
  <c r="D82" i="6"/>
  <c r="E82" i="6"/>
  <c r="F82" i="6"/>
  <c r="B83" i="6"/>
  <c r="C83" i="6"/>
  <c r="D83" i="6"/>
  <c r="E83" i="6"/>
  <c r="F83" i="6"/>
  <c r="B84" i="6"/>
  <c r="C84" i="6"/>
  <c r="D84" i="6"/>
  <c r="E84" i="6"/>
  <c r="F84" i="6"/>
  <c r="F86" i="6"/>
  <c r="M92" i="6"/>
  <c r="M95" i="6"/>
  <c r="Q13" i="3"/>
  <c r="Q8" i="3"/>
  <c r="A28" i="3"/>
  <c r="M96" i="6"/>
  <c r="C7" i="5"/>
  <c r="M97" i="6"/>
  <c r="M98" i="6"/>
  <c r="M109" i="6"/>
  <c r="N13" i="6"/>
  <c r="N89" i="6"/>
  <c r="N7" i="7"/>
  <c r="N22" i="7"/>
  <c r="N22" i="6"/>
  <c r="N90" i="6"/>
  <c r="N13" i="7"/>
  <c r="N23" i="7"/>
  <c r="N31" i="6"/>
  <c r="N91" i="6"/>
  <c r="N92" i="6"/>
  <c r="N95" i="6"/>
  <c r="N96" i="6"/>
  <c r="N97" i="6"/>
  <c r="N98" i="6"/>
  <c r="N109" i="6"/>
  <c r="O13" i="6"/>
  <c r="O89" i="6"/>
  <c r="O7" i="7"/>
  <c r="O22" i="7"/>
  <c r="O22" i="6"/>
  <c r="O90" i="6"/>
  <c r="O13" i="7"/>
  <c r="O23" i="7"/>
  <c r="O31" i="6"/>
  <c r="O91" i="6"/>
  <c r="O92" i="6"/>
  <c r="O95" i="6"/>
  <c r="O96" i="6"/>
  <c r="O97" i="6"/>
  <c r="O98" i="6"/>
  <c r="O109" i="6"/>
  <c r="P13" i="6"/>
  <c r="P89" i="6"/>
  <c r="P7" i="7"/>
  <c r="P22" i="7"/>
  <c r="P22" i="6"/>
  <c r="P90" i="6"/>
  <c r="P13" i="7"/>
  <c r="P23" i="7"/>
  <c r="P31" i="6"/>
  <c r="P91" i="6"/>
  <c r="P92" i="6"/>
  <c r="P95" i="6"/>
  <c r="P96" i="6"/>
  <c r="P97" i="6"/>
  <c r="P98" i="6"/>
  <c r="P109" i="6"/>
  <c r="L13" i="6"/>
  <c r="L89" i="6"/>
  <c r="L7" i="7"/>
  <c r="L22" i="7"/>
  <c r="L22" i="6"/>
  <c r="L90" i="6"/>
  <c r="L13" i="7"/>
  <c r="L23" i="7"/>
  <c r="L31" i="6"/>
  <c r="L91" i="6"/>
  <c r="L92" i="6"/>
  <c r="L95" i="6"/>
  <c r="L96" i="6"/>
  <c r="L97" i="6"/>
  <c r="L98" i="6"/>
  <c r="L109" i="6"/>
  <c r="B56" i="2"/>
  <c r="B46" i="2"/>
  <c r="B57" i="2"/>
  <c r="B40" i="2"/>
  <c r="D7" i="5"/>
  <c r="B42" i="2"/>
  <c r="B58" i="2"/>
  <c r="B59" i="2"/>
  <c r="B60" i="2"/>
  <c r="B61" i="2"/>
  <c r="C56" i="2"/>
  <c r="C57" i="2"/>
  <c r="C58" i="2"/>
  <c r="C59" i="2"/>
  <c r="C60" i="2"/>
  <c r="C61" i="2"/>
  <c r="D56" i="2"/>
  <c r="D57" i="2"/>
  <c r="D58" i="2"/>
  <c r="D59" i="2"/>
  <c r="D60" i="2"/>
  <c r="D61" i="2"/>
  <c r="E56" i="2"/>
  <c r="E57" i="2"/>
  <c r="E58" i="2"/>
  <c r="E59" i="2"/>
  <c r="E60" i="2"/>
  <c r="E61" i="2"/>
  <c r="F56" i="2"/>
  <c r="F57" i="2"/>
  <c r="F58" i="2"/>
  <c r="F59" i="2"/>
  <c r="F60" i="2"/>
  <c r="F61" i="2"/>
  <c r="H61" i="2"/>
  <c r="H60" i="2"/>
  <c r="H62" i="2"/>
  <c r="H59" i="2"/>
  <c r="B20" i="2"/>
  <c r="B18" i="2"/>
  <c r="B19" i="2"/>
  <c r="B24" i="2"/>
  <c r="B25" i="2"/>
  <c r="B28" i="2"/>
  <c r="B15" i="1"/>
  <c r="B16" i="1"/>
  <c r="B17" i="1"/>
  <c r="B18" i="1"/>
  <c r="B19" i="1"/>
  <c r="B20" i="1"/>
  <c r="B21" i="1"/>
  <c r="B24" i="1"/>
  <c r="B29" i="2"/>
  <c r="B30" i="2"/>
  <c r="C20" i="2"/>
  <c r="C18" i="2"/>
  <c r="C19" i="2"/>
  <c r="C24" i="2"/>
  <c r="C25" i="2"/>
  <c r="C28" i="2"/>
  <c r="C15" i="1"/>
  <c r="C16" i="1"/>
  <c r="C17" i="1"/>
  <c r="C18" i="1"/>
  <c r="C19" i="1"/>
  <c r="C20" i="1"/>
  <c r="C21" i="1"/>
  <c r="C24" i="1"/>
  <c r="C29" i="2"/>
  <c r="C30" i="2"/>
  <c r="D20" i="2"/>
  <c r="D18" i="2"/>
  <c r="D19" i="2"/>
  <c r="D24" i="2"/>
  <c r="D25" i="2"/>
  <c r="D28" i="2"/>
  <c r="D15" i="1"/>
  <c r="D16" i="1"/>
  <c r="D17" i="1"/>
  <c r="D18" i="1"/>
  <c r="D19" i="1"/>
  <c r="D20" i="1"/>
  <c r="D21" i="1"/>
  <c r="D24" i="1"/>
  <c r="D29" i="2"/>
  <c r="D30" i="2"/>
  <c r="E20" i="2"/>
  <c r="E18" i="2"/>
  <c r="E19" i="2"/>
  <c r="E24" i="2"/>
  <c r="E25" i="2"/>
  <c r="E28" i="2"/>
  <c r="E15" i="1"/>
  <c r="E16" i="1"/>
  <c r="E17" i="1"/>
  <c r="E18" i="1"/>
  <c r="E19" i="1"/>
  <c r="E20" i="1"/>
  <c r="E21" i="1"/>
  <c r="E24" i="1"/>
  <c r="E29" i="2"/>
  <c r="E30" i="2"/>
  <c r="F29" i="2"/>
  <c r="F30" i="2"/>
  <c r="H30" i="2"/>
  <c r="H29" i="2"/>
  <c r="H31" i="2"/>
  <c r="H28" i="2"/>
  <c r="P12" i="4"/>
  <c r="L12" i="4"/>
  <c r="P51" i="4"/>
  <c r="O51" i="4"/>
  <c r="N51" i="4"/>
  <c r="M51" i="4"/>
  <c r="M55" i="4"/>
  <c r="N55" i="4"/>
  <c r="O55" i="4"/>
  <c r="P55" i="4"/>
  <c r="L51" i="4"/>
  <c r="L55" i="4"/>
  <c r="P43" i="4"/>
  <c r="O43" i="4"/>
  <c r="N43" i="4"/>
  <c r="M43" i="4"/>
  <c r="L43" i="4"/>
  <c r="M31" i="4"/>
  <c r="N31" i="4"/>
  <c r="O31" i="4"/>
  <c r="P31" i="4"/>
  <c r="L31" i="4"/>
  <c r="G39" i="4"/>
  <c r="B39" i="4"/>
  <c r="H39" i="4"/>
  <c r="I39" i="4"/>
  <c r="J39" i="4"/>
  <c r="K39" i="4"/>
  <c r="C39" i="4"/>
  <c r="D39" i="4"/>
  <c r="E39" i="4"/>
  <c r="F39" i="4"/>
  <c r="M19" i="4"/>
  <c r="N19" i="4"/>
  <c r="O19" i="4"/>
  <c r="P19" i="4"/>
  <c r="L19" i="4"/>
  <c r="M12" i="4"/>
  <c r="N12" i="4"/>
  <c r="O12" i="4"/>
  <c r="F7" i="4"/>
  <c r="B7" i="4"/>
  <c r="F51" i="4"/>
  <c r="E51" i="4"/>
  <c r="D51" i="4"/>
  <c r="C51" i="4"/>
  <c r="B51" i="4"/>
  <c r="K50" i="4"/>
  <c r="F50" i="4"/>
  <c r="F38" i="4"/>
  <c r="K17" i="4"/>
  <c r="F17" i="4"/>
  <c r="K26" i="4"/>
  <c r="F26" i="4"/>
  <c r="G27" i="4"/>
  <c r="B27" i="4"/>
  <c r="B72" i="1"/>
  <c r="B39" i="1"/>
  <c r="B40" i="1"/>
  <c r="B73" i="1"/>
  <c r="B74" i="1"/>
  <c r="B54" i="1"/>
  <c r="B75" i="1"/>
  <c r="B76" i="1"/>
  <c r="B77" i="1"/>
  <c r="B92" i="2"/>
  <c r="L6" i="8"/>
  <c r="G11" i="8"/>
  <c r="G10" i="8"/>
  <c r="L12" i="8"/>
  <c r="L18" i="8"/>
  <c r="K12" i="8"/>
  <c r="K17" i="8"/>
  <c r="K18" i="8"/>
  <c r="C72" i="1"/>
  <c r="C39" i="1"/>
  <c r="C40" i="1"/>
  <c r="C73" i="1"/>
  <c r="C74" i="1"/>
  <c r="C54" i="1"/>
  <c r="C75" i="1"/>
  <c r="C76" i="1"/>
  <c r="C77" i="1"/>
  <c r="C92" i="2"/>
  <c r="M6" i="8"/>
  <c r="H11" i="8"/>
  <c r="H10" i="8"/>
  <c r="M12" i="8"/>
  <c r="M18" i="8"/>
  <c r="D72" i="1"/>
  <c r="D39" i="1"/>
  <c r="D40" i="1"/>
  <c r="D73" i="1"/>
  <c r="D74" i="1"/>
  <c r="D54" i="1"/>
  <c r="D75" i="1"/>
  <c r="D76" i="1"/>
  <c r="D77" i="1"/>
  <c r="D92" i="2"/>
  <c r="N6" i="8"/>
  <c r="I11" i="8"/>
  <c r="I10" i="8"/>
  <c r="N12" i="8"/>
  <c r="N18" i="8"/>
  <c r="E72" i="1"/>
  <c r="E39" i="1"/>
  <c r="E40" i="1"/>
  <c r="E73" i="1"/>
  <c r="E74" i="1"/>
  <c r="E54" i="1"/>
  <c r="E75" i="1"/>
  <c r="E76" i="1"/>
  <c r="E77" i="1"/>
  <c r="E92" i="2"/>
  <c r="O6" i="8"/>
  <c r="J11" i="8"/>
  <c r="J10" i="8"/>
  <c r="O12" i="8"/>
  <c r="O18" i="8"/>
  <c r="F72" i="1"/>
  <c r="F73" i="1"/>
  <c r="F74" i="1"/>
  <c r="F54" i="1"/>
  <c r="F75" i="1"/>
  <c r="F76" i="1"/>
  <c r="F77" i="1"/>
  <c r="F92" i="2"/>
  <c r="P6" i="8"/>
  <c r="K10" i="8"/>
  <c r="P12" i="8"/>
  <c r="P18" i="8"/>
  <c r="K19" i="8"/>
  <c r="K16" i="8"/>
  <c r="J17" i="8"/>
  <c r="C11" i="8"/>
  <c r="C17" i="8"/>
  <c r="D11" i="8"/>
  <c r="D17" i="8"/>
  <c r="E11" i="8"/>
  <c r="E17" i="8"/>
  <c r="F11" i="8"/>
  <c r="F17" i="8"/>
  <c r="G17" i="8"/>
  <c r="H17" i="8"/>
  <c r="I17" i="8"/>
  <c r="B11" i="8"/>
  <c r="B17" i="8"/>
  <c r="G16" i="8"/>
  <c r="H16" i="8"/>
  <c r="I16" i="8"/>
  <c r="J16" i="8"/>
  <c r="F10" i="7"/>
  <c r="F10" i="8"/>
  <c r="F16" i="8"/>
  <c r="C16" i="8"/>
  <c r="D16" i="8"/>
  <c r="E16" i="8"/>
  <c r="B16" i="8"/>
  <c r="C88" i="2"/>
  <c r="B38" i="2"/>
  <c r="C86" i="2"/>
  <c r="C50" i="2"/>
  <c r="C51" i="2"/>
  <c r="C87" i="2"/>
  <c r="C68" i="2"/>
  <c r="C89" i="2"/>
  <c r="C90" i="2"/>
  <c r="C91" i="2"/>
  <c r="M7" i="8"/>
  <c r="M13" i="8"/>
  <c r="M20" i="8"/>
  <c r="M19" i="8"/>
  <c r="M21" i="8"/>
  <c r="M22" i="8"/>
  <c r="D88" i="2"/>
  <c r="D86" i="2"/>
  <c r="D50" i="2"/>
  <c r="D51" i="2"/>
  <c r="D87" i="2"/>
  <c r="D68" i="2"/>
  <c r="D89" i="2"/>
  <c r="D90" i="2"/>
  <c r="D91" i="2"/>
  <c r="N7" i="8"/>
  <c r="N13" i="8"/>
  <c r="N20" i="8"/>
  <c r="N19" i="8"/>
  <c r="N21" i="8"/>
  <c r="N22" i="8"/>
  <c r="E88" i="2"/>
  <c r="E86" i="2"/>
  <c r="E50" i="2"/>
  <c r="E51" i="2"/>
  <c r="E87" i="2"/>
  <c r="E68" i="2"/>
  <c r="E89" i="2"/>
  <c r="E90" i="2"/>
  <c r="E91" i="2"/>
  <c r="O7" i="8"/>
  <c r="O13" i="8"/>
  <c r="O20" i="8"/>
  <c r="O19" i="8"/>
  <c r="O21" i="8"/>
  <c r="O22" i="8"/>
  <c r="F88" i="2"/>
  <c r="F86" i="2"/>
  <c r="F87" i="2"/>
  <c r="F68" i="2"/>
  <c r="F89" i="2"/>
  <c r="F90" i="2"/>
  <c r="F91" i="2"/>
  <c r="P7" i="8"/>
  <c r="P13" i="8"/>
  <c r="P20" i="8"/>
  <c r="P19" i="8"/>
  <c r="P21" i="8"/>
  <c r="P22" i="8"/>
  <c r="B88" i="2"/>
  <c r="B86" i="2"/>
  <c r="B51" i="2"/>
  <c r="B87" i="2"/>
  <c r="B68" i="2"/>
  <c r="B89" i="2"/>
  <c r="B90" i="2"/>
  <c r="B91" i="2"/>
  <c r="L7" i="8"/>
  <c r="L13" i="8"/>
  <c r="L20" i="8"/>
  <c r="L19" i="8"/>
  <c r="L21" i="8"/>
  <c r="L22" i="8"/>
  <c r="J12" i="8"/>
  <c r="B93" i="2"/>
  <c r="C93" i="2"/>
  <c r="D93" i="2"/>
  <c r="E93" i="2"/>
  <c r="F93" i="2"/>
  <c r="H93" i="2"/>
  <c r="H92" i="2"/>
  <c r="H94" i="2"/>
  <c r="C27" i="4"/>
  <c r="D27" i="4"/>
  <c r="E27" i="4"/>
  <c r="F27" i="4"/>
  <c r="H27" i="4"/>
  <c r="I27" i="4"/>
  <c r="J27" i="4"/>
  <c r="K27" i="4"/>
  <c r="M9" i="4"/>
  <c r="N9" i="4"/>
  <c r="O9" i="4"/>
  <c r="P9" i="4"/>
  <c r="M10" i="4"/>
  <c r="N10" i="4"/>
  <c r="O10" i="4"/>
  <c r="P10" i="4"/>
  <c r="L10" i="4"/>
  <c r="L9" i="4"/>
  <c r="K6" i="4"/>
  <c r="K5" i="4"/>
  <c r="C5" i="4"/>
  <c r="D5" i="4"/>
  <c r="E5" i="4"/>
  <c r="F5" i="4"/>
  <c r="G5" i="4"/>
  <c r="H5" i="4"/>
  <c r="I5" i="4"/>
  <c r="J5" i="4"/>
  <c r="C6" i="4"/>
  <c r="D6" i="4"/>
  <c r="E6" i="4"/>
  <c r="F6" i="4"/>
  <c r="G6" i="4"/>
  <c r="H6" i="4"/>
  <c r="I6" i="4"/>
  <c r="J6" i="4"/>
  <c r="C7" i="4"/>
  <c r="D7" i="4"/>
  <c r="E7" i="4"/>
  <c r="H7" i="4"/>
  <c r="I7" i="4"/>
  <c r="J7" i="4"/>
  <c r="B6" i="4"/>
  <c r="B5" i="4"/>
  <c r="F6" i="2"/>
  <c r="E6" i="2"/>
  <c r="D6" i="2"/>
  <c r="C6" i="2"/>
  <c r="F5" i="2"/>
  <c r="E5" i="2"/>
  <c r="D5" i="2"/>
  <c r="C5" i="2"/>
  <c r="F4" i="2"/>
  <c r="E4" i="2"/>
  <c r="D4" i="2"/>
  <c r="C4" i="2"/>
  <c r="B5" i="2"/>
  <c r="B6" i="2"/>
  <c r="A4" i="2"/>
  <c r="B4" i="2"/>
  <c r="M100" i="6"/>
  <c r="M101" i="6"/>
  <c r="N100" i="6"/>
  <c r="N101" i="6"/>
  <c r="O100" i="6"/>
  <c r="O101" i="6"/>
  <c r="P100" i="6"/>
  <c r="P101" i="6"/>
  <c r="L100" i="6"/>
  <c r="L101" i="6"/>
  <c r="L59" i="6"/>
  <c r="C10" i="5"/>
  <c r="C9" i="5"/>
  <c r="C11" i="5"/>
  <c r="F165" i="5"/>
  <c r="C164" i="5"/>
  <c r="D160" i="5"/>
  <c r="C6" i="5"/>
  <c r="D6" i="5"/>
  <c r="B39" i="2"/>
  <c r="D3" i="5"/>
  <c r="B35" i="2"/>
  <c r="C31" i="5"/>
  <c r="C27" i="5"/>
  <c r="I18" i="5"/>
  <c r="I16" i="5"/>
  <c r="I17" i="5"/>
  <c r="I19" i="5"/>
  <c r="I20" i="5"/>
  <c r="I21" i="5"/>
  <c r="I22" i="5"/>
  <c r="I15" i="5"/>
  <c r="G49" i="6"/>
  <c r="H49" i="6"/>
  <c r="I49" i="6"/>
  <c r="J49" i="6"/>
  <c r="K49" i="6"/>
  <c r="L49" i="6"/>
  <c r="M49" i="6"/>
  <c r="N49" i="6"/>
  <c r="O49" i="6"/>
  <c r="P49" i="6"/>
  <c r="G50" i="6"/>
  <c r="H50" i="6"/>
  <c r="I50" i="6"/>
  <c r="J50" i="6"/>
  <c r="K50" i="6"/>
  <c r="L50" i="6"/>
  <c r="M50" i="6"/>
  <c r="N50" i="6"/>
  <c r="O50" i="6"/>
  <c r="P50" i="6"/>
  <c r="G51" i="6"/>
  <c r="H51" i="6"/>
  <c r="I51" i="6"/>
  <c r="J51" i="6"/>
  <c r="K51" i="6"/>
  <c r="L51" i="6"/>
  <c r="M51" i="6"/>
  <c r="N51" i="6"/>
  <c r="O51" i="6"/>
  <c r="G52" i="6"/>
  <c r="H52" i="6"/>
  <c r="I52" i="6"/>
  <c r="J52" i="6"/>
  <c r="K52" i="6"/>
  <c r="L52" i="6"/>
  <c r="M52" i="6"/>
  <c r="N52" i="6"/>
  <c r="O52" i="6"/>
  <c r="G53" i="6"/>
  <c r="H53" i="6"/>
  <c r="I53" i="6"/>
  <c r="J53" i="6"/>
  <c r="K53" i="6"/>
  <c r="L53" i="6"/>
  <c r="M53" i="6"/>
  <c r="N53" i="6"/>
  <c r="O53" i="6"/>
  <c r="P53" i="6"/>
  <c r="G54" i="6"/>
  <c r="H54" i="6"/>
  <c r="I54" i="6"/>
  <c r="J54" i="6"/>
  <c r="K54" i="6"/>
  <c r="L54" i="6"/>
  <c r="M54" i="6"/>
  <c r="G59" i="6"/>
  <c r="H59" i="6"/>
  <c r="I59" i="6"/>
  <c r="J59" i="6"/>
  <c r="K59" i="6"/>
  <c r="M59" i="6"/>
  <c r="N59" i="6"/>
  <c r="O59" i="6"/>
  <c r="P59" i="6"/>
  <c r="G60" i="6"/>
  <c r="H60" i="6"/>
  <c r="I60" i="6"/>
  <c r="J60" i="6"/>
  <c r="K60" i="6"/>
  <c r="L60" i="6"/>
  <c r="M60" i="6"/>
  <c r="N60" i="6"/>
  <c r="O60" i="6"/>
  <c r="P60" i="6"/>
  <c r="G61" i="6"/>
  <c r="H61" i="6"/>
  <c r="I61" i="6"/>
  <c r="J61" i="6"/>
  <c r="K61" i="6"/>
  <c r="L61" i="6"/>
  <c r="M61" i="6"/>
  <c r="N61" i="6"/>
  <c r="O61" i="6"/>
  <c r="G62" i="6"/>
  <c r="H62" i="6"/>
  <c r="I62" i="6"/>
  <c r="J62" i="6"/>
  <c r="K62" i="6"/>
  <c r="L62" i="6"/>
  <c r="M62" i="6"/>
  <c r="N62" i="6"/>
  <c r="O62" i="6"/>
  <c r="G63" i="6"/>
  <c r="H63" i="6"/>
  <c r="I63" i="6"/>
  <c r="J63" i="6"/>
  <c r="K63" i="6"/>
  <c r="L63" i="6"/>
  <c r="M63" i="6"/>
  <c r="N63" i="6"/>
  <c r="O63" i="6"/>
  <c r="P63" i="6"/>
  <c r="G64" i="6"/>
  <c r="H64" i="6"/>
  <c r="I64" i="6"/>
  <c r="G69" i="6"/>
  <c r="H69" i="6"/>
  <c r="I69" i="6"/>
  <c r="J69" i="6"/>
  <c r="K69" i="6"/>
  <c r="L69" i="6"/>
  <c r="M69" i="6"/>
  <c r="N69" i="6"/>
  <c r="O69" i="6"/>
  <c r="P69" i="6"/>
  <c r="G70" i="6"/>
  <c r="H70" i="6"/>
  <c r="I70" i="6"/>
  <c r="J70" i="6"/>
  <c r="K70" i="6"/>
  <c r="L70" i="6"/>
  <c r="M70" i="6"/>
  <c r="N70" i="6"/>
  <c r="O70" i="6"/>
  <c r="P70" i="6"/>
  <c r="G71" i="6"/>
  <c r="H71" i="6"/>
  <c r="I71" i="6"/>
  <c r="J71" i="6"/>
  <c r="K71" i="6"/>
  <c r="L71" i="6"/>
  <c r="M71" i="6"/>
  <c r="N71" i="6"/>
  <c r="O71" i="6"/>
  <c r="G72" i="6"/>
  <c r="H72" i="6"/>
  <c r="I72" i="6"/>
  <c r="J72" i="6"/>
  <c r="K72" i="6"/>
  <c r="L72" i="6"/>
  <c r="M72" i="6"/>
  <c r="N72" i="6"/>
  <c r="O72" i="6"/>
  <c r="G73" i="6"/>
  <c r="H73" i="6"/>
  <c r="I73" i="6"/>
  <c r="J73" i="6"/>
  <c r="K73" i="6"/>
  <c r="L73" i="6"/>
  <c r="M73" i="6"/>
  <c r="N73" i="6"/>
  <c r="O73" i="6"/>
  <c r="P73" i="6"/>
  <c r="G74" i="6"/>
  <c r="H74" i="6"/>
  <c r="I74" i="6"/>
  <c r="G79" i="6"/>
  <c r="H79" i="6"/>
  <c r="I79" i="6"/>
  <c r="J79" i="6"/>
  <c r="K79" i="6"/>
  <c r="L79" i="6"/>
  <c r="M79" i="6"/>
  <c r="N79" i="6"/>
  <c r="O79" i="6"/>
  <c r="P79" i="6"/>
  <c r="G80" i="6"/>
  <c r="H80" i="6"/>
  <c r="I80" i="6"/>
  <c r="J80" i="6"/>
  <c r="K80" i="6"/>
  <c r="L80" i="6"/>
  <c r="M80" i="6"/>
  <c r="N80" i="6"/>
  <c r="O80" i="6"/>
  <c r="P80" i="6"/>
  <c r="G81" i="6"/>
  <c r="H81" i="6"/>
  <c r="I81" i="6"/>
  <c r="J81" i="6"/>
  <c r="K81" i="6"/>
  <c r="L81" i="6"/>
  <c r="M81" i="6"/>
  <c r="N81" i="6"/>
  <c r="O81" i="6"/>
  <c r="G82" i="6"/>
  <c r="H82" i="6"/>
  <c r="I82" i="6"/>
  <c r="J82" i="6"/>
  <c r="K82" i="6"/>
  <c r="L82" i="6"/>
  <c r="M82" i="6"/>
  <c r="N82" i="6"/>
  <c r="O82" i="6"/>
  <c r="G83" i="6"/>
  <c r="H83" i="6"/>
  <c r="I83" i="6"/>
  <c r="J83" i="6"/>
  <c r="K83" i="6"/>
  <c r="L83" i="6"/>
  <c r="M83" i="6"/>
  <c r="N83" i="6"/>
  <c r="O83" i="6"/>
  <c r="P83" i="6"/>
  <c r="G84" i="6"/>
  <c r="H84" i="6"/>
  <c r="I84" i="6"/>
  <c r="B85" i="6"/>
  <c r="B55" i="6"/>
  <c r="C55" i="6"/>
  <c r="D55" i="6"/>
  <c r="E55" i="6"/>
  <c r="F55" i="6"/>
  <c r="K56" i="6"/>
  <c r="G55" i="6"/>
  <c r="H55" i="6"/>
  <c r="I55" i="6"/>
  <c r="J55" i="6"/>
  <c r="K55" i="6"/>
  <c r="B62" i="2"/>
  <c r="K86" i="6"/>
  <c r="K85" i="6"/>
  <c r="J85" i="6"/>
  <c r="I85" i="6"/>
  <c r="H85" i="6"/>
  <c r="G85" i="6"/>
  <c r="F85" i="6"/>
  <c r="E85" i="6"/>
  <c r="D85" i="6"/>
  <c r="C85" i="6"/>
  <c r="K76" i="6"/>
  <c r="K75" i="6"/>
  <c r="J75" i="6"/>
  <c r="I75" i="6"/>
  <c r="H75" i="6"/>
  <c r="G75" i="6"/>
  <c r="F75" i="6"/>
  <c r="E75" i="6"/>
  <c r="D75" i="6"/>
  <c r="C75" i="6"/>
  <c r="B75" i="6"/>
  <c r="K66" i="6"/>
  <c r="K65" i="6"/>
  <c r="J65" i="6"/>
  <c r="I65" i="6"/>
  <c r="H65" i="6"/>
  <c r="G65" i="6"/>
  <c r="F65" i="6"/>
  <c r="E65" i="6"/>
  <c r="D65" i="6"/>
  <c r="C65" i="6"/>
  <c r="B65" i="6"/>
  <c r="L39" i="3"/>
  <c r="M39" i="3"/>
  <c r="N39" i="3"/>
  <c r="O39" i="3"/>
  <c r="P39" i="3"/>
  <c r="L8" i="3"/>
  <c r="M44" i="3"/>
  <c r="N44" i="3"/>
  <c r="O44" i="3"/>
  <c r="P44" i="3"/>
  <c r="L44" i="3"/>
  <c r="B55" i="3"/>
  <c r="B56" i="3"/>
  <c r="B52" i="3"/>
  <c r="B51" i="3"/>
  <c r="B48" i="3"/>
  <c r="B47" i="3"/>
  <c r="M13" i="3"/>
  <c r="N13" i="3"/>
  <c r="O13" i="3"/>
  <c r="P13" i="3"/>
  <c r="L13" i="3"/>
  <c r="B25" i="3"/>
  <c r="B24" i="3"/>
  <c r="B21" i="3"/>
  <c r="B20" i="3"/>
  <c r="B17" i="3"/>
  <c r="B16" i="3"/>
  <c r="F14" i="2"/>
  <c r="F15" i="2"/>
  <c r="E10" i="2"/>
  <c r="E11" i="2"/>
  <c r="E12" i="2"/>
  <c r="E10" i="1"/>
  <c r="E11" i="1"/>
  <c r="E12" i="1"/>
  <c r="E13" i="2"/>
  <c r="E14" i="2"/>
  <c r="E15" i="2"/>
  <c r="D10" i="2"/>
  <c r="D11" i="2"/>
  <c r="D12" i="2"/>
  <c r="D10" i="1"/>
  <c r="D11" i="1"/>
  <c r="D12" i="1"/>
  <c r="D13" i="2"/>
  <c r="D14" i="2"/>
  <c r="D15" i="2"/>
  <c r="C10" i="2"/>
  <c r="C11" i="2"/>
  <c r="C12" i="2"/>
  <c r="C10" i="1"/>
  <c r="C11" i="1"/>
  <c r="C12" i="1"/>
  <c r="C13" i="2"/>
  <c r="C14" i="2"/>
  <c r="C15" i="2"/>
  <c r="B10" i="2"/>
  <c r="B11" i="2"/>
  <c r="B12" i="2"/>
  <c r="B10" i="1"/>
  <c r="B11" i="1"/>
  <c r="B12" i="1"/>
  <c r="B13" i="2"/>
  <c r="B14" i="2"/>
  <c r="B15" i="2"/>
  <c r="F31" i="2"/>
  <c r="E31" i="2"/>
  <c r="D31" i="2"/>
  <c r="C31" i="2"/>
  <c r="B31" i="2"/>
  <c r="C62" i="2"/>
  <c r="D62" i="2"/>
  <c r="E62" i="2"/>
  <c r="F62" i="2"/>
  <c r="C38" i="2"/>
  <c r="D38" i="2"/>
  <c r="C41" i="2"/>
  <c r="D41" i="2"/>
  <c r="C37" i="2"/>
  <c r="C39" i="2"/>
  <c r="C40" i="2"/>
  <c r="C42" i="2"/>
  <c r="C35" i="2"/>
  <c r="H91" i="2"/>
  <c r="C94" i="2"/>
  <c r="D94" i="2"/>
  <c r="E94" i="2"/>
  <c r="F94" i="2"/>
  <c r="B94" i="2"/>
  <c r="A92" i="2"/>
  <c r="M8" i="3"/>
  <c r="N8" i="3"/>
  <c r="O8" i="3"/>
  <c r="P8" i="3"/>
</calcChain>
</file>

<file path=xl/sharedStrings.xml><?xml version="1.0" encoding="utf-8"?>
<sst xmlns="http://schemas.openxmlformats.org/spreadsheetml/2006/main" count="534" uniqueCount="245">
  <si>
    <t>2015-16</t>
  </si>
  <si>
    <t>2016-17</t>
  </si>
  <si>
    <t>2017-18</t>
  </si>
  <si>
    <t>2018-19</t>
  </si>
  <si>
    <t>2019-20</t>
  </si>
  <si>
    <t>Opening RAB</t>
  </si>
  <si>
    <t>Annual revenue requirement ($M nominal)</t>
  </si>
  <si>
    <t>Plus CAPEX (net of disposals and capital contributions)</t>
  </si>
  <si>
    <t>Less regulatory depreciation</t>
  </si>
  <si>
    <t>Closing RAB</t>
  </si>
  <si>
    <t>Less capital contributions</t>
  </si>
  <si>
    <t>Less disposals</t>
  </si>
  <si>
    <t>Gross capital expenditure</t>
  </si>
  <si>
    <t>WACC Parameter</t>
  </si>
  <si>
    <t>Corporate tax rate</t>
  </si>
  <si>
    <t>Nominal risk free rate</t>
  </si>
  <si>
    <t>Inflation rate</t>
  </si>
  <si>
    <t>Cost of equity</t>
  </si>
  <si>
    <t>Utilisation of Imputation (Franking) credits</t>
  </si>
  <si>
    <t>Proportion of debt funding</t>
  </si>
  <si>
    <t>Trailing average cost of debt: 2015-16</t>
  </si>
  <si>
    <t>Debt raising cost benchmark</t>
  </si>
  <si>
    <t>Straight line depreciation</t>
  </si>
  <si>
    <t>Plus indexation</t>
  </si>
  <si>
    <t xml:space="preserve">Regulatory depreciation </t>
  </si>
  <si>
    <t>Network Operating Costs</t>
  </si>
  <si>
    <t>Plus Total network maintenance costs</t>
  </si>
  <si>
    <t>Plus Total Other O&amp;M Costs</t>
  </si>
  <si>
    <t>Plus debt raising costs</t>
  </si>
  <si>
    <t>Corporate income tax</t>
  </si>
  <si>
    <t>Less value of imputation credits</t>
  </si>
  <si>
    <t>Estimated cost of Corporate Income Tax</t>
  </si>
  <si>
    <t>EBSS (2010-2015)</t>
  </si>
  <si>
    <t>DMIS</t>
  </si>
  <si>
    <t>STPIS (2010-2015)</t>
  </si>
  <si>
    <t>DMIS Carryover (2010-2015)</t>
  </si>
  <si>
    <t>Residual DUOS unders and overs account</t>
  </si>
  <si>
    <t>2013-14 DUOS under-recovery</t>
  </si>
  <si>
    <t>Transitional capital contribution unders and overs (2010-2015)</t>
  </si>
  <si>
    <t>Transitional shared assets unders and overs (2010-2015)</t>
  </si>
  <si>
    <t>Cost pass throughs - FiT</t>
  </si>
  <si>
    <t xml:space="preserve">Return on capital </t>
  </si>
  <si>
    <t>Plus regulatory depreciation</t>
  </si>
  <si>
    <t>Plus Operating expenditure</t>
  </si>
  <si>
    <t>Plus Coproate income tax</t>
  </si>
  <si>
    <t>Plus revenue adjustments</t>
  </si>
  <si>
    <t>Asset Renewal</t>
  </si>
  <si>
    <t>Corporation Initiated Augmentation</t>
  </si>
  <si>
    <t>Customer Connection Initiated Capital Works</t>
  </si>
  <si>
    <t>Reliability and Quality of Supply</t>
  </si>
  <si>
    <t>Other System</t>
  </si>
  <si>
    <t>Non-System</t>
  </si>
  <si>
    <t>Less productivity dividend</t>
  </si>
  <si>
    <t>CAPEX</t>
  </si>
  <si>
    <t>OPEX</t>
  </si>
  <si>
    <t>Alliance Building block revenue (unsmoothed</t>
  </si>
  <si>
    <t>Ergon Building block revenue (unsmoothed</t>
  </si>
  <si>
    <t>Revenue reduction ($)</t>
  </si>
  <si>
    <t>Revenue reduction (%)</t>
  </si>
  <si>
    <t>Net Operating Expenditure</t>
  </si>
  <si>
    <t>Alliance Productivity dividend</t>
  </si>
  <si>
    <t>Alliance Tax depreciation</t>
  </si>
  <si>
    <t>Alliance Forecasts</t>
  </si>
  <si>
    <t>Energy delivered (GWh)</t>
  </si>
  <si>
    <t>Customers</t>
  </si>
  <si>
    <t>Ergon Forecasts</t>
  </si>
  <si>
    <t xml:space="preserve">Ergon Return on captial </t>
  </si>
  <si>
    <t>Coincident Weather Adjusted System Annual Maximum Demand 10% POE</t>
  </si>
  <si>
    <t>Total</t>
  </si>
  <si>
    <t>Alliance Value</t>
  </si>
  <si>
    <t>Ergon Value</t>
  </si>
  <si>
    <t>Reduction</t>
  </si>
  <si>
    <t>OPEX reduction ($)</t>
  </si>
  <si>
    <t>OPEX reduction (%)</t>
  </si>
  <si>
    <t>Ergon net capital expenditure</t>
  </si>
  <si>
    <t>Ergon Net capital expenditure</t>
  </si>
  <si>
    <t>Alliance net capital expenditure</t>
  </si>
  <si>
    <t>Alliance Closing RAB</t>
  </si>
  <si>
    <t>Ergon closing RAB</t>
  </si>
  <si>
    <t>RAB reduction ($)</t>
  </si>
  <si>
    <t>RAB reduction (%)</t>
  </si>
  <si>
    <t xml:space="preserve">Alliance Return on capital </t>
  </si>
  <si>
    <t>Plus Alliance regulatory depreciation</t>
  </si>
  <si>
    <t>Plus Alliance Operating expenditure</t>
  </si>
  <si>
    <t>Plus Alliance revenue adjustments</t>
  </si>
  <si>
    <t>CAPEX reduction ($)</t>
  </si>
  <si>
    <t>CAPEX reduction (%)</t>
  </si>
  <si>
    <t>Alliance Gross operating costs</t>
  </si>
  <si>
    <t>Labour producitvity (quality adjusted hours worked basis)</t>
  </si>
  <si>
    <t>Average (non-utility)</t>
  </si>
  <si>
    <t>Agriculture, Forestry and Fishing</t>
  </si>
  <si>
    <t>Manufacturing</t>
  </si>
  <si>
    <t>Electricity, Gas, Water and Waste Services</t>
  </si>
  <si>
    <t>Construction</t>
  </si>
  <si>
    <t>Retail Trade</t>
  </si>
  <si>
    <t>Accommodation and Food Services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</si>
  <si>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</si>
  <si>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</si>
  <si>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</si>
  <si>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</si>
  <si>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</si>
  <si>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</si>
  <si>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</si>
  <si>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</si>
  <si>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</si>
  <si>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</si>
  <si>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</si>
  <si>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Non-utility</t>
  </si>
  <si>
    <t>Utility</t>
  </si>
  <si>
    <t xml:space="preserve">Current period Change </t>
  </si>
  <si>
    <t>Previous period change</t>
  </si>
  <si>
    <t>10 year change</t>
  </si>
  <si>
    <t>Projection</t>
  </si>
  <si>
    <t xml:space="preserve">ABS Data: 5260.0.55.002 Estimates of Industry Multifactor Productivity, Australia       </t>
  </si>
  <si>
    <t>Labour productivity requirement</t>
  </si>
  <si>
    <t>Capital producitvity</t>
  </si>
  <si>
    <t>Capital productivity requirement</t>
  </si>
  <si>
    <t>Ergon Energy (QLD)</t>
  </si>
  <si>
    <t>Energex (QLD)</t>
  </si>
  <si>
    <t>Essential Energy (NSW)</t>
  </si>
  <si>
    <t>Endeavour (NSW)</t>
  </si>
  <si>
    <t>SAPN (SA)</t>
  </si>
  <si>
    <t>Aurora (TAS)</t>
  </si>
  <si>
    <t>Opex Excl FiT ('m nominal)</t>
  </si>
  <si>
    <t>Source: DNSP RIN Data</t>
  </si>
  <si>
    <t>Customer numbers</t>
  </si>
  <si>
    <t>Energy Delivered (GWh)</t>
  </si>
  <si>
    <t>Route line length (Km)</t>
  </si>
  <si>
    <t>Network metrics</t>
  </si>
  <si>
    <t>OPEX/Customer ($)</t>
  </si>
  <si>
    <t>Period average:</t>
  </si>
  <si>
    <t>Benchmark values</t>
  </si>
  <si>
    <t>Benchmark OPEX x customers</t>
  </si>
  <si>
    <t>Benchmark Opex x Energy delivered</t>
  </si>
  <si>
    <t>Benchmark OPEX x Roue length</t>
  </si>
  <si>
    <t>Benchmark OPEX x System demand</t>
  </si>
  <si>
    <t>OPEX/GWh Energy Delivered ($)</t>
  </si>
  <si>
    <t>OPEX/ MW Demand  ($)</t>
  </si>
  <si>
    <t>OPEX/km line ($)</t>
  </si>
  <si>
    <t>Alliance estimate (Ergon Energy)</t>
  </si>
  <si>
    <t>Queensland Government Owned Corporation Return on Equity (Source: GOC Annual Reports)</t>
  </si>
  <si>
    <t xml:space="preserve">SunWater </t>
  </si>
  <si>
    <t>Stanwell</t>
  </si>
  <si>
    <t>CS Energy</t>
  </si>
  <si>
    <t>Ports North</t>
  </si>
  <si>
    <t>Gladstone Ports</t>
  </si>
  <si>
    <t>North Queensland Bulk Ports</t>
  </si>
  <si>
    <t>Port of Townsville</t>
  </si>
  <si>
    <t>Ergon Energy</t>
  </si>
  <si>
    <t>Key WACC Parameters</t>
  </si>
  <si>
    <t>Corproate tax rate</t>
  </si>
  <si>
    <t>Nominal risk-free rate</t>
  </si>
  <si>
    <t>Debt gearing</t>
  </si>
  <si>
    <t>Utilisation of imputation credits</t>
  </si>
  <si>
    <t xml:space="preserve">Debt raising cost benchmark </t>
  </si>
  <si>
    <t>WACC Rate</t>
  </si>
  <si>
    <t xml:space="preserve">5-year average </t>
  </si>
  <si>
    <t>N/A</t>
  </si>
  <si>
    <t>Market Risk Premium</t>
  </si>
  <si>
    <t>Equity Beta</t>
  </si>
  <si>
    <t>Required return on the market</t>
  </si>
  <si>
    <t>Return on Equity</t>
  </si>
  <si>
    <t>Sharpe-Lintner CAPM estimate</t>
  </si>
  <si>
    <t>Return on debt</t>
  </si>
  <si>
    <t>Nominal Credit rating</t>
  </si>
  <si>
    <t>BBB</t>
  </si>
  <si>
    <t>AA</t>
  </si>
  <si>
    <t>AER Benchmark</t>
  </si>
  <si>
    <t>BBB+</t>
  </si>
  <si>
    <t>Risk free rate</t>
  </si>
  <si>
    <t>AAA</t>
  </si>
  <si>
    <t>5-year trailing average debt rate</t>
  </si>
  <si>
    <t>Ergon Proposal</t>
  </si>
  <si>
    <t>Nominal Risk Free Rate</t>
  </si>
  <si>
    <t>Ergon OPEX allowance</t>
  </si>
  <si>
    <t>Alliance GROSS benchmark OPEX allowance</t>
  </si>
  <si>
    <t>Less Productivity Dividend</t>
  </si>
  <si>
    <t>Alliance NET benchmark OPEX allowance</t>
  </si>
  <si>
    <t>NET Alliance Operating Expenditure</t>
  </si>
  <si>
    <t>NET Ergon Operating Expenditure</t>
  </si>
  <si>
    <t>OPEX Reduction ($)</t>
  </si>
  <si>
    <t>OPEX Reduction (%)</t>
  </si>
  <si>
    <t>Period average</t>
  </si>
  <si>
    <t>Regulatory Period Average</t>
  </si>
  <si>
    <t>Ergon Actual Network Statistics</t>
  </si>
  <si>
    <t>Alliance Forecast Network Statistics</t>
  </si>
  <si>
    <t xml:space="preserve">Regulator Decision </t>
  </si>
  <si>
    <t>Ergon Actual</t>
  </si>
  <si>
    <t>Ergon Forecast</t>
  </si>
  <si>
    <t>Alliance Forecast</t>
  </si>
  <si>
    <t>Alliance proposed forecasts</t>
  </si>
  <si>
    <t>System Annual Maximum Demand</t>
  </si>
  <si>
    <t>Customer Numbers</t>
  </si>
  <si>
    <t>System Annual Maximum Demand (MW)</t>
  </si>
  <si>
    <t>Total NET CAPEX ($'m nominal)</t>
  </si>
  <si>
    <t>Ergon Opening RAB ($M nominal)</t>
  </si>
  <si>
    <t>Ergon Proposed CAPEX ($M nominal)</t>
  </si>
  <si>
    <t>Ergon Return of Captial (Depreciation) ($M nominal)</t>
  </si>
  <si>
    <t>Ergon Tax depreciation ($M nominal)</t>
  </si>
  <si>
    <t>Ergon Forecast Operating Expenditure ($M nominal)</t>
  </si>
  <si>
    <t>Ergon Corporate income tax payable ($M nominal)</t>
  </si>
  <si>
    <t>Ergon Revenue increments/decrements ($M nominal)</t>
  </si>
  <si>
    <t>Ergon Other building block revenue increments/decrements ($M nominal)</t>
  </si>
  <si>
    <t>Ergon Revenue adjustment for shared assets (2015-2020) ($M nominal)</t>
  </si>
  <si>
    <t>Ergon Annual revenue requirement ($M nominal)</t>
  </si>
  <si>
    <t>RAB ($M nominal)</t>
  </si>
  <si>
    <t>Alliance Proposed CAPEX ($M nominal)</t>
  </si>
  <si>
    <t>Alliance Return on captial ($M nominal)</t>
  </si>
  <si>
    <t>Alliance Return of Captial (Depreciation) ($M nominal)</t>
  </si>
  <si>
    <t>Alliance Forecast Operating Expenditure ($M nominal)</t>
  </si>
  <si>
    <t>Alliance Corporate income tax payable ($M nominal)</t>
  </si>
  <si>
    <t>Alliance Revenue increments/decrements ($M nominal)</t>
  </si>
  <si>
    <t>Alliance Other building block revenue increments/decrements ($M nominal)</t>
  </si>
  <si>
    <t>Alliance Revenue adjustment for shared assets (2015-2020) ($M nominal)</t>
  </si>
  <si>
    <t>Alliance Annual revenue requirement ($M nominal)</t>
  </si>
  <si>
    <t>Asset Renewal ($'m 2014-15)</t>
  </si>
  <si>
    <t>Corporation Initiated Augmentation ($'m 2014-15)</t>
  </si>
  <si>
    <t>Customer Connection Initiated Capital Works ($'m 2014-15)</t>
  </si>
  <si>
    <t>Corporation Intiated Augmentation ($'m nominal)</t>
  </si>
  <si>
    <t>Annual revenue requirement ($'m nominal)</t>
  </si>
  <si>
    <t>Average network price (c/kWh)</t>
  </si>
  <si>
    <t>Price reduction (C/kWh)</t>
  </si>
  <si>
    <t>Price reduction (%)</t>
  </si>
  <si>
    <t>Ergon Potential</t>
  </si>
  <si>
    <t>Asset Renewal ($'m nominal)</t>
  </si>
  <si>
    <t>Customer Connection Initiated Capital Works ($'m nominal)</t>
  </si>
  <si>
    <t>QCA Decision</t>
  </si>
  <si>
    <t>Regulator Decision</t>
  </si>
  <si>
    <t xml:space="preserve">Ergon Forecast </t>
  </si>
  <si>
    <t>Regulatory period average</t>
  </si>
  <si>
    <t>Ergon Period Underspend (%)</t>
  </si>
  <si>
    <t>Period average CCICW per new customer (RHS)</t>
  </si>
  <si>
    <t>Ergon customers</t>
  </si>
  <si>
    <t>Allowance Reduction (%)</t>
  </si>
  <si>
    <t>Allowance Reduction ($)</t>
  </si>
  <si>
    <t>Regulator Decision (LHS)</t>
  </si>
  <si>
    <t>Ergon Actual (LHS)</t>
  </si>
  <si>
    <t>Ergon Forecast (LHS)</t>
  </si>
  <si>
    <t>Alliance Forecast (LHS)</t>
  </si>
  <si>
    <t>Total NET OPEX ($'m nominal)</t>
  </si>
  <si>
    <t>Average RoE for QLD GOCs (excl Ergon)</t>
  </si>
  <si>
    <t>Forecast Overall Utilisation</t>
  </si>
  <si>
    <t xml:space="preserve">Actual Overall Utilisation </t>
  </si>
  <si>
    <t>Non-Financial Corporate Bonds - Yield 10 Year (Source: Pending data from RBA)</t>
  </si>
  <si>
    <t>&lt;AWAITING INFORMATION FROM THE RESERVE BANK OF AUSTRALIA&gt;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</si>
</sst>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%"/>
    <numFmt numFmtId="165" formatCode="_-* #,##0_-;\-* #,##0_-;_-* &quot;-&quot;??_-;_-@_-"/>
    <numFmt numFmtId="166" formatCode="0.000"/>
    <numFmt numFmtId="167" formatCode="0.0"/>
    <numFmt numFmtId="168" formatCode="mmm\-yyyy"/>
    <numFmt numFmtId="169" formatCode="_-* #,##0.000_-;\-* #,##0.000_-;_-* &quot;-&quot;??_-;_-@_-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sz val="12"/>
      <color rgb="FF000000"/>
      <name val="Calibri"/>
      <family val="2"/>
      <scheme val="minor"/>
    </font>
    <font>
      <sz val="8"/>
      <name val="Arial"/>
      <family val="2"/>
    </font>
    <font>
      <i/>
      <sz val="12"/>
      <color theme="1"/>
      <name val="Calibri"/>
      <scheme val="minor"/>
    </font>
    <font>
      <b/>
      <sz val="12"/>
      <color rgb="FF000000"/>
      <name val="Calibri"/>
      <scheme val="minor"/>
    </font>
    <font>
      <b/>
      <sz val="12"/>
      <color theme="1"/>
      <name val="Calibri"/>
    </font>
    <font>
      <sz val="12"/>
      <name val="Calibri"/>
    </font>
    <font>
      <b/>
      <i/>
      <sz val="12"/>
      <color theme="1"/>
      <name val="Calibri"/>
      <scheme val="minor"/>
    </font>
    <font>
      <sz val="12"/>
      <color theme="0"/>
      <name val="Calibri"/>
      <family val="2"/>
      <scheme val="minor"/>
    </font>
    <font>
      <i/>
      <sz val="12"/>
      <color theme="0"/>
      <name val="Calibri"/>
      <scheme val="minor"/>
    </font>
    <font>
      <b/>
      <sz val="20"/>
      <color rgb="FFFF0000"/>
      <name val="Calibri"/>
      <scheme val="minor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8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" fontId="8" fillId="0" borderId="0" applyNumberFormat="0" applyFill="0" applyBorder="0" applyProtection="0">
      <alignment horizontal="left"/>
    </xf>
    <xf numFmtId="2" fontId="8" fillId="0" borderId="0" applyFill="0" applyBorder="0" applyAlignment="0" applyProtection="0">
      <alignment horizontal="right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99">
    <xf numFmtId="0" fontId="0" fillId="0" borderId="0" xfId="0"/>
    <xf numFmtId="9" fontId="0" fillId="0" borderId="0" xfId="0" applyNumberFormat="1"/>
    <xf numFmtId="10" fontId="0" fillId="0" borderId="0" xfId="0" applyNumberFormat="1"/>
    <xf numFmtId="164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0" borderId="0" xfId="0" applyFill="1"/>
    <xf numFmtId="2" fontId="0" fillId="0" borderId="0" xfId="0" applyNumberFormat="1" applyFill="1"/>
    <xf numFmtId="43" fontId="0" fillId="0" borderId="0" xfId="0" applyNumberFormat="1"/>
    <xf numFmtId="0" fontId="3" fillId="0" borderId="0" xfId="0" applyFont="1"/>
    <xf numFmtId="0" fontId="0" fillId="0" borderId="0" xfId="0" applyFont="1"/>
    <xf numFmtId="165" fontId="0" fillId="0" borderId="0" xfId="1" applyNumberFormat="1" applyFont="1" applyFill="1"/>
    <xf numFmtId="0" fontId="3" fillId="2" borderId="0" xfId="0" applyFont="1" applyFill="1"/>
    <xf numFmtId="43" fontId="0" fillId="0" borderId="0" xfId="1" applyNumberFormat="1" applyFont="1" applyFill="1"/>
    <xf numFmtId="0" fontId="3" fillId="0" borderId="1" xfId="0" applyFont="1" applyBorder="1" applyAlignment="1">
      <alignment horizontal="center"/>
    </xf>
    <xf numFmtId="165" fontId="0" fillId="0" borderId="0" xfId="1" applyNumberFormat="1" applyFont="1"/>
    <xf numFmtId="165" fontId="0" fillId="0" borderId="0" xfId="0" applyNumberFormat="1"/>
    <xf numFmtId="165" fontId="3" fillId="0" borderId="0" xfId="1" applyNumberFormat="1" applyFont="1"/>
    <xf numFmtId="165" fontId="6" fillId="0" borderId="0" xfId="1" applyNumberFormat="1" applyFont="1" applyFill="1"/>
    <xf numFmtId="10" fontId="6" fillId="0" borderId="0" xfId="2" applyNumberFormat="1" applyFont="1" applyFill="1"/>
    <xf numFmtId="9" fontId="0" fillId="0" borderId="0" xfId="2" applyFont="1"/>
    <xf numFmtId="0" fontId="9" fillId="0" borderId="0" xfId="0" applyFont="1"/>
    <xf numFmtId="165" fontId="9" fillId="0" borderId="0" xfId="1" applyNumberFormat="1" applyFont="1"/>
    <xf numFmtId="10" fontId="0" fillId="0" borderId="0" xfId="2" applyNumberFormat="1" applyFont="1"/>
    <xf numFmtId="165" fontId="9" fillId="0" borderId="0" xfId="0" applyNumberFormat="1" applyFont="1"/>
    <xf numFmtId="165" fontId="9" fillId="0" borderId="0" xfId="1" applyNumberFormat="1" applyFont="1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applyBorder="1"/>
    <xf numFmtId="0" fontId="7" fillId="0" borderId="0" xfId="0" applyFont="1"/>
    <xf numFmtId="0" fontId="10" fillId="0" borderId="0" xfId="0" applyFont="1"/>
    <xf numFmtId="166" fontId="0" fillId="0" borderId="0" xfId="0" applyNumberFormat="1"/>
    <xf numFmtId="167" fontId="0" fillId="0" borderId="0" xfId="0" applyNumberFormat="1"/>
    <xf numFmtId="1" fontId="0" fillId="2" borderId="0" xfId="0" applyNumberFormat="1" applyFill="1"/>
    <xf numFmtId="1" fontId="0" fillId="0" borderId="0" xfId="0" applyNumberFormat="1"/>
    <xf numFmtId="165" fontId="0" fillId="2" borderId="0" xfId="1" applyNumberFormat="1" applyFont="1" applyFill="1"/>
    <xf numFmtId="10" fontId="0" fillId="0" borderId="0" xfId="0" applyNumberFormat="1" applyAlignment="1">
      <alignment horizontal="right" vertical="center"/>
    </xf>
    <xf numFmtId="10" fontId="0" fillId="0" borderId="0" xfId="0" applyNumberFormat="1" applyFill="1" applyAlignment="1">
      <alignment horizontal="right" vertical="center"/>
    </xf>
    <xf numFmtId="10" fontId="0" fillId="0" borderId="0" xfId="2" applyNumberFormat="1" applyFont="1" applyAlignment="1">
      <alignment horizontal="right" vertical="center"/>
    </xf>
    <xf numFmtId="164" fontId="0" fillId="0" borderId="0" xfId="2" applyNumberFormat="1" applyFont="1"/>
    <xf numFmtId="10" fontId="0" fillId="0" borderId="0" xfId="0" applyNumberFormat="1" applyFont="1"/>
    <xf numFmtId="0" fontId="11" fillId="0" borderId="0" xfId="0" applyFont="1"/>
    <xf numFmtId="168" fontId="12" fillId="0" borderId="0" xfId="0" applyNumberFormat="1" applyFont="1" applyBorder="1" applyAlignment="1" applyProtection="1">
      <alignment horizontal="right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166" fontId="9" fillId="0" borderId="0" xfId="0" applyNumberFormat="1" applyFont="1"/>
    <xf numFmtId="10" fontId="9" fillId="0" borderId="0" xfId="2" applyNumberFormat="1" applyFont="1"/>
    <xf numFmtId="43" fontId="9" fillId="0" borderId="0" xfId="1" applyNumberFormat="1" applyFont="1"/>
    <xf numFmtId="165" fontId="0" fillId="0" borderId="0" xfId="0" applyNumberFormat="1" applyFont="1"/>
    <xf numFmtId="165" fontId="13" fillId="0" borderId="0" xfId="0" applyNumberFormat="1" applyFont="1"/>
    <xf numFmtId="166" fontId="9" fillId="0" borderId="0" xfId="0" applyNumberFormat="1" applyFont="1" applyFill="1"/>
    <xf numFmtId="0" fontId="14" fillId="3" borderId="7" xfId="0" applyFont="1" applyFill="1" applyBorder="1"/>
    <xf numFmtId="0" fontId="14" fillId="3" borderId="8" xfId="0" applyFont="1" applyFill="1" applyBorder="1"/>
    <xf numFmtId="0" fontId="14" fillId="3" borderId="9" xfId="0" applyFont="1" applyFill="1" applyBorder="1"/>
    <xf numFmtId="0" fontId="0" fillId="0" borderId="0" xfId="0" applyBorder="1"/>
    <xf numFmtId="0" fontId="15" fillId="3" borderId="0" xfId="0" applyFont="1" applyFill="1"/>
    <xf numFmtId="0" fontId="3" fillId="0" borderId="0" xfId="0" applyFont="1" applyFill="1" applyBorder="1"/>
    <xf numFmtId="0" fontId="3" fillId="0" borderId="0" xfId="0" applyFont="1" applyFill="1"/>
    <xf numFmtId="1" fontId="0" fillId="0" borderId="0" xfId="0" applyNumberFormat="1" applyFill="1"/>
    <xf numFmtId="0" fontId="9" fillId="0" borderId="0" xfId="0" applyFont="1" applyFill="1"/>
    <xf numFmtId="165" fontId="13" fillId="0" borderId="0" xfId="1" applyNumberFormat="1" applyFont="1" applyFill="1"/>
    <xf numFmtId="0" fontId="0" fillId="0" borderId="0" xfId="0" applyFont="1" applyFill="1"/>
    <xf numFmtId="165" fontId="1" fillId="0" borderId="0" xfId="1" applyNumberFormat="1" applyFont="1" applyBorder="1"/>
    <xf numFmtId="165" fontId="9" fillId="0" borderId="0" xfId="1" applyNumberFormat="1" applyFont="1" applyFill="1" applyBorder="1"/>
    <xf numFmtId="165" fontId="0" fillId="0" borderId="0" xfId="1" applyNumberFormat="1" applyFont="1" applyBorder="1"/>
    <xf numFmtId="165" fontId="9" fillId="2" borderId="0" xfId="1" applyNumberFormat="1" applyFont="1" applyFill="1" applyBorder="1"/>
    <xf numFmtId="43" fontId="0" fillId="0" borderId="0" xfId="1" applyNumberFormat="1" applyFont="1"/>
    <xf numFmtId="2" fontId="0" fillId="0" borderId="0" xfId="1" applyNumberFormat="1" applyFont="1"/>
    <xf numFmtId="0" fontId="6" fillId="0" borderId="0" xfId="0" applyFont="1"/>
    <xf numFmtId="165" fontId="6" fillId="0" borderId="0" xfId="1" applyNumberFormat="1" applyFont="1"/>
    <xf numFmtId="0" fontId="0" fillId="4" borderId="0" xfId="0" applyFill="1"/>
    <xf numFmtId="10" fontId="6" fillId="0" borderId="0" xfId="2" applyNumberFormat="1" applyFont="1"/>
    <xf numFmtId="169" fontId="0" fillId="0" borderId="0" xfId="1" applyNumberFormat="1" applyFont="1"/>
    <xf numFmtId="10" fontId="0" fillId="0" borderId="0" xfId="0" applyNumberFormat="1" applyBorder="1"/>
    <xf numFmtId="43" fontId="6" fillId="0" borderId="0" xfId="0" applyNumberFormat="1" applyFont="1"/>
    <xf numFmtId="165" fontId="0" fillId="0" borderId="0" xfId="1" applyNumberFormat="1" applyFont="1" applyFill="1" applyBorder="1"/>
    <xf numFmtId="165" fontId="0" fillId="2" borderId="0" xfId="1" applyNumberFormat="1" applyFont="1" applyFill="1" applyBorder="1"/>
    <xf numFmtId="9" fontId="9" fillId="0" borderId="0" xfId="2" applyFont="1" applyFill="1" applyBorder="1"/>
    <xf numFmtId="43" fontId="0" fillId="0" borderId="0" xfId="1" applyNumberFormat="1" applyFont="1" applyFill="1" applyBorder="1"/>
    <xf numFmtId="10" fontId="9" fillId="0" borderId="0" xfId="2" applyNumberFormat="1" applyFont="1" applyFill="1" applyBorder="1"/>
    <xf numFmtId="165" fontId="3" fillId="0" borderId="2" xfId="0" applyNumberFormat="1" applyFont="1" applyBorder="1"/>
    <xf numFmtId="165" fontId="6" fillId="0" borderId="2" xfId="0" applyNumberFormat="1" applyFont="1" applyBorder="1"/>
    <xf numFmtId="0" fontId="16" fillId="0" borderId="0" xfId="0" applyFont="1" applyAlignment="1"/>
    <xf numFmtId="0" fontId="17" fillId="0" borderId="0" xfId="0" applyFont="1"/>
    <xf numFmtId="10" fontId="17" fillId="0" borderId="0" xfId="0" applyNumberFormat="1" applyFont="1"/>
    <xf numFmtId="0" fontId="17" fillId="4" borderId="0" xfId="0" applyFont="1" applyFill="1"/>
    <xf numFmtId="10" fontId="0" fillId="0" borderId="0" xfId="0" applyNumberFormat="1" applyFill="1"/>
    <xf numFmtId="10" fontId="6" fillId="0" borderId="3" xfId="2" applyNumberFormat="1" applyFont="1" applyBorder="1"/>
    <xf numFmtId="2" fontId="12" fillId="0" borderId="0" xfId="0" applyNumberFormat="1" applyFont="1" applyBorder="1" applyAlignment="1" applyProtection="1">
      <alignment horizontal="right"/>
    </xf>
    <xf numFmtId="10" fontId="0" fillId="0" borderId="0" xfId="2" applyNumberFormat="1" applyFont="1" applyFill="1"/>
    <xf numFmtId="165" fontId="0" fillId="0" borderId="0" xfId="0" applyNumberFormat="1" applyFill="1"/>
    <xf numFmtId="9" fontId="0" fillId="0" borderId="0" xfId="2" applyFont="1" applyFill="1"/>
    <xf numFmtId="10" fontId="0" fillId="2" borderId="0" xfId="0" applyNumberFormat="1" applyFill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4" borderId="0" xfId="0" applyFont="1" applyFill="1" applyAlignment="1">
      <alignment horizontal="center" vertical="top" wrapText="1"/>
    </xf>
  </cellXfs>
  <cellStyles count="383">
    <cellStyle name="Comma" xfId="1" builtinId="3"/>
    <cellStyle name="DefaultDP2" xfId="76"/>
    <cellStyle name="DefaultLeft 2" xfId="75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Normal" xfId="0" builtinId="0"/>
    <cellStyle name="Percent" xfId="2" builtinId="5"/>
  </cellStyles>
  <dxfs count="0"/>
  <tableStyles count="0" defaultTableStyle="TableStyleMedium9" defaultPivotStyle="PivotStyleMedium4"/>
  <colors>
    <mruColors>
      <color rgb="FF00804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Ergon</a:t>
            </a:r>
            <a:r>
              <a:rPr lang="en-US" baseline="0"/>
              <a:t> Energy S</a:t>
            </a:r>
            <a:r>
              <a:rPr lang="en-US"/>
              <a:t>ystem</a:t>
            </a:r>
            <a:r>
              <a:rPr lang="en-US" baseline="0"/>
              <a:t> Annual Maximum Demand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'Alliance Forecasts'!$A$4</c:f>
              <c:strCache>
                <c:ptCount val="1"/>
                <c:pt idx="0">
                  <c:v>Regulator Decision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Forecasts'!$B$4:$P$4</c:f>
              <c:numCache>
                <c:formatCode>General</c:formatCode>
                <c:ptCount val="15"/>
                <c:pt idx="4">
                  <c:v>2447</c:v>
                </c:pt>
                <c:pt idx="5" formatCode="_-* #,##0_-;\-* #,##0_-;_-* &quot;-&quot;??_-;_-@_-">
                  <c:v>2778</c:v>
                </c:pt>
                <c:pt idx="6" formatCode="_-* #,##0_-;\-* #,##0_-;_-* &quot;-&quot;??_-;_-@_-">
                  <c:v>2907</c:v>
                </c:pt>
                <c:pt idx="7" formatCode="_-* #,##0_-;\-* #,##0_-;_-* &quot;-&quot;??_-;_-@_-">
                  <c:v>3017</c:v>
                </c:pt>
                <c:pt idx="8" formatCode="_-* #,##0_-;\-* #,##0_-;_-* &quot;-&quot;??_-;_-@_-">
                  <c:v>3100</c:v>
                </c:pt>
                <c:pt idx="9" formatCode="_-* #,##0_-;\-* #,##0_-;_-* &quot;-&quot;??_-;_-@_-">
                  <c:v>3171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'Alliance Forecasts'!$A$5</c:f>
              <c:strCache>
                <c:ptCount val="1"/>
                <c:pt idx="0">
                  <c:v>Ergon Actual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Forecasts'!$B$5:$P$5</c:f>
              <c:numCache>
                <c:formatCode>_-* #,##0_-;\-* #,##0_-;_-* "-"??_-;_-@_-</c:formatCode>
                <c:ptCount val="15"/>
                <c:pt idx="0">
                  <c:v>2146</c:v>
                </c:pt>
                <c:pt idx="1">
                  <c:v>2230</c:v>
                </c:pt>
                <c:pt idx="2">
                  <c:v>2383</c:v>
                </c:pt>
                <c:pt idx="3">
                  <c:v>2299</c:v>
                </c:pt>
                <c:pt idx="4">
                  <c:v>2447</c:v>
                </c:pt>
                <c:pt idx="5">
                  <c:v>2281</c:v>
                </c:pt>
                <c:pt idx="6">
                  <c:v>2367</c:v>
                </c:pt>
                <c:pt idx="7">
                  <c:v>2345</c:v>
                </c:pt>
                <c:pt idx="8">
                  <c:v>2472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'Alliance Forecasts'!$A$6</c:f>
              <c:strCache>
                <c:ptCount val="1"/>
                <c:pt idx="0">
                  <c:v>Ergon Forecast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Forecasts'!$B$6:$P$6</c:f>
              <c:numCache>
                <c:formatCode>General</c:formatCode>
                <c:ptCount val="15"/>
                <c:pt idx="9" formatCode="_-* #,##0_-;\-* #,##0_-;_-* &quot;-&quot;??_-;_-@_-">
                  <c:v>2600</c:v>
                </c:pt>
                <c:pt idx="10" formatCode="_-* #,##0_-;\-* #,##0_-;_-* &quot;-&quot;??_-;_-@_-">
                  <c:v>2661.5262805191887</c:v>
                </c:pt>
                <c:pt idx="11" formatCode="_-* #,##0_-;\-* #,##0_-;_-* &quot;-&quot;??_-;_-@_-">
                  <c:v>2656.8869509493088</c:v>
                </c:pt>
                <c:pt idx="12" formatCode="_-* #,##0_-;\-* #,##0_-;_-* &quot;-&quot;??_-;_-@_-">
                  <c:v>2730.8934106318266</c:v>
                </c:pt>
                <c:pt idx="13" formatCode="_-* #,##0_-;\-* #,##0_-;_-* &quot;-&quot;??_-;_-@_-">
                  <c:v>2801.9752565235685</c:v>
                </c:pt>
                <c:pt idx="14" formatCode="_-* #,##0_-;\-* #,##0_-;_-* &quot;-&quot;??_-;_-@_-">
                  <c:v>2906.1382757307001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'Alliance Forecasts'!$A$7</c:f>
              <c:strCache>
                <c:ptCount val="1"/>
                <c:pt idx="0">
                  <c:v>Alliance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val>
            <c:numRef>
              <c:f>'Alliance Forecasts'!$B$7:$P$7</c:f>
              <c:numCache>
                <c:formatCode>General</c:formatCode>
                <c:ptCount val="15"/>
                <c:pt idx="10" formatCode="_-* #,##0_-;\-* #,##0_-;_-* &quot;-&quot;??_-;_-@_-">
                  <c:v>2420.2883000000002</c:v>
                </c:pt>
                <c:pt idx="11" formatCode="_-* #,##0_-;\-* #,##0_-;_-* &quot;-&quot;??_-;_-@_-">
                  <c:v>2430.2235999999998</c:v>
                </c:pt>
                <c:pt idx="12" formatCode="_-* #,##0_-;\-* #,##0_-;_-* &quot;-&quot;??_-;_-@_-">
                  <c:v>2440.1588999999999</c:v>
                </c:pt>
                <c:pt idx="13" formatCode="_-* #,##0_-;\-* #,##0_-;_-* &quot;-&quot;??_-;_-@_-">
                  <c:v>2450.0942</c:v>
                </c:pt>
                <c:pt idx="14" formatCode="_-* #,##0_-;\-* #,##0_-;_-* &quot;-&quot;??_-;_-@_-">
                  <c:v>2460.0295000000001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662464"/>
        <c:axId val="265664000"/>
      </c:lineChart>
      <c:catAx>
        <c:axId val="265662464"/>
        <c:scaling>
          <c:orientation val="minMax"/>
        </c:scaling>
        <c:delete val="0"/>
        <c:axPos val="b"/>
        <c:majorTickMark val="out"/>
        <c:minorTickMark val="none"/>
        <c:tickLblPos val="nextTo"/>
        <c:crossAx val="265664000"/>
        <c:crosses val="autoZero"/>
        <c:auto val="1"/>
        <c:lblAlgn val="ctr"/>
        <c:lblOffset val="100"/>
        <c:noMultiLvlLbl val="0"/>
      </c:catAx>
      <c:valAx>
        <c:axId val="265664000"/>
        <c:scaling>
          <c:orientation val="minMax"/>
          <c:max val="3200"/>
          <c:min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System annual</a:t>
                </a:r>
                <a:r>
                  <a:rPr lang="en-US" baseline="0"/>
                  <a:t> maximum demand (MW)</a:t>
                </a:r>
                <a:endParaRPr lang="en-US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6566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Ergon and Alliance Proposed CAPEX</a:t>
            </a:r>
            <a:r>
              <a:rPr lang="en-US" baseline="0"/>
              <a:t> Allowances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079033964038"/>
          <c:y val="0.16462093862815899"/>
          <c:w val="0.56324353703574703"/>
          <c:h val="0.67111941783450302"/>
        </c:manualLayout>
      </c:layout>
      <c:lineChart>
        <c:grouping val="standard"/>
        <c:varyColors val="0"/>
        <c:ser>
          <c:idx val="0"/>
          <c:order val="0"/>
          <c:tx>
            <c:strRef>
              <c:f>'Alliance CAPEX'!$A$25</c:f>
              <c:strCache>
                <c:ptCount val="1"/>
                <c:pt idx="0">
                  <c:v>Ergon Actual</c:v>
                </c:pt>
              </c:strCache>
            </c:strRef>
          </c:tx>
          <c:marker>
            <c:symbol val="none"/>
          </c:marker>
          <c:dPt>
            <c:idx val="10"/>
            <c:bubble3D val="0"/>
            <c:spPr>
              <a:ln>
                <a:prstDash val="dash"/>
              </a:ln>
            </c:spPr>
          </c:dPt>
          <c:dPt>
            <c:idx val="11"/>
            <c:bubble3D val="0"/>
            <c:spPr>
              <a:ln>
                <a:prstDash val="dash"/>
              </a:ln>
            </c:spPr>
          </c:dPt>
          <c:dPt>
            <c:idx val="12"/>
            <c:bubble3D val="0"/>
            <c:spPr>
              <a:ln>
                <a:prstDash val="dash"/>
              </a:ln>
            </c:spPr>
          </c:dPt>
          <c:dPt>
            <c:idx val="13"/>
            <c:bubble3D val="0"/>
            <c:spPr>
              <a:ln>
                <a:prstDash val="dash"/>
              </a:ln>
            </c:spPr>
          </c:dPt>
          <c:dPt>
            <c:idx val="14"/>
            <c:bubble3D val="0"/>
            <c:spPr>
              <a:ln>
                <a:prstDash val="dash"/>
              </a:ln>
            </c:spPr>
          </c:dPt>
          <c:cat>
            <c:strRef>
              <c:f>'Alliance OPEX'!$B$2:$P$2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CAPEX'!$B$16:$K$16</c:f>
              <c:numCache>
                <c:formatCode>_-* #,##0_-;\-* #,##0_-;_-* "-"??_-;_-@_-</c:formatCode>
                <c:ptCount val="10"/>
                <c:pt idx="0">
                  <c:v>611.90029530000004</c:v>
                </c:pt>
                <c:pt idx="1">
                  <c:v>719.73233630000004</c:v>
                </c:pt>
                <c:pt idx="2">
                  <c:v>718.99529849999999</c:v>
                </c:pt>
                <c:pt idx="3">
                  <c:v>721.27977969999995</c:v>
                </c:pt>
                <c:pt idx="4">
                  <c:v>641.06321089999994</c:v>
                </c:pt>
                <c:pt idx="5">
                  <c:v>701.17107680000004</c:v>
                </c:pt>
                <c:pt idx="6">
                  <c:v>753.19155079999996</c:v>
                </c:pt>
                <c:pt idx="7">
                  <c:v>731.1646508</c:v>
                </c:pt>
                <c:pt idx="8">
                  <c:v>662.92909540000005</c:v>
                </c:pt>
                <c:pt idx="9">
                  <c:v>735.69799999999998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'Alliance CAPEX'!$A$24</c:f>
              <c:strCache>
                <c:ptCount val="1"/>
                <c:pt idx="0">
                  <c:v>Regulator Decision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'Alliance CAPEX'!$B$15:$K$15</c:f>
              <c:numCache>
                <c:formatCode>_-* #,##0_-;\-* #,##0_-;_-* "-"??_-;_-@_-</c:formatCode>
                <c:ptCount val="10"/>
                <c:pt idx="5">
                  <c:v>1006.16</c:v>
                </c:pt>
                <c:pt idx="6">
                  <c:v>990.59</c:v>
                </c:pt>
                <c:pt idx="7">
                  <c:v>1025.43</c:v>
                </c:pt>
                <c:pt idx="8">
                  <c:v>1122.52</c:v>
                </c:pt>
                <c:pt idx="9">
                  <c:v>1227.3900000000001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'Alliance CAPEX'!$A$24</c:f>
              <c:strCache>
                <c:ptCount val="1"/>
                <c:pt idx="0">
                  <c:v>Regulator Decision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val>
            <c:numRef>
              <c:f>'Alliance CAPEX'!$B$14:$K$14</c:f>
              <c:numCache>
                <c:formatCode>_-* #,##0_-;\-* #,##0_-;_-* "-"??_-;_-@_-</c:formatCode>
                <c:ptCount val="10"/>
                <c:pt idx="0">
                  <c:v>507.3</c:v>
                </c:pt>
                <c:pt idx="1">
                  <c:v>559.52</c:v>
                </c:pt>
                <c:pt idx="2">
                  <c:v>608.80999999999995</c:v>
                </c:pt>
                <c:pt idx="3">
                  <c:v>636.26</c:v>
                </c:pt>
                <c:pt idx="4">
                  <c:v>641.01</c:v>
                </c:pt>
                <c:pt idx="5">
                  <c:v>1006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'Alliance CAPEX'!$A$18</c:f>
              <c:strCache>
                <c:ptCount val="1"/>
                <c:pt idx="0">
                  <c:v>Ergon Forecast </c:v>
                </c:pt>
              </c:strCache>
            </c:strRef>
          </c:tx>
          <c:spPr>
            <a:ln>
              <a:solidFill>
                <a:srgbClr val="4F81BD"/>
              </a:solidFill>
              <a:prstDash val="dash"/>
            </a:ln>
          </c:spPr>
          <c:marker>
            <c:symbol val="none"/>
          </c:marker>
          <c:val>
            <c:numRef>
              <c:f>'Alliance CAPEX'!$B$18:$P$18</c:f>
              <c:numCache>
                <c:formatCode>_-* #,##0_-;\-* #,##0_-;_-* "-"??_-;_-@_-</c:formatCode>
                <c:ptCount val="15"/>
                <c:pt idx="9">
                  <c:v>736</c:v>
                </c:pt>
                <c:pt idx="10">
                  <c:v>758.87953049999999</c:v>
                </c:pt>
                <c:pt idx="11">
                  <c:v>760.83541749999995</c:v>
                </c:pt>
                <c:pt idx="12">
                  <c:v>711.57693810000001</c:v>
                </c:pt>
                <c:pt idx="13">
                  <c:v>713.40145710000002</c:v>
                </c:pt>
                <c:pt idx="14">
                  <c:v>715.24484319999999</c:v>
                </c:pt>
              </c:numCache>
            </c:numRef>
          </c:val>
          <c:smooth val="0"/>
        </c:ser>
        <c:ser>
          <c:idx val="2"/>
          <c:order val="4"/>
          <c:tx>
            <c:strRef>
              <c:f>'Alliance CAPEX'!$A$19</c:f>
              <c:strCache>
                <c:ptCount val="1"/>
                <c:pt idx="0">
                  <c:v>Alliance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val>
            <c:numRef>
              <c:f>'Alliance CAPEX'!$B$19:$P$19</c:f>
              <c:numCache>
                <c:formatCode>_-* #,##0_-;\-* #,##0_-;_-* "-"??_-;_-@_-</c:formatCode>
                <c:ptCount val="15"/>
                <c:pt idx="10">
                  <c:v>505.16023764188816</c:v>
                </c:pt>
                <c:pt idx="11">
                  <c:v>478.42191378806433</c:v>
                </c:pt>
                <c:pt idx="12">
                  <c:v>428.72361873588943</c:v>
                </c:pt>
                <c:pt idx="13">
                  <c:v>401.60012334250678</c:v>
                </c:pt>
                <c:pt idx="14">
                  <c:v>381.17795246268111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'Alliance CAPEX'!$A$20</c:f>
              <c:strCache>
                <c:ptCount val="1"/>
                <c:pt idx="0">
                  <c:v>Regulatory period average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  <c:spPr>
              <a:ln>
                <a:noFill/>
                <a:prstDash val="dash"/>
              </a:ln>
            </c:spPr>
          </c:dPt>
          <c:dPt>
            <c:idx val="10"/>
            <c:bubble3D val="0"/>
            <c:spPr>
              <a:ln>
                <a:noFill/>
                <a:prstDash val="dash"/>
              </a:ln>
            </c:spPr>
          </c:dPt>
          <c:val>
            <c:numRef>
              <c:f>'Alliance CAPEX'!$B$20:$P$20</c:f>
              <c:numCache>
                <c:formatCode>_-* #,##0_-;\-* #,##0_-;_-* "-"??_-;_-@_-</c:formatCode>
                <c:ptCount val="15"/>
                <c:pt idx="0">
                  <c:v>682.59418413999992</c:v>
                </c:pt>
                <c:pt idx="1">
                  <c:v>682.59418413999992</c:v>
                </c:pt>
                <c:pt idx="2">
                  <c:v>682.59418413999992</c:v>
                </c:pt>
                <c:pt idx="3">
                  <c:v>682.59418413999992</c:v>
                </c:pt>
                <c:pt idx="4">
                  <c:v>682.59418413999992</c:v>
                </c:pt>
                <c:pt idx="5">
                  <c:v>716.83087475999992</c:v>
                </c:pt>
                <c:pt idx="6">
                  <c:v>716.83087475999992</c:v>
                </c:pt>
                <c:pt idx="7">
                  <c:v>716.83087475999992</c:v>
                </c:pt>
                <c:pt idx="8">
                  <c:v>716.83087475999992</c:v>
                </c:pt>
                <c:pt idx="9">
                  <c:v>716.83087475999992</c:v>
                </c:pt>
                <c:pt idx="10">
                  <c:v>731.98763727999994</c:v>
                </c:pt>
                <c:pt idx="11">
                  <c:v>731.98763727999994</c:v>
                </c:pt>
                <c:pt idx="12">
                  <c:v>731.98763727999994</c:v>
                </c:pt>
                <c:pt idx="13">
                  <c:v>731.98763727999994</c:v>
                </c:pt>
                <c:pt idx="14">
                  <c:v>731.98763727999994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168128"/>
        <c:axId val="279169664"/>
      </c:lineChart>
      <c:catAx>
        <c:axId val="27916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279169664"/>
        <c:crosses val="autoZero"/>
        <c:auto val="1"/>
        <c:lblAlgn val="ctr"/>
        <c:lblOffset val="100"/>
        <c:noMultiLvlLbl val="0"/>
      </c:catAx>
      <c:valAx>
        <c:axId val="279169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Ergon</a:t>
                </a:r>
                <a:r>
                  <a:rPr lang="en-US" baseline="0"/>
                  <a:t> CAPEX Allowance ($'m  nominal)</a:t>
                </a:r>
                <a:endParaRPr lang="en-US"/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79168128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5139014702808204"/>
          <c:y val="0.31196598201025599"/>
          <c:w val="0.24860985297191801"/>
          <c:h val="0.294470870759923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Ergon Overall Utilisation</a:t>
            </a:r>
            <a:endParaRPr lang="en-US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079033964038"/>
          <c:y val="0.16462093862815899"/>
          <c:w val="0.65203465685794604"/>
          <c:h val="0.67111941783450302"/>
        </c:manualLayout>
      </c:layout>
      <c:lineChart>
        <c:grouping val="standard"/>
        <c:varyColors val="0"/>
        <c:ser>
          <c:idx val="4"/>
          <c:order val="0"/>
          <c:tx>
            <c:strRef>
              <c:f>'Alliance CAPEX'!$A$3</c:f>
              <c:strCache>
                <c:ptCount val="1"/>
                <c:pt idx="0">
                  <c:v>Actual Overall Utilisation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'Alliance CAPEX'!$B$2:$P$2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CAPEX'!$B$3:$P$3</c:f>
              <c:numCache>
                <c:formatCode>0.00%</c:formatCode>
                <c:ptCount val="15"/>
                <c:pt idx="0">
                  <c:v>0.45710000000000001</c:v>
                </c:pt>
                <c:pt idx="1">
                  <c:v>0.46760000000000002</c:v>
                </c:pt>
                <c:pt idx="2">
                  <c:v>0.45129999999999998</c:v>
                </c:pt>
                <c:pt idx="3">
                  <c:v>0.47260000000000002</c:v>
                </c:pt>
                <c:pt idx="4">
                  <c:v>0.4622</c:v>
                </c:pt>
                <c:pt idx="5">
                  <c:v>0.43430000000000002</c:v>
                </c:pt>
                <c:pt idx="6">
                  <c:v>0.4219</c:v>
                </c:pt>
                <c:pt idx="7">
                  <c:v>0.42759999999999998</c:v>
                </c:pt>
                <c:pt idx="8">
                  <c:v>0.40218316441155333</c:v>
                </c:pt>
                <c:pt idx="9">
                  <c:v>0.37676632882310668</c:v>
                </c:pt>
                <c:pt idx="10">
                  <c:v>0.36964650299278801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'Alliance CAPEX'!$A$4</c:f>
              <c:strCache>
                <c:ptCount val="1"/>
                <c:pt idx="0">
                  <c:v>Forecast Overall Utilisation</c:v>
                </c:pt>
              </c:strCache>
            </c:strRef>
          </c:tx>
          <c:spPr>
            <a:ln>
              <a:solidFill>
                <a:schemeClr val="accent3"/>
              </a:solidFill>
              <a:prstDash val="dash"/>
            </a:ln>
          </c:spPr>
          <c:marker>
            <c:symbol val="none"/>
          </c:marker>
          <c:val>
            <c:numRef>
              <c:f>'Alliance CAPEX'!$B$4:$P$4</c:f>
              <c:numCache>
                <c:formatCode>0.00%</c:formatCode>
                <c:ptCount val="15"/>
                <c:pt idx="10">
                  <c:v>0.36964650299278801</c:v>
                </c:pt>
                <c:pt idx="11">
                  <c:v>0.36894720686884197</c:v>
                </c:pt>
                <c:pt idx="12">
                  <c:v>0.37522907406030992</c:v>
                </c:pt>
                <c:pt idx="13">
                  <c:v>0.37785830067923848</c:v>
                </c:pt>
                <c:pt idx="14">
                  <c:v>0.37713109667789174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790784"/>
        <c:axId val="306792320"/>
      </c:lineChart>
      <c:catAx>
        <c:axId val="306790784"/>
        <c:scaling>
          <c:orientation val="minMax"/>
        </c:scaling>
        <c:delete val="0"/>
        <c:axPos val="b"/>
        <c:majorTickMark val="out"/>
        <c:minorTickMark val="none"/>
        <c:tickLblPos val="nextTo"/>
        <c:crossAx val="306792320"/>
        <c:crosses val="autoZero"/>
        <c:auto val="1"/>
        <c:lblAlgn val="ctr"/>
        <c:lblOffset val="100"/>
        <c:noMultiLvlLbl val="0"/>
      </c:catAx>
      <c:valAx>
        <c:axId val="306792320"/>
        <c:scaling>
          <c:orientation val="minMax"/>
          <c:min val="0.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Ergon Overall Utilisation (%)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306790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506832072278696"/>
          <c:y val="0.30846339479018697"/>
          <c:w val="0.24493167927721299"/>
          <c:h val="0.14068590813188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Return</a:t>
            </a:r>
            <a:r>
              <a:rPr lang="en-US" baseline="0"/>
              <a:t> on Equity of Queensland GOCs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02507096115201"/>
          <c:y val="0.125619834710744"/>
          <c:w val="0.61589923443278405"/>
          <c:h val="0.838567493112947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'Alliance WACC'!$B$16</c:f>
              <c:strCache>
                <c:ptCount val="1"/>
                <c:pt idx="0">
                  <c:v>SunWater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'Alliance WACC'!$C$13:$G$14</c:f>
              <c:strCache>
                <c:ptCount val="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</c:strCache>
            </c:strRef>
          </c:cat>
          <c:val>
            <c:numRef>
              <c:f>'Alliance WACC'!$C$16:$G$16</c:f>
              <c:numCache>
                <c:formatCode>0.00%</c:formatCode>
                <c:ptCount val="5"/>
                <c:pt idx="0">
                  <c:v>7.5999999999999998E-2</c:v>
                </c:pt>
                <c:pt idx="1">
                  <c:v>7.0000000000000007E-2</c:v>
                </c:pt>
                <c:pt idx="2">
                  <c:v>-4.4900000000000002E-2</c:v>
                </c:pt>
                <c:pt idx="3">
                  <c:v>5.57E-2</c:v>
                </c:pt>
                <c:pt idx="4">
                  <c:v>0.14019999999999999</c:v>
                </c:pt>
              </c:numCache>
            </c:numRef>
          </c:val>
        </c:ser>
        <c:ser>
          <c:idx val="2"/>
          <c:order val="1"/>
          <c:tx>
            <c:strRef>
              <c:f>'Alliance WACC'!$B$17</c:f>
              <c:strCache>
                <c:ptCount val="1"/>
                <c:pt idx="0">
                  <c:v>Stanwell</c:v>
                </c:pt>
              </c:strCache>
            </c:strRef>
          </c:tx>
          <c:spPr>
            <a:solidFill>
              <a:srgbClr val="008040"/>
            </a:solidFill>
          </c:spPr>
          <c:invertIfNegative val="0"/>
          <c:cat>
            <c:strRef>
              <c:f>'Alliance WACC'!$C$13:$G$14</c:f>
              <c:strCache>
                <c:ptCount val="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</c:strCache>
            </c:strRef>
          </c:cat>
          <c:val>
            <c:numRef>
              <c:f>'Alliance WACC'!$C$17:$G$17</c:f>
              <c:numCache>
                <c:formatCode>0.00%</c:formatCode>
                <c:ptCount val="5"/>
                <c:pt idx="0">
                  <c:v>0.183</c:v>
                </c:pt>
                <c:pt idx="1">
                  <c:v>-1.9E-2</c:v>
                </c:pt>
                <c:pt idx="2">
                  <c:v>7.4999999999999997E-2</c:v>
                </c:pt>
                <c:pt idx="3">
                  <c:v>6.0000000000000001E-3</c:v>
                </c:pt>
                <c:pt idx="4">
                  <c:v>9.7000000000000003E-2</c:v>
                </c:pt>
              </c:numCache>
            </c:numRef>
          </c:val>
        </c:ser>
        <c:ser>
          <c:idx val="3"/>
          <c:order val="2"/>
          <c:tx>
            <c:strRef>
              <c:f>'Alliance WACC'!$B$18</c:f>
              <c:strCache>
                <c:ptCount val="1"/>
                <c:pt idx="0">
                  <c:v>CS Energy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'Alliance WACC'!$C$13:$G$14</c:f>
              <c:strCache>
                <c:ptCount val="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</c:strCache>
            </c:strRef>
          </c:cat>
          <c:val>
            <c:numRef>
              <c:f>'Alliance WACC'!$C$18:$G$18</c:f>
              <c:numCache>
                <c:formatCode>0.00%</c:formatCode>
                <c:ptCount val="5"/>
                <c:pt idx="0">
                  <c:v>6.0000000000000001E-3</c:v>
                </c:pt>
                <c:pt idx="1">
                  <c:v>-0.377</c:v>
                </c:pt>
                <c:pt idx="2">
                  <c:v>4.0000000000000001E-3</c:v>
                </c:pt>
                <c:pt idx="3">
                  <c:v>-4.0000000000000001E-3</c:v>
                </c:pt>
                <c:pt idx="4">
                  <c:v>0</c:v>
                </c:pt>
              </c:numCache>
            </c:numRef>
          </c:val>
        </c:ser>
        <c:ser>
          <c:idx val="4"/>
          <c:order val="3"/>
          <c:tx>
            <c:strRef>
              <c:f>'Alliance WACC'!$B$19</c:f>
              <c:strCache>
                <c:ptCount val="1"/>
                <c:pt idx="0">
                  <c:v>Ports North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'Alliance WACC'!$C$13:$G$14</c:f>
              <c:strCache>
                <c:ptCount val="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</c:strCache>
            </c:strRef>
          </c:cat>
          <c:val>
            <c:numRef>
              <c:f>'Alliance WACC'!$C$19:$G$19</c:f>
              <c:numCache>
                <c:formatCode>0.00%</c:formatCode>
                <c:ptCount val="5"/>
                <c:pt idx="0">
                  <c:v>3.15E-2</c:v>
                </c:pt>
                <c:pt idx="1">
                  <c:v>-4.8999999999999998E-3</c:v>
                </c:pt>
                <c:pt idx="2">
                  <c:v>-6.9800000000000001E-2</c:v>
                </c:pt>
                <c:pt idx="3">
                  <c:v>2.4799999999999999E-2</c:v>
                </c:pt>
                <c:pt idx="4">
                  <c:v>2.9700000000000001E-2</c:v>
                </c:pt>
              </c:numCache>
            </c:numRef>
          </c:val>
        </c:ser>
        <c:ser>
          <c:idx val="8"/>
          <c:order val="5"/>
          <c:tx>
            <c:strRef>
              <c:f>'Alliance WACC'!$B$15</c:f>
              <c:strCache>
                <c:ptCount val="1"/>
                <c:pt idx="0">
                  <c:v>Ergon Energy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'Alliance WACC'!$C$15:$G$15</c:f>
              <c:numCache>
                <c:formatCode>0.00%</c:formatCode>
                <c:ptCount val="5"/>
                <c:pt idx="0">
                  <c:v>6.4000000000000001E-2</c:v>
                </c:pt>
                <c:pt idx="1">
                  <c:v>0.108</c:v>
                </c:pt>
                <c:pt idx="2">
                  <c:v>9.7000000000000003E-2</c:v>
                </c:pt>
                <c:pt idx="3">
                  <c:v>0.121</c:v>
                </c:pt>
                <c:pt idx="4">
                  <c:v>0.112</c:v>
                </c:pt>
              </c:numCache>
            </c:numRef>
          </c:val>
        </c:ser>
        <c:ser>
          <c:idx val="5"/>
          <c:order val="6"/>
          <c:tx>
            <c:strRef>
              <c:f>'Alliance WACC'!$B$20</c:f>
              <c:strCache>
                <c:ptCount val="1"/>
                <c:pt idx="0">
                  <c:v>Gladstone Ports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</c:dPt>
          <c:cat>
            <c:strRef>
              <c:f>'Alliance WACC'!$C$13:$G$14</c:f>
              <c:strCache>
                <c:ptCount val="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</c:strCache>
            </c:strRef>
          </c:cat>
          <c:val>
            <c:numRef>
              <c:f>'Alliance WACC'!$C$20:$G$20</c:f>
              <c:numCache>
                <c:formatCode>0.00%</c:formatCode>
                <c:ptCount val="5"/>
                <c:pt idx="0">
                  <c:v>5.5E-2</c:v>
                </c:pt>
                <c:pt idx="1">
                  <c:v>6.7000000000000004E-2</c:v>
                </c:pt>
                <c:pt idx="2">
                  <c:v>8.3000000000000004E-2</c:v>
                </c:pt>
                <c:pt idx="3">
                  <c:v>8.4000000000000005E-2</c:v>
                </c:pt>
                <c:pt idx="4">
                  <c:v>0.10300000000000001</c:v>
                </c:pt>
              </c:numCache>
            </c:numRef>
          </c:val>
        </c:ser>
        <c:ser>
          <c:idx val="6"/>
          <c:order val="7"/>
          <c:tx>
            <c:strRef>
              <c:f>'Alliance WACC'!$B$21</c:f>
              <c:strCache>
                <c:ptCount val="1"/>
                <c:pt idx="0">
                  <c:v>North Queensland Bulk Ports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'Alliance WACC'!$C$13:$G$14</c:f>
              <c:strCache>
                <c:ptCount val="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</c:strCache>
            </c:strRef>
          </c:cat>
          <c:val>
            <c:numRef>
              <c:f>'Alliance WACC'!$C$21:$G$21</c:f>
              <c:numCache>
                <c:formatCode>0.00%</c:formatCode>
                <c:ptCount val="5"/>
                <c:pt idx="0">
                  <c:v>2.12E-2</c:v>
                </c:pt>
                <c:pt idx="1">
                  <c:v>3.0499999999999999E-2</c:v>
                </c:pt>
                <c:pt idx="2">
                  <c:v>1E-3</c:v>
                </c:pt>
                <c:pt idx="3">
                  <c:v>8.8999999999999996E-2</c:v>
                </c:pt>
                <c:pt idx="4">
                  <c:v>8.6999999999999994E-2</c:v>
                </c:pt>
              </c:numCache>
            </c:numRef>
          </c:val>
        </c:ser>
        <c:ser>
          <c:idx val="7"/>
          <c:order val="8"/>
          <c:tx>
            <c:strRef>
              <c:f>'Alliance WACC'!$B$22</c:f>
              <c:strCache>
                <c:ptCount val="1"/>
                <c:pt idx="0">
                  <c:v>Port of Townsville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'Alliance WACC'!$C$13:$G$14</c:f>
              <c:strCache>
                <c:ptCount val="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</c:strCache>
            </c:strRef>
          </c:cat>
          <c:val>
            <c:numRef>
              <c:f>'Alliance WACC'!$C$22:$G$22</c:f>
              <c:numCache>
                <c:formatCode>0.00%</c:formatCode>
                <c:ptCount val="5"/>
                <c:pt idx="0">
                  <c:v>0.12920000000000001</c:v>
                </c:pt>
                <c:pt idx="1">
                  <c:v>3.8800000000000001E-2</c:v>
                </c:pt>
                <c:pt idx="2">
                  <c:v>8.0299999999999996E-2</c:v>
                </c:pt>
                <c:pt idx="3">
                  <c:v>6.3899999999999998E-2</c:v>
                </c:pt>
                <c:pt idx="4">
                  <c:v>4.4299999999999999E-2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821760"/>
        <c:axId val="306827648"/>
      </c:barChart>
      <c:lineChart>
        <c:grouping val="standard"/>
        <c:varyColors val="0"/>
        <c:ser>
          <c:idx val="0"/>
          <c:order val="4"/>
          <c:tx>
            <c:strRef>
              <c:f>'Alliance WACC'!$B$15</c:f>
              <c:strCache>
                <c:ptCount val="1"/>
                <c:pt idx="0">
                  <c:v>Ergon Energy</c:v>
                </c:pt>
              </c:strCache>
            </c:strRef>
          </c:tx>
          <c:marker>
            <c:symbol val="none"/>
          </c:marker>
          <c:cat>
            <c:strRef>
              <c:f>'Alliance WACC'!$C$13:$G$14</c:f>
              <c:strCache>
                <c:ptCount val="5"/>
                <c:pt idx="0">
                  <c:v>2009-10</c:v>
                </c:pt>
                <c:pt idx="1">
                  <c:v>2010-11</c:v>
                </c:pt>
                <c:pt idx="2">
                  <c:v>2011-12</c:v>
                </c:pt>
                <c:pt idx="3">
                  <c:v>2012-13</c:v>
                </c:pt>
                <c:pt idx="4">
                  <c:v>2013-14</c:v>
                </c:pt>
              </c:strCache>
            </c:strRef>
          </c:cat>
          <c:val>
            <c:numRef>
              <c:f>'Alliance WACC'!$C$15:$G$15</c:f>
              <c:numCache>
                <c:formatCode>0.00%</c:formatCode>
                <c:ptCount val="5"/>
                <c:pt idx="0">
                  <c:v>6.4000000000000001E-2</c:v>
                </c:pt>
                <c:pt idx="1">
                  <c:v>0.108</c:v>
                </c:pt>
                <c:pt idx="2">
                  <c:v>9.7000000000000003E-2</c:v>
                </c:pt>
                <c:pt idx="3">
                  <c:v>0.121</c:v>
                </c:pt>
                <c:pt idx="4">
                  <c:v>0.112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'Alliance WACC'!$B$24</c:f>
              <c:strCache>
                <c:ptCount val="1"/>
                <c:pt idx="0">
                  <c:v>Average RoE for QLD GOCs (excl Ergon)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'Alliance WACC'!$C$24:$G$24</c:f>
              <c:numCache>
                <c:formatCode>0.00%</c:formatCode>
                <c:ptCount val="5"/>
                <c:pt idx="0">
                  <c:v>7.17E-2</c:v>
                </c:pt>
                <c:pt idx="1">
                  <c:v>-2.7800000000000002E-2</c:v>
                </c:pt>
                <c:pt idx="2">
                  <c:v>1.837142857142857E-2</c:v>
                </c:pt>
                <c:pt idx="3">
                  <c:v>4.5628571428571428E-2</c:v>
                </c:pt>
                <c:pt idx="4">
                  <c:v>8.3533333333333334E-2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821760"/>
        <c:axId val="306827648"/>
      </c:lineChart>
      <c:catAx>
        <c:axId val="306821760"/>
        <c:scaling>
          <c:orientation val="minMax"/>
        </c:scaling>
        <c:delete val="0"/>
        <c:axPos val="b"/>
        <c:majorTickMark val="out"/>
        <c:minorTickMark val="none"/>
        <c:tickLblPos val="nextTo"/>
        <c:crossAx val="306827648"/>
        <c:crosses val="autoZero"/>
        <c:auto val="1"/>
        <c:lblAlgn val="ctr"/>
        <c:lblOffset val="100"/>
        <c:noMultiLvlLbl val="0"/>
      </c:catAx>
      <c:valAx>
        <c:axId val="306827648"/>
        <c:scaling>
          <c:orientation val="minMax"/>
          <c:max val="0.2"/>
          <c:min val="-0.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Annual return on equity (%)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3068217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744019432579599"/>
          <c:y val="0.168529966812"/>
          <c:w val="0.25049345651550903"/>
          <c:h val="0.7527472289104359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OPEX per customer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'Alliance OPEX'!$A$49</c:f>
              <c:strCache>
                <c:ptCount val="1"/>
                <c:pt idx="0">
                  <c:v>Ergon Energy (QLD)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'Alliance OPEX'!$B$2:$K$2</c:f>
              <c:strCache>
                <c:ptCount val="10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</c:strCache>
            </c:strRef>
          </c:cat>
          <c:val>
            <c:numRef>
              <c:f>'Alliance OPEX'!$B$49:$K$49</c:f>
              <c:numCache>
                <c:formatCode>_-* #,##0_-;\-* #,##0_-;_-* "-"??_-;_-@_-</c:formatCode>
                <c:ptCount val="10"/>
                <c:pt idx="0">
                  <c:v>411.93170765705867</c:v>
                </c:pt>
                <c:pt idx="1">
                  <c:v>386.90642536957409</c:v>
                </c:pt>
                <c:pt idx="2">
                  <c:v>425.56756822683565</c:v>
                </c:pt>
                <c:pt idx="3">
                  <c:v>420.01171609249479</c:v>
                </c:pt>
                <c:pt idx="4">
                  <c:v>423.07828586622543</c:v>
                </c:pt>
                <c:pt idx="5">
                  <c:v>525.79806185854306</c:v>
                </c:pt>
                <c:pt idx="6">
                  <c:v>552.80588575988463</c:v>
                </c:pt>
                <c:pt idx="7">
                  <c:v>455.60231549580459</c:v>
                </c:pt>
                <c:pt idx="8">
                  <c:v>457.28899839346775</c:v>
                </c:pt>
                <c:pt idx="9">
                  <c:v>433.64370991366889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'Alliance OPEX'!$A$50</c:f>
              <c:strCache>
                <c:ptCount val="1"/>
                <c:pt idx="0">
                  <c:v>Energex (QLD)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'Alliance OPEX'!$B$50:$K$50</c:f>
              <c:numCache>
                <c:formatCode>_-* #,##0_-;\-* #,##0_-;_-* "-"??_-;_-@_-</c:formatCode>
                <c:ptCount val="10"/>
                <c:pt idx="0">
                  <c:v>153.17813946596178</c:v>
                </c:pt>
                <c:pt idx="1">
                  <c:v>181.00731633054582</c:v>
                </c:pt>
                <c:pt idx="2">
                  <c:v>194.49328823623284</c:v>
                </c:pt>
                <c:pt idx="3">
                  <c:v>202.40682138412583</c:v>
                </c:pt>
                <c:pt idx="4">
                  <c:v>201.0317629630687</c:v>
                </c:pt>
                <c:pt idx="5">
                  <c:v>233.57659245109639</c:v>
                </c:pt>
                <c:pt idx="6">
                  <c:v>256.18671726204536</c:v>
                </c:pt>
                <c:pt idx="7">
                  <c:v>273.83059457833519</c:v>
                </c:pt>
                <c:pt idx="8">
                  <c:v>258.39922280445791</c:v>
                </c:pt>
                <c:pt idx="9">
                  <c:v>248.5479654439269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'Alliance OPEX'!$A$51</c:f>
              <c:strCache>
                <c:ptCount val="1"/>
                <c:pt idx="0">
                  <c:v>Essential Energy (NSW)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'Alliance OPEX'!$B$51:$K$51</c:f>
              <c:numCache>
                <c:formatCode>_-* #,##0_-;\-* #,##0_-;_-* "-"??_-;_-@_-</c:formatCode>
                <c:ptCount val="10"/>
                <c:pt idx="0">
                  <c:v>271.36533988796384</c:v>
                </c:pt>
                <c:pt idx="1">
                  <c:v>340.57599858418513</c:v>
                </c:pt>
                <c:pt idx="2">
                  <c:v>395.77507906217596</c:v>
                </c:pt>
                <c:pt idx="3">
                  <c:v>408.0947138311883</c:v>
                </c:pt>
                <c:pt idx="4">
                  <c:v>444.81934574626001</c:v>
                </c:pt>
                <c:pt idx="5">
                  <c:v>464.8136894546605</c:v>
                </c:pt>
                <c:pt idx="6">
                  <c:v>576.34880550105254</c:v>
                </c:pt>
                <c:pt idx="7">
                  <c:v>546.10111330373672</c:v>
                </c:pt>
                <c:pt idx="8">
                  <c:v>433.66554555590261</c:v>
                </c:pt>
                <c:pt idx="9">
                  <c:v>323.0736374275225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'Alliance OPEX'!$A$52</c:f>
              <c:strCache>
                <c:ptCount val="1"/>
                <c:pt idx="0">
                  <c:v>Endeavour (NSW)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'Alliance OPEX'!$B$52:$K$52</c:f>
              <c:numCache>
                <c:formatCode>_-* #,##0_-;\-* #,##0_-;_-* "-"??_-;_-@_-</c:formatCode>
                <c:ptCount val="10"/>
                <c:pt idx="0">
                  <c:v>223.41613242761099</c:v>
                </c:pt>
                <c:pt idx="1">
                  <c:v>248.95065229871051</c:v>
                </c:pt>
                <c:pt idx="2">
                  <c:v>312.30520098301957</c:v>
                </c:pt>
                <c:pt idx="3">
                  <c:v>295.15640426888859</c:v>
                </c:pt>
                <c:pt idx="4">
                  <c:v>289.21603331162686</c:v>
                </c:pt>
                <c:pt idx="5">
                  <c:v>306.95002076312477</c:v>
                </c:pt>
                <c:pt idx="6">
                  <c:v>319.51415336670846</c:v>
                </c:pt>
                <c:pt idx="7">
                  <c:v>295.39999643265185</c:v>
                </c:pt>
                <c:pt idx="8">
                  <c:v>258.18936499769922</c:v>
                </c:pt>
                <c:pt idx="9">
                  <c:v>222.32863651216772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'Alliance OPEX'!$A$53</c:f>
              <c:strCache>
                <c:ptCount val="1"/>
                <c:pt idx="0">
                  <c:v>SAPN (SA)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'Alliance OPEX'!$B$53:$K$53</c:f>
              <c:numCache>
                <c:formatCode>_-* #,##0_-;\-* #,##0_-;_-* "-"??_-;_-@_-</c:formatCode>
                <c:ptCount val="10"/>
                <c:pt idx="0">
                  <c:v>145.09115105946159</c:v>
                </c:pt>
                <c:pt idx="1">
                  <c:v>141.11403391726734</c:v>
                </c:pt>
                <c:pt idx="2">
                  <c:v>163.94283647629655</c:v>
                </c:pt>
                <c:pt idx="3">
                  <c:v>180.22113603129409</c:v>
                </c:pt>
                <c:pt idx="4">
                  <c:v>180.66967848660886</c:v>
                </c:pt>
                <c:pt idx="5">
                  <c:v>231.43496420690028</c:v>
                </c:pt>
                <c:pt idx="6">
                  <c:v>244.8805737822409</c:v>
                </c:pt>
                <c:pt idx="7">
                  <c:v>265.92857698940509</c:v>
                </c:pt>
                <c:pt idx="8">
                  <c:v>281.60485051353368</c:v>
                </c:pt>
                <c:pt idx="9">
                  <c:v>297.17962125464823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'Alliance OPEX'!$A$54</c:f>
              <c:strCache>
                <c:ptCount val="1"/>
                <c:pt idx="0">
                  <c:v>Aurora (TAS)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'Alliance OPEX'!$B$54:$K$54</c:f>
              <c:numCache>
                <c:formatCode>_-* #,##0_-;\-* #,##0_-;_-* "-"??_-;_-@_-</c:formatCode>
                <c:ptCount val="10"/>
                <c:pt idx="0">
                  <c:v>194.11601329438517</c:v>
                </c:pt>
                <c:pt idx="1">
                  <c:v>199.05435766291487</c:v>
                </c:pt>
                <c:pt idx="2">
                  <c:v>204.88039744234223</c:v>
                </c:pt>
                <c:pt idx="3">
                  <c:v>233.80981104678631</c:v>
                </c:pt>
                <c:pt idx="4">
                  <c:v>277.60482168401143</c:v>
                </c:pt>
                <c:pt idx="5">
                  <c:v>271.82221354204427</c:v>
                </c:pt>
                <c:pt idx="6">
                  <c:v>303.43044110462944</c:v>
                </c:pt>
                <c:pt idx="7">
                  <c:v>268.66236940271841</c:v>
                </c:pt>
                <c:pt idx="8">
                  <c:v>268.85975760573831</c:v>
                </c:pt>
                <c:pt idx="9">
                  <c:v>275.78784045400857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'Alliance OPEX'!$A$55</c:f>
              <c:strCache>
                <c:ptCount val="1"/>
                <c:pt idx="0">
                  <c:v>Period average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  <c:spPr>
              <a:ln>
                <a:noFill/>
                <a:prstDash val="dash"/>
              </a:ln>
            </c:spPr>
          </c:dPt>
          <c:val>
            <c:numRef>
              <c:f>'Alliance OPEX'!$B$55:$K$55</c:f>
              <c:numCache>
                <c:formatCode>_-* #,##0_-;\-* #,##0_-;_-* "-"??_-;_-@_-</c:formatCode>
                <c:ptCount val="10"/>
                <c:pt idx="0">
                  <c:v>271.65973896983746</c:v>
                </c:pt>
                <c:pt idx="1">
                  <c:v>271.65973896983746</c:v>
                </c:pt>
                <c:pt idx="2">
                  <c:v>271.65973896983746</c:v>
                </c:pt>
                <c:pt idx="3">
                  <c:v>271.65973896983746</c:v>
                </c:pt>
                <c:pt idx="4">
                  <c:v>271.65973896983746</c:v>
                </c:pt>
                <c:pt idx="5">
                  <c:v>338.38854120441079</c:v>
                </c:pt>
                <c:pt idx="6">
                  <c:v>338.38854120441079</c:v>
                </c:pt>
                <c:pt idx="7">
                  <c:v>338.38854120441079</c:v>
                </c:pt>
                <c:pt idx="8">
                  <c:v>338.38854120441079</c:v>
                </c:pt>
                <c:pt idx="9">
                  <c:v>338.38854120441079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140224"/>
        <c:axId val="301146112"/>
      </c:lineChart>
      <c:catAx>
        <c:axId val="301140224"/>
        <c:scaling>
          <c:orientation val="minMax"/>
        </c:scaling>
        <c:delete val="0"/>
        <c:axPos val="b"/>
        <c:majorTickMark val="out"/>
        <c:minorTickMark val="none"/>
        <c:tickLblPos val="nextTo"/>
        <c:crossAx val="301146112"/>
        <c:crosses val="autoZero"/>
        <c:auto val="1"/>
        <c:lblAlgn val="ctr"/>
        <c:lblOffset val="100"/>
        <c:noMultiLvlLbl val="0"/>
      </c:catAx>
      <c:valAx>
        <c:axId val="301146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OPEX per customer ($)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0114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OPEX per MW Demand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'Alliance OPEX'!$A$49</c:f>
              <c:strCache>
                <c:ptCount val="1"/>
                <c:pt idx="0">
                  <c:v>Ergon Energy (QLD)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'Alliance OPEX'!$B$2:$K$2</c:f>
              <c:strCache>
                <c:ptCount val="10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</c:strCache>
            </c:strRef>
          </c:cat>
          <c:val>
            <c:numRef>
              <c:f>'Alliance OPEX'!$B$59:$K$59</c:f>
              <c:numCache>
                <c:formatCode>_-* #,##0_-;\-* #,##0_-;_-* "-"??_-;_-@_-</c:formatCode>
                <c:ptCount val="10"/>
                <c:pt idx="0">
                  <c:v>119829.92409341832</c:v>
                </c:pt>
                <c:pt idx="1">
                  <c:v>110202.99351114416</c:v>
                </c:pt>
                <c:pt idx="2">
                  <c:v>115669.21182824126</c:v>
                </c:pt>
                <c:pt idx="3">
                  <c:v>121166.43785445159</c:v>
                </c:pt>
                <c:pt idx="4">
                  <c:v>117031.15812218665</c:v>
                </c:pt>
                <c:pt idx="5">
                  <c:v>158778.70894473718</c:v>
                </c:pt>
                <c:pt idx="6">
                  <c:v>163331.1298093682</c:v>
                </c:pt>
                <c:pt idx="7">
                  <c:v>138053.78797637072</c:v>
                </c:pt>
                <c:pt idx="8">
                  <c:v>133803.42320937334</c:v>
                </c:pt>
                <c:pt idx="9">
                  <c:v>122813.26027391081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'Alliance OPEX'!$A$50</c:f>
              <c:strCache>
                <c:ptCount val="1"/>
                <c:pt idx="0">
                  <c:v>Energex (QLD)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'Alliance OPEX'!$B$60:$K$60</c:f>
              <c:numCache>
                <c:formatCode>_-* #,##0_-;\-* #,##0_-;_-* "-"??_-;_-@_-</c:formatCode>
                <c:ptCount val="10"/>
                <c:pt idx="0">
                  <c:v>37138.109809996575</c:v>
                </c:pt>
                <c:pt idx="1">
                  <c:v>44664.467773384713</c:v>
                </c:pt>
                <c:pt idx="2">
                  <c:v>50313.965502451349</c:v>
                </c:pt>
                <c:pt idx="3">
                  <c:v>45264.42288752774</c:v>
                </c:pt>
                <c:pt idx="4">
                  <c:v>45398.799803316848</c:v>
                </c:pt>
                <c:pt idx="5">
                  <c:v>53870.451999419085</c:v>
                </c:pt>
                <c:pt idx="6">
                  <c:v>61959.627738717041</c:v>
                </c:pt>
                <c:pt idx="7">
                  <c:v>66765.001241695049</c:v>
                </c:pt>
                <c:pt idx="8">
                  <c:v>68505.852000870349</c:v>
                </c:pt>
                <c:pt idx="9">
                  <c:v>72015.10572667708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'Alliance OPEX'!$A$51</c:f>
              <c:strCache>
                <c:ptCount val="1"/>
                <c:pt idx="0">
                  <c:v>Essential Energy (NSW)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'Alliance OPEX'!$B$61:$K$61</c:f>
              <c:numCache>
                <c:formatCode>_-* #,##0_-;\-* #,##0_-;_-* "-"??_-;_-@_-</c:formatCode>
                <c:ptCount val="10"/>
                <c:pt idx="0">
                  <c:v>99312.573984770963</c:v>
                </c:pt>
                <c:pt idx="1">
                  <c:v>130513.20712054486</c:v>
                </c:pt>
                <c:pt idx="2">
                  <c:v>149843.39986311673</c:v>
                </c:pt>
                <c:pt idx="3">
                  <c:v>155180.51810878774</c:v>
                </c:pt>
                <c:pt idx="4">
                  <c:v>177418.77912386047</c:v>
                </c:pt>
                <c:pt idx="5">
                  <c:v>184121.80445089177</c:v>
                </c:pt>
                <c:pt idx="6">
                  <c:v>244409.8469620173</c:v>
                </c:pt>
                <c:pt idx="7">
                  <c:v>225268.65949456929</c:v>
                </c:pt>
                <c:pt idx="8">
                  <c:v>170201.36847970876</c:v>
                </c:pt>
                <c:pt idx="9">
                  <c:v>121016.72658245276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'Alliance OPEX'!$A$52</c:f>
              <c:strCache>
                <c:ptCount val="1"/>
                <c:pt idx="0">
                  <c:v>Endeavour (NSW)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'Alliance OPEX'!$B$62:$K$62</c:f>
              <c:numCache>
                <c:formatCode>_-* #,##0_-;\-* #,##0_-;_-* "-"??_-;_-@_-</c:formatCode>
                <c:ptCount val="10"/>
                <c:pt idx="0">
                  <c:v>49737.650609216871</c:v>
                </c:pt>
                <c:pt idx="1">
                  <c:v>55359.556332286222</c:v>
                </c:pt>
                <c:pt idx="2">
                  <c:v>77773.635653541103</c:v>
                </c:pt>
                <c:pt idx="3">
                  <c:v>60540.468017728606</c:v>
                </c:pt>
                <c:pt idx="4">
                  <c:v>63782.34527411234</c:v>
                </c:pt>
                <c:pt idx="5">
                  <c:v>60202.728611888451</c:v>
                </c:pt>
                <c:pt idx="6">
                  <c:v>91506.826889254371</c:v>
                </c:pt>
                <c:pt idx="7">
                  <c:v>74270.824686473527</c:v>
                </c:pt>
                <c:pt idx="8">
                  <c:v>64217.502830750927</c:v>
                </c:pt>
                <c:pt idx="9">
                  <c:v>54731.265617455043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'Alliance OPEX'!$A$53</c:f>
              <c:strCache>
                <c:ptCount val="1"/>
                <c:pt idx="0">
                  <c:v>SAPN (SA)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'Alliance OPEX'!$B$63:$K$63</c:f>
              <c:numCache>
                <c:formatCode>_-* #,##0_-;\-* #,##0_-;_-* "-"??_-;_-@_-</c:formatCode>
                <c:ptCount val="10"/>
                <c:pt idx="0">
                  <c:v>46956.693214791143</c:v>
                </c:pt>
                <c:pt idx="1">
                  <c:v>47293.048538831361</c:v>
                </c:pt>
                <c:pt idx="2">
                  <c:v>49184.837610379327</c:v>
                </c:pt>
                <c:pt idx="3">
                  <c:v>51559.730259282907</c:v>
                </c:pt>
                <c:pt idx="4">
                  <c:v>53387.702015127608</c:v>
                </c:pt>
                <c:pt idx="5">
                  <c:v>68366.533691414108</c:v>
                </c:pt>
                <c:pt idx="6">
                  <c:v>84177.859583754413</c:v>
                </c:pt>
                <c:pt idx="7">
                  <c:v>89297.863112142091</c:v>
                </c:pt>
                <c:pt idx="8">
                  <c:v>90456.454079193602</c:v>
                </c:pt>
                <c:pt idx="9">
                  <c:v>91512.036396091615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'Alliance OPEX'!$A$54</c:f>
              <c:strCache>
                <c:ptCount val="1"/>
                <c:pt idx="0">
                  <c:v>Aurora (TAS)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'Alliance OPEX'!$B$64:$K$64</c:f>
              <c:numCache>
                <c:formatCode>_-* #,##0_-;\-* #,##0_-;_-* "-"??_-;_-@_-</c:formatCode>
                <c:ptCount val="10"/>
                <c:pt idx="0">
                  <c:v>281235.41942196531</c:v>
                </c:pt>
                <c:pt idx="1">
                  <c:v>207572.57240816328</c:v>
                </c:pt>
                <c:pt idx="2">
                  <c:v>210062.30622047244</c:v>
                </c:pt>
                <c:pt idx="3">
                  <c:v>247283.33916334662</c:v>
                </c:pt>
                <c:pt idx="4">
                  <c:v>329480.42320175434</c:v>
                </c:pt>
                <c:pt idx="5">
                  <c:v>318397.88216560509</c:v>
                </c:pt>
                <c:pt idx="6">
                  <c:v>347623.89860082307</c:v>
                </c:pt>
                <c:pt idx="7">
                  <c:v>337174.88789237669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'Alliance OPEX'!$A$55</c:f>
              <c:strCache>
                <c:ptCount val="1"/>
                <c:pt idx="0">
                  <c:v>Period average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  <c:spPr>
              <a:ln>
                <a:noFill/>
                <a:prstDash val="dash"/>
              </a:ln>
            </c:spPr>
          </c:dPt>
          <c:val>
            <c:numRef>
              <c:f>'Alliance OPEX'!$B$65:$K$65</c:f>
              <c:numCache>
                <c:formatCode>_-* #,##0_-;\-* #,##0_-;_-* "-"??_-;_-@_-</c:formatCode>
                <c:ptCount val="10"/>
                <c:pt idx="0">
                  <c:v>111671.92324427332</c:v>
                </c:pt>
                <c:pt idx="1">
                  <c:v>111671.92324427332</c:v>
                </c:pt>
                <c:pt idx="2">
                  <c:v>111671.92324427332</c:v>
                </c:pt>
                <c:pt idx="3">
                  <c:v>111671.92324427332</c:v>
                </c:pt>
                <c:pt idx="4">
                  <c:v>111671.92324427332</c:v>
                </c:pt>
                <c:pt idx="5">
                  <c:v>134173.26139457148</c:v>
                </c:pt>
                <c:pt idx="6">
                  <c:v>134173.26139457148</c:v>
                </c:pt>
                <c:pt idx="7">
                  <c:v>134173.26139457148</c:v>
                </c:pt>
                <c:pt idx="8">
                  <c:v>134173.26139457148</c:v>
                </c:pt>
                <c:pt idx="9">
                  <c:v>134173.26139457148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200896"/>
        <c:axId val="301202432"/>
      </c:lineChart>
      <c:catAx>
        <c:axId val="301200896"/>
        <c:scaling>
          <c:orientation val="minMax"/>
        </c:scaling>
        <c:delete val="0"/>
        <c:axPos val="b"/>
        <c:majorTickMark val="out"/>
        <c:minorTickMark val="none"/>
        <c:tickLblPos val="nextTo"/>
        <c:crossAx val="301202432"/>
        <c:crosses val="autoZero"/>
        <c:auto val="1"/>
        <c:lblAlgn val="ctr"/>
        <c:lblOffset val="100"/>
        <c:noMultiLvlLbl val="0"/>
      </c:catAx>
      <c:valAx>
        <c:axId val="3012024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OPEX per MW Demand ($)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01200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OPEX per GWh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'Alliance OPEX'!$A$49</c:f>
              <c:strCache>
                <c:ptCount val="1"/>
                <c:pt idx="0">
                  <c:v>Ergon Energy (QLD)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'Alliance OPEX'!$B$2:$K$2</c:f>
              <c:strCache>
                <c:ptCount val="10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</c:strCache>
            </c:strRef>
          </c:cat>
          <c:val>
            <c:numRef>
              <c:f>'Alliance OPEX'!$B$69:$K$69</c:f>
              <c:numCache>
                <c:formatCode>_-* #,##0_-;\-* #,##0_-;_-* "-"??_-;_-@_-</c:formatCode>
                <c:ptCount val="10"/>
                <c:pt idx="0">
                  <c:v>19063.894169812917</c:v>
                </c:pt>
                <c:pt idx="1">
                  <c:v>18099.970949674582</c:v>
                </c:pt>
                <c:pt idx="2">
                  <c:v>19955.36491207013</c:v>
                </c:pt>
                <c:pt idx="3">
                  <c:v>19713.873423451285</c:v>
                </c:pt>
                <c:pt idx="4">
                  <c:v>20089.53907992184</c:v>
                </c:pt>
                <c:pt idx="5">
                  <c:v>27387.095839898426</c:v>
                </c:pt>
                <c:pt idx="6">
                  <c:v>28232.90905032718</c:v>
                </c:pt>
                <c:pt idx="7">
                  <c:v>23983.797343831229</c:v>
                </c:pt>
                <c:pt idx="8">
                  <c:v>23842.561313324772</c:v>
                </c:pt>
                <c:pt idx="9">
                  <c:v>22403.188247621103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'Alliance OPEX'!$A$50</c:f>
              <c:strCache>
                <c:ptCount val="1"/>
                <c:pt idx="0">
                  <c:v>Energex (QLD)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'Alliance OPEX'!$B$70:$K$70</c:f>
              <c:numCache>
                <c:formatCode>_-* #,##0_-;\-* #,##0_-;_-* "-"??_-;_-@_-</c:formatCode>
                <c:ptCount val="10"/>
                <c:pt idx="0">
                  <c:v>9004.8327383839369</c:v>
                </c:pt>
                <c:pt idx="1">
                  <c:v>10805.202129714589</c:v>
                </c:pt>
                <c:pt idx="2">
                  <c:v>11618.691108484993</c:v>
                </c:pt>
                <c:pt idx="3">
                  <c:v>11848.038756024371</c:v>
                </c:pt>
                <c:pt idx="4">
                  <c:v>11844.273095120083</c:v>
                </c:pt>
                <c:pt idx="5">
                  <c:v>14442.723128554117</c:v>
                </c:pt>
                <c:pt idx="6">
                  <c:v>16231.977119283356</c:v>
                </c:pt>
                <c:pt idx="7">
                  <c:v>17683.71448587034</c:v>
                </c:pt>
                <c:pt idx="8">
                  <c:v>17091.378435110277</c:v>
                </c:pt>
                <c:pt idx="9">
                  <c:v>16836.616787285548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'Alliance OPEX'!$A$51</c:f>
              <c:strCache>
                <c:ptCount val="1"/>
                <c:pt idx="0">
                  <c:v>Essential Energy (NSW)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'Alliance OPEX'!$B$71:$K$71</c:f>
              <c:numCache>
                <c:formatCode>_-* #,##0_-;\-* #,##0_-;_-* "-"??_-;_-@_-</c:formatCode>
                <c:ptCount val="10"/>
                <c:pt idx="0">
                  <c:v>18122.139936681138</c:v>
                </c:pt>
                <c:pt idx="1">
                  <c:v>22901.757147915672</c:v>
                </c:pt>
                <c:pt idx="2">
                  <c:v>26792.883533135606</c:v>
                </c:pt>
                <c:pt idx="3">
                  <c:v>27660.237362436019</c:v>
                </c:pt>
                <c:pt idx="4">
                  <c:v>30327.672974473535</c:v>
                </c:pt>
                <c:pt idx="5">
                  <c:v>32474.124138125055</c:v>
                </c:pt>
                <c:pt idx="6">
                  <c:v>40765.187699691087</c:v>
                </c:pt>
                <c:pt idx="7">
                  <c:v>37510.15500713505</c:v>
                </c:pt>
                <c:pt idx="8">
                  <c:v>30800.392102864673</c:v>
                </c:pt>
                <c:pt idx="9">
                  <c:v>23739.982656200486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'Alliance OPEX'!$A$52</c:f>
              <c:strCache>
                <c:ptCount val="1"/>
                <c:pt idx="0">
                  <c:v>Endeavour (NSW)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'Alliance OPEX'!$B$72:$K$72</c:f>
              <c:numCache>
                <c:formatCode>_-* #,##0_-;\-* #,##0_-;_-* "-"??_-;_-@_-</c:formatCode>
                <c:ptCount val="10"/>
                <c:pt idx="0">
                  <c:v>11037.613049546406</c:v>
                </c:pt>
                <c:pt idx="1">
                  <c:v>12242.396790042269</c:v>
                </c:pt>
                <c:pt idx="2">
                  <c:v>14995.703323658738</c:v>
                </c:pt>
                <c:pt idx="3">
                  <c:v>14881.704665716588</c:v>
                </c:pt>
                <c:pt idx="4">
                  <c:v>14718.703184516849</c:v>
                </c:pt>
                <c:pt idx="5">
                  <c:v>15698.78513558313</c:v>
                </c:pt>
                <c:pt idx="6">
                  <c:v>17494.447677377313</c:v>
                </c:pt>
                <c:pt idx="7">
                  <c:v>16973.285562011297</c:v>
                </c:pt>
                <c:pt idx="8">
                  <c:v>15419.745243779034</c:v>
                </c:pt>
                <c:pt idx="9">
                  <c:v>13802.147859284578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'Alliance OPEX'!$A$53</c:f>
              <c:strCache>
                <c:ptCount val="1"/>
                <c:pt idx="0">
                  <c:v>SAPN (SA)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'Alliance OPEX'!$B$73:$K$73</c:f>
              <c:numCache>
                <c:formatCode>_-* #,##0_-;\-* #,##0_-;_-* "-"??_-;_-@_-</c:formatCode>
                <c:ptCount val="10"/>
                <c:pt idx="0">
                  <c:v>10315.637135423798</c:v>
                </c:pt>
                <c:pt idx="1">
                  <c:v>9769.238360009238</c:v>
                </c:pt>
                <c:pt idx="2">
                  <c:v>11288.258332378378</c:v>
                </c:pt>
                <c:pt idx="3">
                  <c:v>13028.142046917019</c:v>
                </c:pt>
                <c:pt idx="4">
                  <c:v>12987.988003651062</c:v>
                </c:pt>
                <c:pt idx="5">
                  <c:v>17185.724982014228</c:v>
                </c:pt>
                <c:pt idx="6">
                  <c:v>18760.701994808776</c:v>
                </c:pt>
                <c:pt idx="7">
                  <c:v>20479.938045620951</c:v>
                </c:pt>
                <c:pt idx="8">
                  <c:v>22357.12062391196</c:v>
                </c:pt>
                <c:pt idx="9">
                  <c:v>24340.631234401997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'Alliance OPEX'!$A$54</c:f>
              <c:strCache>
                <c:ptCount val="1"/>
                <c:pt idx="0">
                  <c:v>Aurora (TAS)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'Alliance OPEX'!$B$74:$K$74</c:f>
              <c:numCache>
                <c:formatCode>_-* #,##0_-;\-* #,##0_-;_-* "-"??_-;_-@_-</c:formatCode>
                <c:ptCount val="10"/>
                <c:pt idx="0">
                  <c:v>10936.685618205222</c:v>
                </c:pt>
                <c:pt idx="1">
                  <c:v>11513.3421740349</c:v>
                </c:pt>
                <c:pt idx="2">
                  <c:v>12014.237693646235</c:v>
                </c:pt>
                <c:pt idx="3">
                  <c:v>13534.11191191764</c:v>
                </c:pt>
                <c:pt idx="4">
                  <c:v>16527.566482551018</c:v>
                </c:pt>
                <c:pt idx="5">
                  <c:v>16869.698239609959</c:v>
                </c:pt>
                <c:pt idx="6">
                  <c:v>19562.926934261868</c:v>
                </c:pt>
                <c:pt idx="7">
                  <c:v>17701.502588196276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'Alliance OPEX'!$A$55</c:f>
              <c:strCache>
                <c:ptCount val="1"/>
                <c:pt idx="0">
                  <c:v>Period average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  <c:spPr>
              <a:ln>
                <a:noFill/>
                <a:prstDash val="dash"/>
              </a:ln>
            </c:spPr>
          </c:dPt>
          <c:val>
            <c:numRef>
              <c:f>'Alliance OPEX'!$B$75:$K$75</c:f>
              <c:numCache>
                <c:formatCode>_-* #,##0_-;\-* #,##0_-;_-* "-"??_-;_-@_-</c:formatCode>
                <c:ptCount val="10"/>
                <c:pt idx="0">
                  <c:v>15587.99000298387</c:v>
                </c:pt>
                <c:pt idx="1">
                  <c:v>15587.99000298387</c:v>
                </c:pt>
                <c:pt idx="2">
                  <c:v>15587.99000298387</c:v>
                </c:pt>
                <c:pt idx="3">
                  <c:v>15587.99000298387</c:v>
                </c:pt>
                <c:pt idx="4">
                  <c:v>15587.99000298387</c:v>
                </c:pt>
                <c:pt idx="5">
                  <c:v>21788.30212414229</c:v>
                </c:pt>
                <c:pt idx="6">
                  <c:v>21788.30212414229</c:v>
                </c:pt>
                <c:pt idx="7">
                  <c:v>21788.30212414229</c:v>
                </c:pt>
                <c:pt idx="8">
                  <c:v>21788.30212414229</c:v>
                </c:pt>
                <c:pt idx="9">
                  <c:v>21788.30212414229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663040"/>
        <c:axId val="308664576"/>
      </c:lineChart>
      <c:catAx>
        <c:axId val="308663040"/>
        <c:scaling>
          <c:orientation val="minMax"/>
        </c:scaling>
        <c:delete val="0"/>
        <c:axPos val="b"/>
        <c:majorTickMark val="out"/>
        <c:minorTickMark val="none"/>
        <c:tickLblPos val="nextTo"/>
        <c:crossAx val="308664576"/>
        <c:crosses val="autoZero"/>
        <c:auto val="1"/>
        <c:lblAlgn val="ctr"/>
        <c:lblOffset val="100"/>
        <c:noMultiLvlLbl val="0"/>
      </c:catAx>
      <c:valAx>
        <c:axId val="308664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OPEX per GWh ($)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08663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OPEX per Km</a:t>
            </a:r>
            <a:r>
              <a:rPr lang="en-US" baseline="0"/>
              <a:t> line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'Alliance OPEX'!$A$49</c:f>
              <c:strCache>
                <c:ptCount val="1"/>
                <c:pt idx="0">
                  <c:v>Ergon Energy (QLD)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'Alliance OPEX'!$B$2:$K$2</c:f>
              <c:strCache>
                <c:ptCount val="10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</c:strCache>
            </c:strRef>
          </c:cat>
          <c:val>
            <c:numRef>
              <c:f>'Alliance OPEX'!$B$79:$K$79</c:f>
              <c:numCache>
                <c:formatCode>_-* #,##0_-;\-* #,##0_-;_-* "-"??_-;_-@_-</c:formatCode>
                <c:ptCount val="10"/>
                <c:pt idx="0">
                  <c:v>1870.2873652043552</c:v>
                </c:pt>
                <c:pt idx="1">
                  <c:v>1766.3645555895816</c:v>
                </c:pt>
                <c:pt idx="2">
                  <c:v>1974.1981539574656</c:v>
                </c:pt>
                <c:pt idx="3">
                  <c:v>1977.3868116671113</c:v>
                </c:pt>
                <c:pt idx="4">
                  <c:v>2021.5661503379717</c:v>
                </c:pt>
                <c:pt idx="5">
                  <c:v>2563.2409226136788</c:v>
                </c:pt>
                <c:pt idx="6">
                  <c:v>2714.4999291876766</c:v>
                </c:pt>
                <c:pt idx="7">
                  <c:v>2288.3094386105618</c:v>
                </c:pt>
                <c:pt idx="8">
                  <c:v>2335.4303499695043</c:v>
                </c:pt>
                <c:pt idx="9">
                  <c:v>2251.2191392687059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'Alliance OPEX'!$A$50</c:f>
              <c:strCache>
                <c:ptCount val="1"/>
                <c:pt idx="0">
                  <c:v>Energex (QLD)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'Alliance OPEX'!$B$80:$K$80</c:f>
              <c:numCache>
                <c:formatCode>_-* #,##0_-;\-* #,##0_-;_-* "-"??_-;_-@_-</c:formatCode>
                <c:ptCount val="10"/>
                <c:pt idx="0">
                  <c:v>4903.5111163933125</c:v>
                </c:pt>
                <c:pt idx="1">
                  <c:v>5775.6607165905161</c:v>
                </c:pt>
                <c:pt idx="2">
                  <c:v>6207.0610469961366</c:v>
                </c:pt>
                <c:pt idx="3">
                  <c:v>6436.7593222013638</c:v>
                </c:pt>
                <c:pt idx="4">
                  <c:v>6390.7989788723826</c:v>
                </c:pt>
                <c:pt idx="5">
                  <c:v>7432.5165391350238</c:v>
                </c:pt>
                <c:pt idx="6">
                  <c:v>8162.5547607757599</c:v>
                </c:pt>
                <c:pt idx="7">
                  <c:v>8742.8231267757765</c:v>
                </c:pt>
                <c:pt idx="8">
                  <c:v>8335.3483544126066</c:v>
                </c:pt>
                <c:pt idx="9">
                  <c:v>8098.9694174983679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'Alliance OPEX'!$A$51</c:f>
              <c:strCache>
                <c:ptCount val="1"/>
                <c:pt idx="0">
                  <c:v>Essential Energy (NSW)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'Alliance OPEX'!$B$80:$K$80</c:f>
              <c:numCache>
                <c:formatCode>_-* #,##0_-;\-* #,##0_-;_-* "-"??_-;_-@_-</c:formatCode>
                <c:ptCount val="10"/>
                <c:pt idx="0">
                  <c:v>4903.5111163933125</c:v>
                </c:pt>
                <c:pt idx="1">
                  <c:v>5775.6607165905161</c:v>
                </c:pt>
                <c:pt idx="2">
                  <c:v>6207.0610469961366</c:v>
                </c:pt>
                <c:pt idx="3">
                  <c:v>6436.7593222013638</c:v>
                </c:pt>
                <c:pt idx="4">
                  <c:v>6390.7989788723826</c:v>
                </c:pt>
                <c:pt idx="5">
                  <c:v>7432.5165391350238</c:v>
                </c:pt>
                <c:pt idx="6">
                  <c:v>8162.5547607757599</c:v>
                </c:pt>
                <c:pt idx="7">
                  <c:v>8742.8231267757765</c:v>
                </c:pt>
                <c:pt idx="8">
                  <c:v>8335.3483544126066</c:v>
                </c:pt>
                <c:pt idx="9">
                  <c:v>8098.9694174983679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'Alliance OPEX'!$A$52</c:f>
              <c:strCache>
                <c:ptCount val="1"/>
                <c:pt idx="0">
                  <c:v>Endeavour (NSW)</c:v>
                </c:pt>
              </c:strCache>
            </c:strRef>
          </c:tx>
          <c:spPr>
            <a:ln>
              <a:solidFill>
                <a:schemeClr val="accent4"/>
              </a:solidFill>
            </a:ln>
          </c:spPr>
          <c:marker>
            <c:symbol val="none"/>
          </c:marker>
          <c:val>
            <c:numRef>
              <c:f>'Alliance OPEX'!$B$82:$K$82</c:f>
              <c:numCache>
                <c:formatCode>_-* #,##0_-;\-* #,##0_-;_-* "-"??_-;_-@_-</c:formatCode>
                <c:ptCount val="10"/>
                <c:pt idx="0">
                  <c:v>7629.4662049948574</c:v>
                </c:pt>
                <c:pt idx="1">
                  <c:v>8498.4438201154899</c:v>
                </c:pt>
                <c:pt idx="2">
                  <c:v>10633.104354383328</c:v>
                </c:pt>
                <c:pt idx="3">
                  <c:v>10068.087226769616</c:v>
                </c:pt>
                <c:pt idx="4">
                  <c:v>9879.1096784748825</c:v>
                </c:pt>
                <c:pt idx="5">
                  <c:v>10481.620196409327</c:v>
                </c:pt>
                <c:pt idx="6">
                  <c:v>10889.999255604413</c:v>
                </c:pt>
                <c:pt idx="7">
                  <c:v>10107.537489578428</c:v>
                </c:pt>
                <c:pt idx="8">
                  <c:v>8910.8924682275774</c:v>
                </c:pt>
                <c:pt idx="9">
                  <c:v>7737.8647813823254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'Alliance OPEX'!$A$53</c:f>
              <c:strCache>
                <c:ptCount val="1"/>
                <c:pt idx="0">
                  <c:v>SAPN (SA)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val>
            <c:numRef>
              <c:f>'Alliance OPEX'!$B$83:$K$83</c:f>
              <c:numCache>
                <c:formatCode>_-* #,##0_-;\-* #,##0_-;_-* "-"??_-;_-@_-</c:formatCode>
                <c:ptCount val="10"/>
                <c:pt idx="0">
                  <c:v>1394.3900789548914</c:v>
                </c:pt>
                <c:pt idx="1">
                  <c:v>1358.0176525302581</c:v>
                </c:pt>
                <c:pt idx="2">
                  <c:v>1582.0848639000878</c:v>
                </c:pt>
                <c:pt idx="3">
                  <c:v>1809.5238963136678</c:v>
                </c:pt>
                <c:pt idx="4">
                  <c:v>1837.017880501503</c:v>
                </c:pt>
                <c:pt idx="5">
                  <c:v>2387.6848860264763</c:v>
                </c:pt>
                <c:pt idx="6">
                  <c:v>2547.9278373520451</c:v>
                </c:pt>
                <c:pt idx="7">
                  <c:v>2778.574583728755</c:v>
                </c:pt>
                <c:pt idx="8">
                  <c:v>2924.5236892291505</c:v>
                </c:pt>
                <c:pt idx="9">
                  <c:v>3067.7850667146454</c:v>
                </c:pt>
              </c:numCache>
            </c:numRef>
          </c:val>
          <c:smooth val="0"/>
        </c:ser>
        <c:ser>
          <c:idx val="4"/>
          <c:order val="5"/>
          <c:tx>
            <c:strRef>
              <c:f>'Alliance OPEX'!$A$54</c:f>
              <c:strCache>
                <c:ptCount val="1"/>
                <c:pt idx="0">
                  <c:v>Aurora (TAS)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val>
            <c:numRef>
              <c:f>'Alliance OPEX'!$B$84:$K$84</c:f>
              <c:numCache>
                <c:formatCode>_-* #,##0_-;\-* #,##0_-;_-* "-"??_-;_-@_-</c:formatCode>
                <c:ptCount val="10"/>
                <c:pt idx="0">
                  <c:v>2350.3938934208331</c:v>
                </c:pt>
                <c:pt idx="1">
                  <c:v>2456.747840684895</c:v>
                </c:pt>
                <c:pt idx="2">
                  <c:v>2577.5457170693676</c:v>
                </c:pt>
                <c:pt idx="3">
                  <c:v>2983.4894198169368</c:v>
                </c:pt>
                <c:pt idx="4">
                  <c:v>3568.3786362757101</c:v>
                </c:pt>
                <c:pt idx="5">
                  <c:v>3504.9892200923596</c:v>
                </c:pt>
                <c:pt idx="6">
                  <c:v>3914.6175444952942</c:v>
                </c:pt>
                <c:pt idx="7">
                  <c:v>3466.6287751862228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'Alliance OPEX'!$A$55</c:f>
              <c:strCache>
                <c:ptCount val="1"/>
                <c:pt idx="0">
                  <c:v>Period average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  <c:spPr>
              <a:ln>
                <a:noFill/>
                <a:prstDash val="dash"/>
              </a:ln>
            </c:spPr>
          </c:dPt>
          <c:val>
            <c:numRef>
              <c:f>'Alliance OPEX'!$B$85:$K$85</c:f>
              <c:numCache>
                <c:formatCode>_-* #,##0_-;\-* #,##0_-;_-* "-"??_-;_-@_-</c:formatCode>
                <c:ptCount val="10"/>
                <c:pt idx="0">
                  <c:v>3878.6295594390976</c:v>
                </c:pt>
                <c:pt idx="1">
                  <c:v>3878.6295594390976</c:v>
                </c:pt>
                <c:pt idx="2">
                  <c:v>3878.6295594390976</c:v>
                </c:pt>
                <c:pt idx="3">
                  <c:v>3878.6295594390976</c:v>
                </c:pt>
                <c:pt idx="4">
                  <c:v>3878.6295594390976</c:v>
                </c:pt>
                <c:pt idx="5">
                  <c:v>4875.0664788480553</c:v>
                </c:pt>
                <c:pt idx="6">
                  <c:v>4875.0664788480553</c:v>
                </c:pt>
                <c:pt idx="7">
                  <c:v>4875.0664788480553</c:v>
                </c:pt>
                <c:pt idx="8">
                  <c:v>4875.0664788480553</c:v>
                </c:pt>
                <c:pt idx="9">
                  <c:v>4875.0664788480553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731904"/>
        <c:axId val="308733440"/>
      </c:lineChart>
      <c:catAx>
        <c:axId val="308731904"/>
        <c:scaling>
          <c:orientation val="minMax"/>
        </c:scaling>
        <c:delete val="0"/>
        <c:axPos val="b"/>
        <c:majorTickMark val="out"/>
        <c:minorTickMark val="none"/>
        <c:tickLblPos val="nextTo"/>
        <c:crossAx val="308733440"/>
        <c:crosses val="autoZero"/>
        <c:auto val="1"/>
        <c:lblAlgn val="ctr"/>
        <c:lblOffset val="100"/>
        <c:noMultiLvlLbl val="0"/>
      </c:catAx>
      <c:valAx>
        <c:axId val="308733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OPEX per Km Line ($)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0873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Ergon and Alliance Proposed OPEX Allowances (ex FiT)</a:t>
            </a:r>
            <a:endParaRPr lang="en-US" baseline="0"/>
          </a:p>
        </c:rich>
      </c:tx>
      <c:layout>
        <c:manualLayout>
          <c:xMode val="edge"/>
          <c:yMode val="edge"/>
          <c:x val="0.19074977353494499"/>
          <c:y val="4.6272493573264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079033964038"/>
          <c:y val="0.16462093862815899"/>
          <c:w val="0.56855327154902102"/>
          <c:h val="0.67111941783450302"/>
        </c:manualLayout>
      </c:layout>
      <c:lineChart>
        <c:grouping val="standard"/>
        <c:varyColors val="0"/>
        <c:ser>
          <c:idx val="0"/>
          <c:order val="0"/>
          <c:tx>
            <c:strRef>
              <c:f>'Alliance OPEX'!$A$106</c:f>
              <c:strCache>
                <c:ptCount val="1"/>
                <c:pt idx="0">
                  <c:v>Ergon Actual</c:v>
                </c:pt>
              </c:strCache>
            </c:strRef>
          </c:tx>
          <c:spPr>
            <a:ln>
              <a:prstDash val="solid"/>
            </a:ln>
          </c:spPr>
          <c:marker>
            <c:symbol val="none"/>
          </c:marker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cat>
            <c:strRef>
              <c:f>'Alliance OPEX'!$B$2:$P$2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OPEX'!$B$106:$L$106</c:f>
              <c:numCache>
                <c:formatCode>_-* #,##0_-;\-* #,##0_-;_-* "-"??_-;_-@_-</c:formatCode>
                <c:ptCount val="11"/>
                <c:pt idx="0">
                  <c:v>257.09893670000002</c:v>
                </c:pt>
                <c:pt idx="1">
                  <c:v>245.7331696</c:v>
                </c:pt>
                <c:pt idx="2">
                  <c:v>275.65245540000001</c:v>
                </c:pt>
                <c:pt idx="3">
                  <c:v>278.55849030000002</c:v>
                </c:pt>
                <c:pt idx="4">
                  <c:v>286.40707639999999</c:v>
                </c:pt>
                <c:pt idx="5">
                  <c:v>362.25330689999998</c:v>
                </c:pt>
                <c:pt idx="6">
                  <c:v>386.55725489999998</c:v>
                </c:pt>
                <c:pt idx="7">
                  <c:v>323.67400859999998</c:v>
                </c:pt>
                <c:pt idx="8">
                  <c:v>330.80353009999999</c:v>
                </c:pt>
                <c:pt idx="9">
                  <c:v>319.3230532</c:v>
                </c:pt>
                <c:pt idx="10">
                  <c:v>370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'Alliance CAPEX'!$A$28</c:f>
              <c:strCache>
                <c:ptCount val="1"/>
                <c:pt idx="0">
                  <c:v>Ergon Forecast 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'Alliance OPEX'!$B$2:$P$2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OPEX'!$B$108:$P$108</c:f>
              <c:numCache>
                <c:formatCode>General</c:formatCode>
                <c:ptCount val="15"/>
                <c:pt idx="10" formatCode="_-* #,##0_-;\-* #,##0_-;_-* &quot;-&quot;??_-;_-@_-">
                  <c:v>370.45910027999997</c:v>
                </c:pt>
                <c:pt idx="11" formatCode="_-* #,##0_-;\-* #,##0_-;_-* &quot;-&quot;??_-;_-@_-">
                  <c:v>387.19036849999998</c:v>
                </c:pt>
                <c:pt idx="12" formatCode="_-* #,##0_-;\-* #,##0_-;_-* &quot;-&quot;??_-;_-@_-">
                  <c:v>405.64773695999997</c:v>
                </c:pt>
                <c:pt idx="13" formatCode="_-* #,##0_-;\-* #,##0_-;_-* &quot;-&quot;??_-;_-@_-">
                  <c:v>426.61625420000001</c:v>
                </c:pt>
                <c:pt idx="14" formatCode="_-* #,##0_-;\-* #,##0_-;_-* &quot;-&quot;??_-;_-@_-">
                  <c:v>444.78213389999996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'Alliance CAPEX'!$A$29</c:f>
              <c:strCache>
                <c:ptCount val="1"/>
                <c:pt idx="0">
                  <c:v>Alliance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</c:dPt>
          <c:dPt>
            <c:idx val="10"/>
            <c:bubble3D val="0"/>
          </c:dPt>
          <c:val>
            <c:numRef>
              <c:f>'Alliance OPEX'!$B$109:$P$109</c:f>
              <c:numCache>
                <c:formatCode>General</c:formatCode>
                <c:ptCount val="15"/>
                <c:pt idx="10" formatCode="_-* #,##0_-;\-* #,##0_-;_-* &quot;-&quot;??_-;_-@_-">
                  <c:v>277.87542429956204</c:v>
                </c:pt>
                <c:pt idx="11" formatCode="_-* #,##0_-;\-* #,##0_-;_-* &quot;-&quot;??_-;_-@_-">
                  <c:v>279.55975490865569</c:v>
                </c:pt>
                <c:pt idx="12" formatCode="_-* #,##0_-;\-* #,##0_-;_-* &quot;-&quot;??_-;_-@_-">
                  <c:v>281.19174031988712</c:v>
                </c:pt>
                <c:pt idx="13" formatCode="_-* #,##0_-;\-* #,##0_-;_-* &quot;-&quot;??_-;_-@_-">
                  <c:v>282.59994053519068</c:v>
                </c:pt>
                <c:pt idx="14" formatCode="_-* #,##0_-;\-* #,##0_-;_-* &quot;-&quot;??_-;_-@_-">
                  <c:v>284.06792661284163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'Alliance CAPEX'!$A$27</c:f>
              <c:strCache>
                <c:ptCount val="1"/>
                <c:pt idx="0">
                  <c:v>Regulatory period average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  <c:spPr>
              <a:ln>
                <a:noFill/>
                <a:prstDash val="dash"/>
              </a:ln>
            </c:spPr>
          </c:dPt>
          <c:dPt>
            <c:idx val="10"/>
            <c:bubble3D val="0"/>
            <c:spPr>
              <a:ln>
                <a:noFill/>
                <a:prstDash val="dash"/>
              </a:ln>
            </c:spPr>
          </c:dPt>
          <c:val>
            <c:numRef>
              <c:f>'Alliance OPEX'!$B$107:$P$107</c:f>
              <c:numCache>
                <c:formatCode>_-* #,##0_-;\-* #,##0_-;_-* "-"??_-;_-@_-</c:formatCode>
                <c:ptCount val="15"/>
                <c:pt idx="0">
                  <c:v>268.69002568000002</c:v>
                </c:pt>
                <c:pt idx="1">
                  <c:v>268.69002568000002</c:v>
                </c:pt>
                <c:pt idx="2">
                  <c:v>268.69002568000002</c:v>
                </c:pt>
                <c:pt idx="3">
                  <c:v>268.69002568000002</c:v>
                </c:pt>
                <c:pt idx="4">
                  <c:v>268.69002568000002</c:v>
                </c:pt>
                <c:pt idx="5">
                  <c:v>344.52223074</c:v>
                </c:pt>
                <c:pt idx="6">
                  <c:v>344.52223074</c:v>
                </c:pt>
                <c:pt idx="7">
                  <c:v>344.52223074</c:v>
                </c:pt>
                <c:pt idx="8">
                  <c:v>344.52223074</c:v>
                </c:pt>
                <c:pt idx="9">
                  <c:v>344.52223074</c:v>
                </c:pt>
                <c:pt idx="10">
                  <c:v>406.93911876799996</c:v>
                </c:pt>
                <c:pt idx="11">
                  <c:v>406.93911876799996</c:v>
                </c:pt>
                <c:pt idx="12">
                  <c:v>406.93911876799996</c:v>
                </c:pt>
                <c:pt idx="13">
                  <c:v>406.93911876799996</c:v>
                </c:pt>
                <c:pt idx="14">
                  <c:v>406.93911876799996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'Alliance CAPEX'!$A$24</c:f>
              <c:strCache>
                <c:ptCount val="1"/>
                <c:pt idx="0">
                  <c:v>Regulator Decision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'Alliance OPEX'!$B$104:$P$104</c:f>
              <c:numCache>
                <c:formatCode>_-* #,##0_-;\-* #,##0_-;_-* "-"??_-;_-@_-</c:formatCode>
                <c:ptCount val="15"/>
                <c:pt idx="0">
                  <c:v>266.7</c:v>
                </c:pt>
                <c:pt idx="1">
                  <c:v>289.38600000000002</c:v>
                </c:pt>
                <c:pt idx="2">
                  <c:v>303.34763249999997</c:v>
                </c:pt>
                <c:pt idx="3">
                  <c:v>290.3865887</c:v>
                </c:pt>
                <c:pt idx="4">
                  <c:v>305.66565439999999</c:v>
                </c:pt>
                <c:pt idx="5">
                  <c:v>361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'Alliance CAPEX'!$A$24</c:f>
              <c:strCache>
                <c:ptCount val="1"/>
                <c:pt idx="0">
                  <c:v>Regulator Decision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val>
            <c:numRef>
              <c:f>'Alliance OPEX'!$B$105:$P$105</c:f>
              <c:numCache>
                <c:formatCode>General</c:formatCode>
                <c:ptCount val="15"/>
                <c:pt idx="5" formatCode="0">
                  <c:v>361.48770000000002</c:v>
                </c:pt>
                <c:pt idx="6" formatCode="0">
                  <c:v>385.07312089999999</c:v>
                </c:pt>
                <c:pt idx="7" formatCode="0">
                  <c:v>394.48567100000002</c:v>
                </c:pt>
                <c:pt idx="8" formatCode="0">
                  <c:v>399.97880359999999</c:v>
                </c:pt>
                <c:pt idx="9" formatCode="0">
                  <c:v>395.33443979999998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828800"/>
        <c:axId val="308838784"/>
      </c:lineChart>
      <c:catAx>
        <c:axId val="308828800"/>
        <c:scaling>
          <c:orientation val="minMax"/>
        </c:scaling>
        <c:delete val="0"/>
        <c:axPos val="b"/>
        <c:majorTickMark val="out"/>
        <c:minorTickMark val="none"/>
        <c:tickLblPos val="nextTo"/>
        <c:crossAx val="308838784"/>
        <c:crosses val="autoZero"/>
        <c:auto val="1"/>
        <c:lblAlgn val="ctr"/>
        <c:lblOffset val="100"/>
        <c:noMultiLvlLbl val="0"/>
      </c:catAx>
      <c:valAx>
        <c:axId val="308838784"/>
        <c:scaling>
          <c:orientation val="minMax"/>
          <c:max val="450"/>
          <c:min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Ergon</a:t>
                </a:r>
                <a:r>
                  <a:rPr lang="en-US" baseline="0"/>
                  <a:t> OPEX Allowance ($'m  nominal)</a:t>
                </a:r>
                <a:endParaRPr lang="en-US"/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308828800"/>
        <c:crosses val="autoZero"/>
        <c:crossBetween val="between"/>
      </c:valAx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1599191693958597"/>
          <c:y val="0.31196598201025599"/>
          <c:w val="0.259978119991638"/>
          <c:h val="0.258135133493916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Ergon Energy average network</a:t>
            </a:r>
            <a:r>
              <a:rPr lang="en-US" baseline="0"/>
              <a:t> price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'Alliance Forecasts'!$A$4</c:f>
              <c:strCache>
                <c:ptCount val="1"/>
                <c:pt idx="0">
                  <c:v>Regulator Decision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prices'!$B$16:$P$16</c:f>
              <c:numCache>
                <c:formatCode>_-* #,##0.000_-;\-* #,##0.000_-;_-* "-"??_-;_-@_-</c:formatCode>
                <c:ptCount val="15"/>
                <c:pt idx="0">
                  <c:v>5.1403326403326401</c:v>
                </c:pt>
                <c:pt idx="1">
                  <c:v>5.4117560400707134</c:v>
                </c:pt>
                <c:pt idx="2">
                  <c:v>5.6960833996959384</c:v>
                </c:pt>
                <c:pt idx="3">
                  <c:v>5.6765746638358108</c:v>
                </c:pt>
                <c:pt idx="4">
                  <c:v>5.8574735217787754</c:v>
                </c:pt>
                <c:pt idx="5">
                  <c:v>7.3454728750551315</c:v>
                </c:pt>
                <c:pt idx="6">
                  <c:v>7.8340425531914892</c:v>
                </c:pt>
                <c:pt idx="7">
                  <c:v>8.4727983880526256</c:v>
                </c:pt>
                <c:pt idx="8">
                  <c:v>9.035163196237022</c:v>
                </c:pt>
                <c:pt idx="9">
                  <c:v>9.4968412813775362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'Alliance prices'!$A$17</c:f>
              <c:strCache>
                <c:ptCount val="1"/>
                <c:pt idx="0">
                  <c:v>Ergon Actual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prices'!$B$17:$P$17</c:f>
              <c:numCache>
                <c:formatCode>_-* #,##0.000_-;\-* #,##0.000_-;_-* "-"??_-;_-@_-</c:formatCode>
                <c:ptCount val="15"/>
                <c:pt idx="0">
                  <c:v>4.3042768042768049</c:v>
                </c:pt>
                <c:pt idx="1">
                  <c:v>4.8350029463759574</c:v>
                </c:pt>
                <c:pt idx="2">
                  <c:v>5.3275899514949678</c:v>
                </c:pt>
                <c:pt idx="3">
                  <c:v>5.6319886765746636</c:v>
                </c:pt>
                <c:pt idx="4">
                  <c:v>6.7594865680016838</c:v>
                </c:pt>
                <c:pt idx="5">
                  <c:v>8.505012776917626</c:v>
                </c:pt>
                <c:pt idx="6">
                  <c:v>9.1082071464745713</c:v>
                </c:pt>
                <c:pt idx="7">
                  <c:v>9.4124598199045835</c:v>
                </c:pt>
                <c:pt idx="8">
                  <c:v>9.8950456307254289</c:v>
                </c:pt>
                <c:pt idx="9">
                  <c:v>10.069718655721603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'Alliance Forecasts'!$A$6</c:f>
              <c:strCache>
                <c:ptCount val="1"/>
                <c:pt idx="0">
                  <c:v>Ergon Forecast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prices'!$B$19:$P$19</c:f>
              <c:numCache>
                <c:formatCode>General</c:formatCode>
                <c:ptCount val="15"/>
                <c:pt idx="9" formatCode="_-* #,##0.000_-;\-* #,##0.000_-;_-* &quot;-&quot;??_-;_-@_-">
                  <c:v>10.069718655721603</c:v>
                </c:pt>
                <c:pt idx="10" formatCode="_-* #,##0.000_-;\-* #,##0.000_-;_-* &quot;-&quot;??_-;_-@_-">
                  <c:v>10.827614990211714</c:v>
                </c:pt>
                <c:pt idx="11" formatCode="_-* #,##0.000_-;\-* #,##0.000_-;_-* &quot;-&quot;??_-;_-@_-">
                  <c:v>11.05901478789098</c:v>
                </c:pt>
                <c:pt idx="12" formatCode="_-* #,##0.000_-;\-* #,##0.000_-;_-* &quot;-&quot;??_-;_-@_-">
                  <c:v>11.727503435579356</c:v>
                </c:pt>
                <c:pt idx="13" formatCode="_-* #,##0.000_-;\-* #,##0.000_-;_-* &quot;-&quot;??_-;_-@_-">
                  <c:v>10.999542098713327</c:v>
                </c:pt>
                <c:pt idx="14" formatCode="_-* #,##0.000_-;\-* #,##0.000_-;_-* &quot;-&quot;??_-;_-@_-">
                  <c:v>11.531581279994427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'Alliance Forecasts'!$A$7</c:f>
              <c:strCache>
                <c:ptCount val="1"/>
                <c:pt idx="0">
                  <c:v>Alliance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val>
            <c:numRef>
              <c:f>'Alliance prices'!$B$20:$P$20</c:f>
              <c:numCache>
                <c:formatCode>General</c:formatCode>
                <c:ptCount val="15"/>
                <c:pt idx="10" formatCode="_-* #,##0.000_-;\-* #,##0.000_-;_-* &quot;-&quot;??_-;_-@_-">
                  <c:v>6.9444988140203865</c:v>
                </c:pt>
                <c:pt idx="11" formatCode="_-* #,##0.000_-;\-* #,##0.000_-;_-* &quot;-&quot;??_-;_-@_-">
                  <c:v>7.3562735368087999</c:v>
                </c:pt>
                <c:pt idx="12" formatCode="_-* #,##0.000_-;\-* #,##0.000_-;_-* &quot;-&quot;??_-;_-@_-">
                  <c:v>7.7690474244122498</c:v>
                </c:pt>
                <c:pt idx="13" formatCode="_-* #,##0.000_-;\-* #,##0.000_-;_-* &quot;-&quot;??_-;_-@_-">
                  <c:v>7.556952714298669</c:v>
                </c:pt>
                <c:pt idx="14" formatCode="_-* #,##0.000_-;\-* #,##0.000_-;_-* &quot;-&quot;??_-;_-@_-">
                  <c:v>7.8861666667396548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'Alliance prices'!$A$18</c:f>
              <c:strCache>
                <c:ptCount val="1"/>
                <c:pt idx="0">
                  <c:v>Ergon Potential</c:v>
                </c:pt>
              </c:strCache>
            </c:strRef>
          </c:tx>
          <c:spPr>
            <a:ln>
              <a:solidFill>
                <a:schemeClr val="accent4"/>
              </a:solidFill>
              <a:prstDash val="dash"/>
            </a:ln>
          </c:spPr>
          <c:marker>
            <c:symbol val="none"/>
          </c:marker>
          <c:val>
            <c:numRef>
              <c:f>'Alliance prices'!$B$18:$P$18</c:f>
              <c:numCache>
                <c:formatCode>_-* #,##0.000_-;\-* #,##0.000_-;_-* "-"??_-;_-@_-</c:formatCode>
                <c:ptCount val="15"/>
                <c:pt idx="9">
                  <c:v>10.069718655721603</c:v>
                </c:pt>
                <c:pt idx="10" formatCode="_(* #,##0.00_);_(* \(#,##0.00\);_(* &quot;-&quot;??_);_(@_)">
                  <c:v>12.991991949017168</c:v>
                </c:pt>
                <c:pt idx="11" formatCode="_(* #,##0.00_);_(* \(#,##0.00\);_(* &quot;-&quot;??_);_(@_)">
                  <c:v>13.28664864598354</c:v>
                </c:pt>
                <c:pt idx="12" formatCode="_(* #,##0.00_);_(* \(#,##0.00\);_(* &quot;-&quot;??_);_(@_)">
                  <c:v>14.662855140187169</c:v>
                </c:pt>
                <c:pt idx="13" formatCode="_(* #,##0.00_);_(* \(#,##0.00\);_(* &quot;-&quot;??_);_(@_)">
                  <c:v>13.82117755563424</c:v>
                </c:pt>
                <c:pt idx="14" formatCode="_(* #,##0.00_);_(* \(#,##0.00\);_(* &quot;-&quot;??_);_(@_)">
                  <c:v>14.471717838718886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6635520"/>
        <c:axId val="306637056"/>
      </c:lineChart>
      <c:catAx>
        <c:axId val="306635520"/>
        <c:scaling>
          <c:orientation val="minMax"/>
        </c:scaling>
        <c:delete val="0"/>
        <c:axPos val="b"/>
        <c:majorTickMark val="out"/>
        <c:minorTickMark val="none"/>
        <c:tickLblPos val="nextTo"/>
        <c:crossAx val="306637056"/>
        <c:crosses val="autoZero"/>
        <c:auto val="1"/>
        <c:lblAlgn val="ctr"/>
        <c:lblOffset val="100"/>
        <c:noMultiLvlLbl val="0"/>
      </c:catAx>
      <c:valAx>
        <c:axId val="306637056"/>
        <c:scaling>
          <c:orientation val="minMax"/>
          <c:min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</a:t>
                </a:r>
                <a:r>
                  <a:rPr lang="en-US" baseline="0"/>
                  <a:t>e network price (c/kWh, nominal)</a:t>
                </a:r>
                <a:endParaRPr lang="en-US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06635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Ergon Energy Energy Delivered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'Alliance Forecasts'!$A$4</c:f>
              <c:strCache>
                <c:ptCount val="1"/>
                <c:pt idx="0">
                  <c:v>Regulator Decision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Forecasts'!$B$10:$P$10</c:f>
              <c:numCache>
                <c:formatCode>General</c:formatCode>
                <c:ptCount val="15"/>
                <c:pt idx="4" formatCode="_-* #,##0_-;\-* #,##0_-;_-* &quot;-&quot;??_-;_-@_-">
                  <c:v>14257</c:v>
                </c:pt>
                <c:pt idx="5" formatCode="_-* #,##0_-;\-* #,##0_-;_-* &quot;-&quot;??_-;_-@_-">
                  <c:v>15871</c:v>
                </c:pt>
                <c:pt idx="6" formatCode="_-* #,##0_-;\-* #,##0_-;_-* &quot;-&quot;??_-;_-@_-">
                  <c:v>16450</c:v>
                </c:pt>
                <c:pt idx="7" formatCode="_-* #,##0_-;\-* #,##0_-;_-* &quot;-&quot;??_-;_-@_-">
                  <c:v>16874</c:v>
                </c:pt>
                <c:pt idx="8" formatCode="_-* #,##0_-;\-* #,##0_-;_-* &quot;-&quot;??_-;_-@_-">
                  <c:v>17433</c:v>
                </c:pt>
                <c:pt idx="9" formatCode="_-* #,##0_-;\-* #,##0_-;_-* &quot;-&quot;??_-;_-@_-">
                  <c:v>17887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'Alliance Forecasts'!$A$5</c:f>
              <c:strCache>
                <c:ptCount val="1"/>
                <c:pt idx="0">
                  <c:v>Ergon Actual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Forecasts'!$B$11:$P$11</c:f>
              <c:numCache>
                <c:formatCode>_-* #,##0_-;\-* #,##0_-;_-* "-"??_-;_-@_-</c:formatCode>
                <c:ptCount val="15"/>
                <c:pt idx="0">
                  <c:v>13468</c:v>
                </c:pt>
                <c:pt idx="1">
                  <c:v>13576</c:v>
                </c:pt>
                <c:pt idx="2">
                  <c:v>13813</c:v>
                </c:pt>
                <c:pt idx="3">
                  <c:v>14130</c:v>
                </c:pt>
                <c:pt idx="4">
                  <c:v>14257</c:v>
                </c:pt>
                <c:pt idx="5">
                  <c:v>13227</c:v>
                </c:pt>
                <c:pt idx="6">
                  <c:v>13692</c:v>
                </c:pt>
                <c:pt idx="7">
                  <c:v>13496</c:v>
                </c:pt>
                <c:pt idx="8">
                  <c:v>13874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'Alliance Forecasts'!$A$6</c:f>
              <c:strCache>
                <c:ptCount val="1"/>
                <c:pt idx="0">
                  <c:v>Ergon Forecast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Forecasts'!$B$12:$P$12</c:f>
              <c:numCache>
                <c:formatCode>General</c:formatCode>
                <c:ptCount val="15"/>
                <c:pt idx="9" formatCode="_-* #,##0_-;\-* #,##0_-;_-* &quot;-&quot;??_-;_-@_-">
                  <c:v>14253</c:v>
                </c:pt>
                <c:pt idx="10" formatCode="_-* #,##0_-;\-* #,##0_-;_-* &quot;-&quot;??_-;_-@_-">
                  <c:v>14366.549727583029</c:v>
                </c:pt>
                <c:pt idx="11" formatCode="_-* #,##0_-;\-* #,##0_-;_-* &quot;-&quot;??_-;_-@_-">
                  <c:v>14510.938309415524</c:v>
                </c:pt>
                <c:pt idx="12" formatCode="_-* #,##0_-;\-* #,##0_-;_-* &quot;-&quot;??_-;_-@_-">
                  <c:v>14662.206987237209</c:v>
                </c:pt>
                <c:pt idx="13" formatCode="_-* #,##0_-;\-* #,##0_-;_-* &quot;-&quot;??_-;_-@_-">
                  <c:v>14807.140275325817</c:v>
                </c:pt>
                <c:pt idx="14" formatCode="_-* #,##0_-;\-* #,##0_-;_-* &quot;-&quot;??_-;_-@_-">
                  <c:v>14955.43911130316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'Alliance Forecasts'!$A$7</c:f>
              <c:strCache>
                <c:ptCount val="1"/>
                <c:pt idx="0">
                  <c:v>Alliance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val>
            <c:numRef>
              <c:f>'Alliance Forecasts'!$B$13:$P$13</c:f>
              <c:numCache>
                <c:formatCode>_-* #,##0_-;\-* #,##0_-;_-* "-"??_-;_-@_-</c:formatCode>
                <c:ptCount val="15"/>
                <c:pt idx="10">
                  <c:v>13380.874</c:v>
                </c:pt>
                <c:pt idx="11">
                  <c:v>13292.407999999999</c:v>
                </c:pt>
                <c:pt idx="12">
                  <c:v>13203.941999999999</c:v>
                </c:pt>
                <c:pt idx="13">
                  <c:v>13115.476000000001</c:v>
                </c:pt>
                <c:pt idx="14">
                  <c:v>13027.01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403072"/>
        <c:axId val="268404608"/>
      </c:lineChart>
      <c:catAx>
        <c:axId val="268403072"/>
        <c:scaling>
          <c:orientation val="minMax"/>
        </c:scaling>
        <c:delete val="0"/>
        <c:axPos val="b"/>
        <c:majorTickMark val="out"/>
        <c:minorTickMark val="none"/>
        <c:tickLblPos val="nextTo"/>
        <c:crossAx val="268404608"/>
        <c:crosses val="autoZero"/>
        <c:auto val="1"/>
        <c:lblAlgn val="ctr"/>
        <c:lblOffset val="100"/>
        <c:noMultiLvlLbl val="0"/>
      </c:catAx>
      <c:valAx>
        <c:axId val="268404608"/>
        <c:scaling>
          <c:orientation val="minMax"/>
          <c:max val="18000"/>
          <c:min val="1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Energy delivered</a:t>
                </a:r>
                <a:r>
                  <a:rPr lang="en-US" baseline="0"/>
                  <a:t> (GWh)</a:t>
                </a:r>
                <a:endParaRPr lang="en-US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6840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Ergon Energy Customer Numbers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'Alliance Forecasts'!$A$4</c:f>
              <c:strCache>
                <c:ptCount val="1"/>
                <c:pt idx="0">
                  <c:v>Regulator Decision 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Forecasts'!$B$16:$P$16</c:f>
              <c:numCache>
                <c:formatCode>General</c:formatCode>
                <c:ptCount val="15"/>
                <c:pt idx="5" formatCode="_-* #,##0_-;\-* #,##0_-;_-* &quot;-&quot;??_-;_-@_-">
                  <c:v>684469</c:v>
                </c:pt>
                <c:pt idx="6" formatCode="_-* #,##0_-;\-* #,##0_-;_-* &quot;-&quot;??_-;_-@_-">
                  <c:v>695242</c:v>
                </c:pt>
                <c:pt idx="7" formatCode="_-* #,##0_-;\-* #,##0_-;_-* &quot;-&quot;??_-;_-@_-">
                  <c:v>706204</c:v>
                </c:pt>
                <c:pt idx="8" formatCode="_-* #,##0_-;\-* #,##0_-;_-* &quot;-&quot;??_-;_-@_-">
                  <c:v>717356</c:v>
                </c:pt>
                <c:pt idx="9" formatCode="_-* #,##0_-;\-* #,##0_-;_-* &quot;-&quot;??_-;_-@_-">
                  <c:v>728706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'Alliance Forecasts'!$A$5</c:f>
              <c:strCache>
                <c:ptCount val="1"/>
                <c:pt idx="0">
                  <c:v>Ergon Actual</c:v>
                </c:pt>
              </c:strCache>
            </c:strRef>
          </c:tx>
          <c:spPr>
            <a:ln>
              <a:solidFill>
                <a:srgbClr val="4F81BD"/>
              </a:solidFill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Forecasts'!$B$17:$P$17</c:f>
              <c:numCache>
                <c:formatCode>_-* #,##0_-;\-* #,##0_-;_-* "-"??_-;_-@_-</c:formatCode>
                <c:ptCount val="15"/>
                <c:pt idx="0">
                  <c:v>624130</c:v>
                </c:pt>
                <c:pt idx="1">
                  <c:v>635123</c:v>
                </c:pt>
                <c:pt idx="2">
                  <c:v>647729</c:v>
                </c:pt>
                <c:pt idx="3">
                  <c:v>663216</c:v>
                </c:pt>
                <c:pt idx="4">
                  <c:v>676960</c:v>
                </c:pt>
                <c:pt idx="5">
                  <c:v>688959</c:v>
                </c:pt>
                <c:pt idx="6">
                  <c:v>699264</c:v>
                </c:pt>
                <c:pt idx="7">
                  <c:v>710431</c:v>
                </c:pt>
                <c:pt idx="8">
                  <c:v>723410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'Alliance Forecasts'!$A$6</c:f>
              <c:strCache>
                <c:ptCount val="1"/>
                <c:pt idx="0">
                  <c:v>Ergon Forecast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'Alliance Forecasts'!$B$2:$P$2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Forecasts'!$B$18:$P$18</c:f>
              <c:numCache>
                <c:formatCode>General</c:formatCode>
                <c:ptCount val="15"/>
                <c:pt idx="9" formatCode="_-* #,##0_-;\-* #,##0_-;_-* &quot;-&quot;??_-;_-@_-">
                  <c:v>736372</c:v>
                </c:pt>
                <c:pt idx="10" formatCode="_-* #,##0_-;\-* #,##0_-;_-* &quot;-&quot;??_-;_-@_-">
                  <c:v>747564.52745260624</c:v>
                </c:pt>
                <c:pt idx="11" formatCode="_-* #,##0_-;\-* #,##0_-;_-* &quot;-&quot;??_-;_-@_-">
                  <c:v>759880.48402165389</c:v>
                </c:pt>
                <c:pt idx="12" formatCode="_-* #,##0_-;\-* #,##0_-;_-* &quot;-&quot;??_-;_-@_-">
                  <c:v>772137.56636626227</c:v>
                </c:pt>
                <c:pt idx="13" formatCode="_-* #,##0_-;\-* #,##0_-;_-* &quot;-&quot;??_-;_-@_-">
                  <c:v>784588.96125044744</c:v>
                </c:pt>
                <c:pt idx="14" formatCode="_-* #,##0_-;\-* #,##0_-;_-* &quot;-&quot;??_-;_-@_-">
                  <c:v>797305.99029930646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'Alliance Forecasts'!$A$7</c:f>
              <c:strCache>
                <c:ptCount val="1"/>
                <c:pt idx="0">
                  <c:v>Alliance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val>
            <c:numRef>
              <c:f>'Alliance Forecasts'!$B$19:$P$19</c:f>
              <c:numCache>
                <c:formatCode>General</c:formatCode>
                <c:ptCount val="15"/>
                <c:pt idx="10" formatCode="_-* #,##0_-;\-* #,##0_-;_-* &quot;-&quot;??_-;_-@_-">
                  <c:v>746628</c:v>
                </c:pt>
                <c:pt idx="11" formatCode="_-* #,##0_-;\-* #,##0_-;_-* &quot;-&quot;??_-;_-@_-">
                  <c:v>758389</c:v>
                </c:pt>
                <c:pt idx="12" formatCode="_-* #,##0_-;\-* #,##0_-;_-* &quot;-&quot;??_-;_-@_-">
                  <c:v>770150</c:v>
                </c:pt>
                <c:pt idx="13" formatCode="_-* #,##0_-;\-* #,##0_-;_-* &quot;-&quot;??_-;_-@_-">
                  <c:v>781911</c:v>
                </c:pt>
                <c:pt idx="14" formatCode="_-* #,##0_-;\-* #,##0_-;_-* &quot;-&quot;??_-;_-@_-">
                  <c:v>793672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876544"/>
        <c:axId val="300878080"/>
      </c:lineChart>
      <c:catAx>
        <c:axId val="300876544"/>
        <c:scaling>
          <c:orientation val="minMax"/>
        </c:scaling>
        <c:delete val="0"/>
        <c:axPos val="b"/>
        <c:majorTickMark val="out"/>
        <c:minorTickMark val="none"/>
        <c:tickLblPos val="nextTo"/>
        <c:crossAx val="300878080"/>
        <c:crosses val="autoZero"/>
        <c:auto val="1"/>
        <c:lblAlgn val="ctr"/>
        <c:lblOffset val="100"/>
        <c:noMultiLvlLbl val="0"/>
      </c:catAx>
      <c:valAx>
        <c:axId val="300878080"/>
        <c:scaling>
          <c:orientation val="minMax"/>
          <c:max val="800000"/>
          <c:min val="60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Customer numbers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3008765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labour productivity</a:t>
            </a:r>
            <a:r>
              <a:rPr lang="en-US" baseline="0"/>
              <a:t> over time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'Alliance Productivity'!$A$6</c:f>
              <c:strCache>
                <c:ptCount val="1"/>
                <c:pt idx="0">
                  <c:v>Agriculture, Forestry and Fishing</c:v>
                </c:pt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Productivity'!$B$6:$Q$6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107.90685436126823</c:v>
                </c:pt>
                <c:pt idx="2">
                  <c:v>88.001578739639513</c:v>
                </c:pt>
                <c:pt idx="3">
                  <c:v>94.684909880278894</c:v>
                </c:pt>
                <c:pt idx="4">
                  <c:v>107.85422970661756</c:v>
                </c:pt>
                <c:pt idx="5">
                  <c:v>107.95947901591896</c:v>
                </c:pt>
                <c:pt idx="6">
                  <c:v>115.99789501381397</c:v>
                </c:pt>
                <c:pt idx="7">
                  <c:v>122.95750559136953</c:v>
                </c:pt>
                <c:pt idx="8">
                  <c:v>131.56163662675965</c:v>
                </c:pt>
                <c:pt idx="9">
                  <c:v>127.72003683725825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'Alliance Productivity'!$A$7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Productivity'!$B$7:$Q$7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102.74853153053307</c:v>
                </c:pt>
                <c:pt idx="2">
                  <c:v>105.07591710074256</c:v>
                </c:pt>
                <c:pt idx="3">
                  <c:v>105.30865565776348</c:v>
                </c:pt>
                <c:pt idx="4">
                  <c:v>103.28050537515239</c:v>
                </c:pt>
                <c:pt idx="5">
                  <c:v>107.34788872880416</c:v>
                </c:pt>
                <c:pt idx="6">
                  <c:v>107.00432228748753</c:v>
                </c:pt>
                <c:pt idx="7">
                  <c:v>110.91654660312533</c:v>
                </c:pt>
                <c:pt idx="8">
                  <c:v>110.82788429568879</c:v>
                </c:pt>
                <c:pt idx="9">
                  <c:v>110.38457275850604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'Alliance Productivity'!$A$8</c:f>
              <c:strCache>
                <c:ptCount val="1"/>
                <c:pt idx="0">
                  <c:v>Electricity, Gas, Water and Waste Services</c:v>
                </c:pt>
              </c:strCache>
            </c:strRef>
          </c:tx>
          <c:marker>
            <c:symbol val="none"/>
          </c:marker>
          <c:dPt>
            <c:idx val="10"/>
            <c:bubble3D val="0"/>
            <c:spPr>
              <a:ln>
                <a:prstDash val="dash"/>
              </a:ln>
            </c:spPr>
          </c:dPt>
          <c:dPt>
            <c:idx val="11"/>
            <c:bubble3D val="0"/>
            <c:spPr>
              <a:ln>
                <a:prstDash val="dash"/>
              </a:ln>
            </c:spPr>
          </c:dPt>
          <c:dPt>
            <c:idx val="12"/>
            <c:bubble3D val="0"/>
            <c:spPr>
              <a:ln>
                <a:prstDash val="dash"/>
              </a:ln>
            </c:spPr>
          </c:dPt>
          <c:dPt>
            <c:idx val="13"/>
            <c:bubble3D val="0"/>
            <c:spPr>
              <a:ln>
                <a:prstDash val="dash"/>
              </a:ln>
            </c:spPr>
          </c:dPt>
          <c:dPt>
            <c:idx val="14"/>
            <c:bubble3D val="0"/>
            <c:spPr>
              <a:ln>
                <a:prstDash val="dash"/>
              </a:ln>
            </c:spPr>
          </c:dPt>
          <c:dPt>
            <c:idx val="15"/>
            <c:bubble3D val="0"/>
            <c:spPr>
              <a:ln>
                <a:prstDash val="dash"/>
              </a:ln>
            </c:spPr>
          </c:dPt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Productivity'!$B$8:$Q$8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93.447557304931706</c:v>
                </c:pt>
                <c:pt idx="2">
                  <c:v>92.444238635486613</c:v>
                </c:pt>
                <c:pt idx="3">
                  <c:v>85.868642432661886</c:v>
                </c:pt>
                <c:pt idx="4">
                  <c:v>79.007486300841251</c:v>
                </c:pt>
                <c:pt idx="5">
                  <c:v>77.795786061588331</c:v>
                </c:pt>
                <c:pt idx="6">
                  <c:v>71.660106506135676</c:v>
                </c:pt>
                <c:pt idx="7">
                  <c:v>70.625916493015367</c:v>
                </c:pt>
                <c:pt idx="8">
                  <c:v>77.178359188083661</c:v>
                </c:pt>
                <c:pt idx="9">
                  <c:v>71.096704484062684</c:v>
                </c:pt>
                <c:pt idx="10">
                  <c:v>80.853787070052235</c:v>
                </c:pt>
                <c:pt idx="11">
                  <c:v>90.610869656041785</c:v>
                </c:pt>
                <c:pt idx="12">
                  <c:v>100.36795224203134</c:v>
                </c:pt>
                <c:pt idx="13">
                  <c:v>110.12503482802089</c:v>
                </c:pt>
                <c:pt idx="14">
                  <c:v>119.88211741401044</c:v>
                </c:pt>
                <c:pt idx="15">
                  <c:v>129.63920000000002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'Alliance Productivity'!$A$9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Productivity'!$B$9:$Q$9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103.38731610829521</c:v>
                </c:pt>
                <c:pt idx="2">
                  <c:v>100.72938558536283</c:v>
                </c:pt>
                <c:pt idx="3">
                  <c:v>104.62356286314747</c:v>
                </c:pt>
                <c:pt idx="4">
                  <c:v>105.58783533193225</c:v>
                </c:pt>
                <c:pt idx="5">
                  <c:v>106.63864507355669</c:v>
                </c:pt>
                <c:pt idx="6">
                  <c:v>106.88589442452712</c:v>
                </c:pt>
                <c:pt idx="7">
                  <c:v>119.42143651872914</c:v>
                </c:pt>
                <c:pt idx="8">
                  <c:v>123.62467548522685</c:v>
                </c:pt>
                <c:pt idx="9">
                  <c:v>121.9062924959822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'Alliance Productivity'!$A$10</c:f>
              <c:strCache>
                <c:ptCount val="1"/>
                <c:pt idx="0">
                  <c:v>Retail Trade</c:v>
                </c:pt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Productivity'!$B$10:$Q$10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100.3129513721714</c:v>
                </c:pt>
                <c:pt idx="2">
                  <c:v>103.17766008666345</c:v>
                </c:pt>
                <c:pt idx="3">
                  <c:v>104.18873375060183</c:v>
                </c:pt>
                <c:pt idx="4">
                  <c:v>106.54790563312471</c:v>
                </c:pt>
                <c:pt idx="5">
                  <c:v>113.44487241213288</c:v>
                </c:pt>
                <c:pt idx="6">
                  <c:v>111.86807896003852</c:v>
                </c:pt>
                <c:pt idx="7">
                  <c:v>115.23832450649975</c:v>
                </c:pt>
                <c:pt idx="8">
                  <c:v>120.3659123736158</c:v>
                </c:pt>
                <c:pt idx="9">
                  <c:v>122.5565719788156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'Alliance Productivity'!$A$11</c:f>
              <c:strCache>
                <c:ptCount val="1"/>
                <c:pt idx="0">
                  <c:v>Accommodation and Food Services</c:v>
                </c:pt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Productivity'!$B$11:$Q$11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104.2648709315376</c:v>
                </c:pt>
                <c:pt idx="2">
                  <c:v>108.06040199979594</c:v>
                </c:pt>
                <c:pt idx="3">
                  <c:v>103.7037037037037</c:v>
                </c:pt>
                <c:pt idx="4">
                  <c:v>102.57116620752984</c:v>
                </c:pt>
                <c:pt idx="5">
                  <c:v>99.204162840526479</c:v>
                </c:pt>
                <c:pt idx="6">
                  <c:v>98.622589531680433</c:v>
                </c:pt>
                <c:pt idx="7">
                  <c:v>102.88746046321803</c:v>
                </c:pt>
                <c:pt idx="8">
                  <c:v>102.03040506070809</c:v>
                </c:pt>
                <c:pt idx="9">
                  <c:v>104.06081012141617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'Alliance Productivity'!$A$12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Productivity'!$B$12:$Q$12</c:f>
              <c:numCache>
                <c:formatCode>General</c:formatCode>
                <c:ptCount val="16"/>
              </c:numCache>
            </c:numRef>
          </c:val>
          <c:smooth val="0"/>
        </c:ser>
        <c:ser>
          <c:idx val="7"/>
          <c:order val="7"/>
          <c:tx>
            <c:strRef>
              <c:f>'Alliance Productivity'!$A$13</c:f>
              <c:strCache>
                <c:ptCount val="1"/>
                <c:pt idx="0">
                  <c:v>Average (non-utility)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marker>
            <c:symbol val="none"/>
          </c:marker>
          <c:dPt>
            <c:idx val="10"/>
            <c:bubble3D val="0"/>
            <c:spPr>
              <a:ln>
                <a:solidFill>
                  <a:srgbClr val="000000"/>
                </a:solidFill>
                <a:prstDash val="dash"/>
              </a:ln>
            </c:spPr>
          </c:dPt>
          <c:dPt>
            <c:idx val="11"/>
            <c:bubble3D val="0"/>
            <c:spPr>
              <a:ln>
                <a:solidFill>
                  <a:srgbClr val="000000"/>
                </a:solidFill>
                <a:prstDash val="dash"/>
              </a:ln>
            </c:spPr>
          </c:dPt>
          <c:dPt>
            <c:idx val="12"/>
            <c:bubble3D val="0"/>
            <c:spPr>
              <a:ln>
                <a:solidFill>
                  <a:srgbClr val="000000"/>
                </a:solidFill>
                <a:prstDash val="dash"/>
              </a:ln>
            </c:spPr>
          </c:dPt>
          <c:dPt>
            <c:idx val="13"/>
            <c:bubble3D val="0"/>
            <c:spPr>
              <a:ln>
                <a:solidFill>
                  <a:srgbClr val="000000"/>
                </a:solidFill>
                <a:prstDash val="dash"/>
              </a:ln>
            </c:spPr>
          </c:dPt>
          <c:dPt>
            <c:idx val="14"/>
            <c:bubble3D val="0"/>
            <c:spPr>
              <a:ln>
                <a:solidFill>
                  <a:srgbClr val="000000"/>
                </a:solidFill>
                <a:prstDash val="dash"/>
              </a:ln>
            </c:spPr>
          </c:dPt>
          <c:dPt>
            <c:idx val="15"/>
            <c:bubble3D val="0"/>
            <c:spPr>
              <a:ln>
                <a:solidFill>
                  <a:srgbClr val="000000"/>
                </a:solidFill>
                <a:prstDash val="dash"/>
              </a:ln>
            </c:spPr>
          </c:dPt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Productivity'!$B$13:$Q$13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103.65933398720281</c:v>
                </c:pt>
                <c:pt idx="2">
                  <c:v>101.53892858810892</c:v>
                </c:pt>
                <c:pt idx="3">
                  <c:v>102.70888795478956</c:v>
                </c:pt>
                <c:pt idx="4">
                  <c:v>104.99976647517633</c:v>
                </c:pt>
                <c:pt idx="5">
                  <c:v>106.64144598570829</c:v>
                </c:pt>
                <c:pt idx="6">
                  <c:v>107.60356825930597</c:v>
                </c:pt>
                <c:pt idx="7">
                  <c:v>113.66120218579232</c:v>
                </c:pt>
                <c:pt idx="8">
                  <c:v>116.76241184437906</c:v>
                </c:pt>
                <c:pt idx="9">
                  <c:v>116.55223950305916</c:v>
                </c:pt>
                <c:pt idx="10">
                  <c:v>120.5742</c:v>
                </c:pt>
                <c:pt idx="11">
                  <c:v>123.1344</c:v>
                </c:pt>
                <c:pt idx="12">
                  <c:v>125.41880000000002</c:v>
                </c:pt>
                <c:pt idx="13">
                  <c:v>127.32960000000001</c:v>
                </c:pt>
                <c:pt idx="14">
                  <c:v>128.76900000000001</c:v>
                </c:pt>
                <c:pt idx="15">
                  <c:v>129.63920000000002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171328"/>
        <c:axId val="267172864"/>
      </c:lineChart>
      <c:catAx>
        <c:axId val="267171328"/>
        <c:scaling>
          <c:orientation val="minMax"/>
        </c:scaling>
        <c:delete val="0"/>
        <c:axPos val="b"/>
        <c:majorTickMark val="out"/>
        <c:minorTickMark val="none"/>
        <c:tickLblPos val="nextTo"/>
        <c:crossAx val="267172864"/>
        <c:crosses val="autoZero"/>
        <c:auto val="1"/>
        <c:lblAlgn val="ctr"/>
        <c:lblOffset val="100"/>
        <c:noMultiLvlLbl val="0"/>
      </c:catAx>
      <c:valAx>
        <c:axId val="267172864"/>
        <c:scaling>
          <c:orientation val="minMax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Labour productivity (base yaer 100 =</a:t>
                </a:r>
                <a:r>
                  <a:rPr lang="en-US" baseline="0"/>
                  <a:t> 2004-05)</a:t>
                </a:r>
                <a:endParaRPr lang="en-US"/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67171328"/>
        <c:crosses val="autoZero"/>
        <c:crossBetween val="between"/>
      </c:valAx>
    </c:plotArea>
    <c:legend>
      <c:legendPos val="r"/>
      <c:legendEntry>
        <c:idx val="6"/>
        <c:delete val="1"/>
      </c:legendEntry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capital productivity</a:t>
            </a:r>
            <a:r>
              <a:rPr lang="en-US" baseline="0"/>
              <a:t> over time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'Alliance Productivity'!$A$6</c:f>
              <c:strCache>
                <c:ptCount val="1"/>
                <c:pt idx="0">
                  <c:v>Agriculture, Forestry and Fishing</c:v>
                </c:pt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Productivity'!$B$37:$Q$37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100.89654477687115</c:v>
                </c:pt>
                <c:pt idx="2">
                  <c:v>85.10123904502872</c:v>
                </c:pt>
                <c:pt idx="3">
                  <c:v>89.896242570766589</c:v>
                </c:pt>
                <c:pt idx="4">
                  <c:v>104.50287095799335</c:v>
                </c:pt>
                <c:pt idx="5">
                  <c:v>102.88103153017025</c:v>
                </c:pt>
                <c:pt idx="6">
                  <c:v>104.23088546388637</c:v>
                </c:pt>
                <c:pt idx="7">
                  <c:v>103.54588496020953</c:v>
                </c:pt>
                <c:pt idx="8">
                  <c:v>100.73536818777073</c:v>
                </c:pt>
                <c:pt idx="9">
                  <c:v>101.78301601692354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'Alliance Productivity'!$A$7</c:f>
              <c:strCache>
                <c:ptCount val="1"/>
                <c:pt idx="0">
                  <c:v>Manufacturing</c:v>
                </c:pt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Productivity'!$B$38:$Q$38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92.996203247435176</c:v>
                </c:pt>
                <c:pt idx="2">
                  <c:v>90.693917117699314</c:v>
                </c:pt>
                <c:pt idx="3">
                  <c:v>89.676064302447685</c:v>
                </c:pt>
                <c:pt idx="4">
                  <c:v>83.673963971241619</c:v>
                </c:pt>
                <c:pt idx="5">
                  <c:v>83.496243638419898</c:v>
                </c:pt>
                <c:pt idx="6">
                  <c:v>82.664189352936418</c:v>
                </c:pt>
                <c:pt idx="7">
                  <c:v>82.656111155989976</c:v>
                </c:pt>
                <c:pt idx="8">
                  <c:v>80.781969464415539</c:v>
                </c:pt>
                <c:pt idx="9">
                  <c:v>80.168026496485979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'Alliance Productivity'!$A$8</c:f>
              <c:strCache>
                <c:ptCount val="1"/>
                <c:pt idx="0">
                  <c:v>Electricity, Gas, Water and Waste Services</c:v>
                </c:pt>
              </c:strCache>
            </c:strRef>
          </c:tx>
          <c:marker>
            <c:symbol val="none"/>
          </c:marker>
          <c:dPt>
            <c:idx val="10"/>
            <c:bubble3D val="0"/>
            <c:spPr>
              <a:ln>
                <a:prstDash val="dash"/>
              </a:ln>
            </c:spPr>
          </c:dPt>
          <c:dPt>
            <c:idx val="11"/>
            <c:bubble3D val="0"/>
            <c:spPr>
              <a:ln>
                <a:prstDash val="dash"/>
              </a:ln>
            </c:spPr>
          </c:dPt>
          <c:dPt>
            <c:idx val="12"/>
            <c:bubble3D val="0"/>
            <c:spPr>
              <a:ln>
                <a:prstDash val="dash"/>
              </a:ln>
            </c:spPr>
          </c:dPt>
          <c:dPt>
            <c:idx val="13"/>
            <c:bubble3D val="0"/>
            <c:spPr>
              <a:ln>
                <a:prstDash val="dash"/>
              </a:ln>
            </c:spPr>
          </c:dPt>
          <c:dPt>
            <c:idx val="14"/>
            <c:bubble3D val="0"/>
            <c:spPr>
              <a:ln>
                <a:prstDash val="dash"/>
              </a:ln>
            </c:spPr>
          </c:dPt>
          <c:dPt>
            <c:idx val="15"/>
            <c:bubble3D val="0"/>
            <c:spPr>
              <a:ln>
                <a:prstDash val="dash"/>
              </a:ln>
            </c:spPr>
          </c:dPt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Productivity'!$B$39:$Q$39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97.079197314861105</c:v>
                </c:pt>
                <c:pt idx="2">
                  <c:v>92.223095051060483</c:v>
                </c:pt>
                <c:pt idx="3">
                  <c:v>85.403127901164027</c:v>
                </c:pt>
                <c:pt idx="4">
                  <c:v>83.310719131614647</c:v>
                </c:pt>
                <c:pt idx="5">
                  <c:v>79.18303220738413</c:v>
                </c:pt>
                <c:pt idx="6">
                  <c:v>76.547882596586447</c:v>
                </c:pt>
                <c:pt idx="7">
                  <c:v>73.655645218881673</c:v>
                </c:pt>
                <c:pt idx="8">
                  <c:v>71.413268585303143</c:v>
                </c:pt>
                <c:pt idx="9">
                  <c:v>68.820966935656642</c:v>
                </c:pt>
                <c:pt idx="10">
                  <c:v>70.859139113047206</c:v>
                </c:pt>
                <c:pt idx="11">
                  <c:v>72.89731129043777</c:v>
                </c:pt>
                <c:pt idx="12">
                  <c:v>74.935483467828334</c:v>
                </c:pt>
                <c:pt idx="13">
                  <c:v>76.973655645218898</c:v>
                </c:pt>
                <c:pt idx="14">
                  <c:v>79.011827822609462</c:v>
                </c:pt>
                <c:pt idx="15">
                  <c:v>81.050000000000011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'Alliance Productivity'!$A$9</c:f>
              <c:strCache>
                <c:ptCount val="1"/>
                <c:pt idx="0">
                  <c:v>Construction</c:v>
                </c:pt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Productivity'!$B$40:$Q$40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102.87187694496312</c:v>
                </c:pt>
                <c:pt idx="2">
                  <c:v>103.39646127856319</c:v>
                </c:pt>
                <c:pt idx="3">
                  <c:v>101.85827331732906</c:v>
                </c:pt>
                <c:pt idx="4">
                  <c:v>95.972259269138434</c:v>
                </c:pt>
                <c:pt idx="5">
                  <c:v>90.735307193029243</c:v>
                </c:pt>
                <c:pt idx="6">
                  <c:v>88.619187338845919</c:v>
                </c:pt>
                <c:pt idx="7">
                  <c:v>92.051213656975193</c:v>
                </c:pt>
                <c:pt idx="8">
                  <c:v>88.912598915266301</c:v>
                </c:pt>
                <c:pt idx="9">
                  <c:v>88.734773717435758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'Alliance Productivity'!$A$10</c:f>
              <c:strCache>
                <c:ptCount val="1"/>
                <c:pt idx="0">
                  <c:v>Retail Trade</c:v>
                </c:pt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Productivity'!$B$41:$Q$41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94.086117562980164</c:v>
                </c:pt>
                <c:pt idx="2">
                  <c:v>93.693049848132929</c:v>
                </c:pt>
                <c:pt idx="3">
                  <c:v>91.147043058781492</c:v>
                </c:pt>
                <c:pt idx="4">
                  <c:v>89.038770770055393</c:v>
                </c:pt>
                <c:pt idx="5">
                  <c:v>87.859567625513662</c:v>
                </c:pt>
                <c:pt idx="6">
                  <c:v>86.44809719492585</c:v>
                </c:pt>
                <c:pt idx="7">
                  <c:v>87.609433625156328</c:v>
                </c:pt>
                <c:pt idx="8">
                  <c:v>89.333571556190819</c:v>
                </c:pt>
                <c:pt idx="9">
                  <c:v>88.860103626943015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'Alliance Productivity'!$A$11</c:f>
              <c:strCache>
                <c:ptCount val="1"/>
                <c:pt idx="0">
                  <c:v>Accommodation and Food Services</c:v>
                </c:pt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Productivity'!$B$42:$Q$42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97.360857068199635</c:v>
                </c:pt>
                <c:pt idx="2">
                  <c:v>94.704294051040847</c:v>
                </c:pt>
                <c:pt idx="3">
                  <c:v>90.114101559097634</c:v>
                </c:pt>
                <c:pt idx="4">
                  <c:v>85.959411201114875</c:v>
                </c:pt>
                <c:pt idx="5">
                  <c:v>83.720930232558146</c:v>
                </c:pt>
                <c:pt idx="6">
                  <c:v>84.957756293005843</c:v>
                </c:pt>
                <c:pt idx="7">
                  <c:v>87.910460761257738</c:v>
                </c:pt>
                <c:pt idx="8">
                  <c:v>87.100426792091284</c:v>
                </c:pt>
                <c:pt idx="9">
                  <c:v>86.04651162790698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'Alliance Productivity'!$A$12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Productivity'!$B$12:$Q$12</c:f>
              <c:numCache>
                <c:formatCode>General</c:formatCode>
                <c:ptCount val="16"/>
              </c:numCache>
            </c:numRef>
          </c:val>
          <c:smooth val="0"/>
        </c:ser>
        <c:ser>
          <c:idx val="7"/>
          <c:order val="7"/>
          <c:tx>
            <c:strRef>
              <c:f>'Alliance Productivity'!$A$13</c:f>
              <c:strCache>
                <c:ptCount val="1"/>
                <c:pt idx="0">
                  <c:v>Average (non-utility)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10"/>
            <c:bubble3D val="0"/>
            <c:spPr>
              <a:ln>
                <a:solidFill>
                  <a:schemeClr val="tx1"/>
                </a:solidFill>
                <a:prstDash val="dash"/>
              </a:ln>
            </c:spPr>
          </c:dPt>
          <c:dPt>
            <c:idx val="11"/>
            <c:bubble3D val="0"/>
            <c:spPr>
              <a:ln>
                <a:solidFill>
                  <a:schemeClr val="tx1"/>
                </a:solidFill>
                <a:prstDash val="dash"/>
              </a:ln>
            </c:spPr>
          </c:dPt>
          <c:dPt>
            <c:idx val="12"/>
            <c:bubble3D val="0"/>
            <c:spPr>
              <a:ln>
                <a:solidFill>
                  <a:schemeClr val="tx1"/>
                </a:solidFill>
                <a:prstDash val="dash"/>
              </a:ln>
            </c:spPr>
          </c:dPt>
          <c:dPt>
            <c:idx val="13"/>
            <c:bubble3D val="0"/>
            <c:spPr>
              <a:ln>
                <a:solidFill>
                  <a:schemeClr val="tx1"/>
                </a:solidFill>
                <a:prstDash val="dash"/>
              </a:ln>
            </c:spPr>
          </c:dPt>
          <c:dPt>
            <c:idx val="14"/>
            <c:bubble3D val="0"/>
            <c:spPr>
              <a:ln>
                <a:solidFill>
                  <a:schemeClr val="tx1"/>
                </a:solidFill>
                <a:prstDash val="dash"/>
              </a:ln>
            </c:spPr>
          </c:dPt>
          <c:dPt>
            <c:idx val="15"/>
            <c:bubble3D val="0"/>
            <c:spPr>
              <a:ln>
                <a:solidFill>
                  <a:schemeClr val="tx1"/>
                </a:solidFill>
                <a:prstDash val="dash"/>
              </a:ln>
            </c:spPr>
          </c:dPt>
          <c:cat>
            <c:strRef>
              <c:f>'Alliance Productivity'!$B$3:$Q$3</c:f>
              <c:strCache>
                <c:ptCount val="16"/>
                <c:pt idx="0">
                  <c:v>2004-05</c:v>
                </c:pt>
                <c:pt idx="1">
                  <c:v>2005-06</c:v>
                </c:pt>
                <c:pt idx="2">
                  <c:v>2006-07</c:v>
                </c:pt>
                <c:pt idx="3">
                  <c:v>2007-08</c:v>
                </c:pt>
                <c:pt idx="4">
                  <c:v>2008-09</c:v>
                </c:pt>
                <c:pt idx="5">
                  <c:v>2009-10</c:v>
                </c:pt>
                <c:pt idx="6">
                  <c:v>2010-11</c:v>
                </c:pt>
                <c:pt idx="7">
                  <c:v>2011-12</c:v>
                </c:pt>
                <c:pt idx="8">
                  <c:v>2012-13</c:v>
                </c:pt>
                <c:pt idx="9">
                  <c:v>2013-14</c:v>
                </c:pt>
                <c:pt idx="10">
                  <c:v>2014-15</c:v>
                </c:pt>
                <c:pt idx="11">
                  <c:v>2015-16</c:v>
                </c:pt>
                <c:pt idx="12">
                  <c:v>2016-17</c:v>
                </c:pt>
                <c:pt idx="13">
                  <c:v>2017-18</c:v>
                </c:pt>
                <c:pt idx="14">
                  <c:v>2018-19</c:v>
                </c:pt>
                <c:pt idx="15">
                  <c:v>2019-20</c:v>
                </c:pt>
              </c:strCache>
            </c:strRef>
          </c:cat>
          <c:val>
            <c:numRef>
              <c:f>'Alliance Productivity'!$B$44:$Q$44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97.474567830973896</c:v>
                </c:pt>
                <c:pt idx="2">
                  <c:v>93.663299423774617</c:v>
                </c:pt>
                <c:pt idx="3">
                  <c:v>92.533968841146731</c:v>
                </c:pt>
                <c:pt idx="4">
                  <c:v>91.345948637689403</c:v>
                </c:pt>
                <c:pt idx="5">
                  <c:v>89.281141068506784</c:v>
                </c:pt>
                <c:pt idx="6">
                  <c:v>88.884541509568166</c:v>
                </c:pt>
                <c:pt idx="7">
                  <c:v>90.282421569324868</c:v>
                </c:pt>
                <c:pt idx="8">
                  <c:v>88.923667923454502</c:v>
                </c:pt>
                <c:pt idx="9">
                  <c:v>88.62844134594863</c:v>
                </c:pt>
                <c:pt idx="10">
                  <c:v>88.552999999999997</c:v>
                </c:pt>
                <c:pt idx="11">
                  <c:v>88.006400000000014</c:v>
                </c:pt>
                <c:pt idx="12">
                  <c:v>87.100999999999999</c:v>
                </c:pt>
                <c:pt idx="13">
                  <c:v>85.718600000000009</c:v>
                </c:pt>
                <c:pt idx="14">
                  <c:v>83.741000000000014</c:v>
                </c:pt>
                <c:pt idx="15">
                  <c:v>81.050000000000011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227136"/>
        <c:axId val="267228672"/>
      </c:lineChart>
      <c:catAx>
        <c:axId val="267227136"/>
        <c:scaling>
          <c:orientation val="minMax"/>
        </c:scaling>
        <c:delete val="0"/>
        <c:axPos val="b"/>
        <c:majorTickMark val="out"/>
        <c:minorTickMark val="none"/>
        <c:tickLblPos val="nextTo"/>
        <c:crossAx val="267228672"/>
        <c:crosses val="autoZero"/>
        <c:auto val="1"/>
        <c:lblAlgn val="ctr"/>
        <c:lblOffset val="100"/>
        <c:noMultiLvlLbl val="0"/>
      </c:catAx>
      <c:valAx>
        <c:axId val="267228672"/>
        <c:scaling>
          <c:orientation val="minMax"/>
          <c:min val="6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Capital productivity (base yaer 100 =</a:t>
                </a:r>
                <a:r>
                  <a:rPr lang="en-US" baseline="0"/>
                  <a:t> 2004-05)</a:t>
                </a:r>
                <a:endParaRPr lang="en-US"/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67227136"/>
        <c:crosses val="autoZero"/>
        <c:crossBetween val="between"/>
      </c:valAx>
    </c:plotArea>
    <c:legend>
      <c:legendPos val="r"/>
      <c:legendEntry>
        <c:idx val="6"/>
        <c:delete val="1"/>
      </c:legendEntry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Ergon and Alliance Proposed OPEX Allowances</a:t>
            </a:r>
            <a:endParaRPr lang="en-US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079033964038"/>
          <c:y val="0.16462093862815899"/>
          <c:w val="0.62165060524150895"/>
          <c:h val="0.67111941783450302"/>
        </c:manualLayout>
      </c:layout>
      <c:lineChart>
        <c:grouping val="standard"/>
        <c:varyColors val="0"/>
        <c:ser>
          <c:idx val="0"/>
          <c:order val="0"/>
          <c:tx>
            <c:v>Ergon Proposed OPEX Allowance (Ex-FiT)</c:v>
          </c:tx>
          <c:marker>
            <c:symbol val="none"/>
          </c:marker>
          <c:dPt>
            <c:idx val="10"/>
            <c:bubble3D val="0"/>
            <c:spPr>
              <a:ln>
                <a:prstDash val="dash"/>
              </a:ln>
            </c:spPr>
          </c:dPt>
          <c:dPt>
            <c:idx val="11"/>
            <c:bubble3D val="0"/>
            <c:spPr>
              <a:ln>
                <a:prstDash val="dash"/>
              </a:ln>
            </c:spPr>
          </c:dPt>
          <c:dPt>
            <c:idx val="12"/>
            <c:bubble3D val="0"/>
            <c:spPr>
              <a:ln>
                <a:prstDash val="dash"/>
              </a:ln>
            </c:spPr>
          </c:dPt>
          <c:dPt>
            <c:idx val="13"/>
            <c:bubble3D val="0"/>
            <c:spPr>
              <a:ln>
                <a:prstDash val="dash"/>
              </a:ln>
            </c:spPr>
          </c:dPt>
          <c:dPt>
            <c:idx val="14"/>
            <c:bubble3D val="0"/>
            <c:spPr>
              <a:ln>
                <a:prstDash val="dash"/>
              </a:ln>
            </c:spPr>
          </c:dPt>
          <c:cat>
            <c:strRef>
              <c:f>'Alliance OPEX'!$B$2:$P$2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OPEX'!$B$5:$P$5</c:f>
              <c:numCache>
                <c:formatCode>_-* #,##0_-;\-* #,##0_-;_-* "-"??_-;_-@_-</c:formatCode>
                <c:ptCount val="15"/>
                <c:pt idx="0">
                  <c:v>257.09893670000002</c:v>
                </c:pt>
                <c:pt idx="1">
                  <c:v>245.7331696</c:v>
                </c:pt>
                <c:pt idx="2">
                  <c:v>275.65245540000001</c:v>
                </c:pt>
                <c:pt idx="3">
                  <c:v>278.55849030000002</c:v>
                </c:pt>
                <c:pt idx="4">
                  <c:v>286.40707639999999</c:v>
                </c:pt>
                <c:pt idx="5">
                  <c:v>362.25330689999998</c:v>
                </c:pt>
                <c:pt idx="6">
                  <c:v>386.55725489999998</c:v>
                </c:pt>
                <c:pt idx="7">
                  <c:v>323.67400859999998</c:v>
                </c:pt>
                <c:pt idx="8">
                  <c:v>330.80353009999999</c:v>
                </c:pt>
                <c:pt idx="9">
                  <c:v>319.3230532</c:v>
                </c:pt>
                <c:pt idx="10">
                  <c:v>370.45910027999997</c:v>
                </c:pt>
                <c:pt idx="11">
                  <c:v>387.19036849999998</c:v>
                </c:pt>
                <c:pt idx="12">
                  <c:v>405.64773695999997</c:v>
                </c:pt>
                <c:pt idx="13">
                  <c:v>426.61625420000001</c:v>
                </c:pt>
                <c:pt idx="14">
                  <c:v>444.78213389999996</c:v>
                </c:pt>
              </c:numCache>
            </c:numRef>
          </c:val>
          <c:smooth val="0"/>
        </c:ser>
        <c:ser>
          <c:idx val="1"/>
          <c:order val="1"/>
          <c:tx>
            <c:v>Alliance proposed OPEX allowance (Ex FiT)</c:v>
          </c:tx>
          <c:spPr>
            <a:ln>
              <a:prstDash val="dash"/>
            </a:ln>
          </c:spPr>
          <c:marker>
            <c:symbol val="none"/>
          </c:marker>
          <c:cat>
            <c:strRef>
              <c:f>'Alliance OPEX'!$B$2:$P$2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OPEX'!$B$98:$P$98</c:f>
              <c:numCache>
                <c:formatCode>General</c:formatCode>
                <c:ptCount val="15"/>
                <c:pt idx="10" formatCode="_-* #,##0_-;\-* #,##0_-;_-* &quot;-&quot;??_-;_-@_-">
                  <c:v>277.87542429956204</c:v>
                </c:pt>
                <c:pt idx="11" formatCode="_-* #,##0_-;\-* #,##0_-;_-* &quot;-&quot;??_-;_-@_-">
                  <c:v>279.55975490865569</c:v>
                </c:pt>
                <c:pt idx="12" formatCode="_-* #,##0_-;\-* #,##0_-;_-* &quot;-&quot;??_-;_-@_-">
                  <c:v>281.19174031988712</c:v>
                </c:pt>
                <c:pt idx="13" formatCode="_-* #,##0_-;\-* #,##0_-;_-* &quot;-&quot;??_-;_-@_-">
                  <c:v>282.59994053519068</c:v>
                </c:pt>
                <c:pt idx="14" formatCode="_-* #,##0_-;\-* #,##0_-;_-* &quot;-&quot;??_-;_-@_-">
                  <c:v>284.06792661284163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976768"/>
        <c:axId val="267325440"/>
      </c:lineChart>
      <c:catAx>
        <c:axId val="278976768"/>
        <c:scaling>
          <c:orientation val="minMax"/>
        </c:scaling>
        <c:delete val="0"/>
        <c:axPos val="b"/>
        <c:majorTickMark val="out"/>
        <c:minorTickMark val="none"/>
        <c:tickLblPos val="nextTo"/>
        <c:crossAx val="267325440"/>
        <c:crosses val="autoZero"/>
        <c:auto val="1"/>
        <c:lblAlgn val="ctr"/>
        <c:lblOffset val="100"/>
        <c:noMultiLvlLbl val="0"/>
      </c:catAx>
      <c:valAx>
        <c:axId val="267325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Ergon</a:t>
                </a:r>
                <a:r>
                  <a:rPr lang="en-US" baseline="0"/>
                  <a:t> OPEX Allowance ($'m nominal)</a:t>
                </a:r>
                <a:endParaRPr lang="en-US"/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78976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546098248912894"/>
          <c:y val="0.48634327297535501"/>
          <c:w val="0.24961364437654199"/>
          <c:h val="0.278576991955428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Ergon and Alliance Proposed REPEX Allowances</a:t>
            </a:r>
            <a:endParaRPr lang="en-US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079033964038"/>
          <c:y val="0.16462093862815899"/>
          <c:w val="0.56855327154902102"/>
          <c:h val="0.67111941783450302"/>
        </c:manualLayout>
      </c:layout>
      <c:lineChart>
        <c:grouping val="standard"/>
        <c:varyColors val="0"/>
        <c:ser>
          <c:idx val="0"/>
          <c:order val="0"/>
          <c:tx>
            <c:strRef>
              <c:f>'Alliance CAPEX'!$A$25</c:f>
              <c:strCache>
                <c:ptCount val="1"/>
                <c:pt idx="0">
                  <c:v>Ergon Actual</c:v>
                </c:pt>
              </c:strCache>
            </c:strRef>
          </c:tx>
          <c:marker>
            <c:symbol val="none"/>
          </c:marker>
          <c:dPt>
            <c:idx val="10"/>
            <c:bubble3D val="0"/>
            <c:spPr>
              <a:ln>
                <a:prstDash val="dash"/>
              </a:ln>
            </c:spPr>
          </c:dPt>
          <c:dPt>
            <c:idx val="11"/>
            <c:bubble3D val="0"/>
            <c:spPr>
              <a:ln>
                <a:prstDash val="dash"/>
              </a:ln>
            </c:spPr>
          </c:dPt>
          <c:dPt>
            <c:idx val="12"/>
            <c:bubble3D val="0"/>
            <c:spPr>
              <a:ln>
                <a:prstDash val="dash"/>
              </a:ln>
            </c:spPr>
          </c:dPt>
          <c:dPt>
            <c:idx val="13"/>
            <c:bubble3D val="0"/>
            <c:spPr>
              <a:ln>
                <a:prstDash val="dash"/>
              </a:ln>
            </c:spPr>
          </c:dPt>
          <c:dPt>
            <c:idx val="14"/>
            <c:bubble3D val="0"/>
            <c:spPr>
              <a:ln>
                <a:prstDash val="dash"/>
              </a:ln>
            </c:spPr>
          </c:dPt>
          <c:cat>
            <c:strRef>
              <c:f>'Alliance OPEX'!$B$2:$P$2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CAPEX'!$B$25:$P$25</c:f>
              <c:numCache>
                <c:formatCode>_-* #,##0_-;\-* #,##0_-;_-* "-"??_-;_-@_-</c:formatCode>
                <c:ptCount val="15"/>
                <c:pt idx="0">
                  <c:v>159.41014860000001</c:v>
                </c:pt>
                <c:pt idx="1">
                  <c:v>138.434842</c:v>
                </c:pt>
                <c:pt idx="2">
                  <c:v>105.71151</c:v>
                </c:pt>
                <c:pt idx="3">
                  <c:v>128.910676</c:v>
                </c:pt>
                <c:pt idx="4">
                  <c:v>141.86667069999999</c:v>
                </c:pt>
                <c:pt idx="5">
                  <c:v>208.40281949999999</c:v>
                </c:pt>
                <c:pt idx="6">
                  <c:v>247.19524939999999</c:v>
                </c:pt>
                <c:pt idx="7">
                  <c:v>275.23250899999999</c:v>
                </c:pt>
                <c:pt idx="8">
                  <c:v>224.77652810000001</c:v>
                </c:pt>
                <c:pt idx="9">
                  <c:v>240.71899999999999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'Alliance CAPEX'!$A$28</c:f>
              <c:strCache>
                <c:ptCount val="1"/>
                <c:pt idx="0">
                  <c:v>Ergon Forecast 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'Alliance OPEX'!$B$2:$P$2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CAPEX'!$B$28:$P$28</c:f>
              <c:numCache>
                <c:formatCode>_-* #,##0_-;\-* #,##0_-;_-* "-"??_-;_-@_-</c:formatCode>
                <c:ptCount val="15"/>
                <c:pt idx="10">
                  <c:v>256</c:v>
                </c:pt>
                <c:pt idx="11">
                  <c:v>286</c:v>
                </c:pt>
                <c:pt idx="12">
                  <c:v>256</c:v>
                </c:pt>
                <c:pt idx="13">
                  <c:v>282</c:v>
                </c:pt>
                <c:pt idx="14">
                  <c:v>278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'Alliance CAPEX'!$A$29</c:f>
              <c:strCache>
                <c:ptCount val="1"/>
                <c:pt idx="0">
                  <c:v>Alliance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</c:dPt>
          <c:dPt>
            <c:idx val="10"/>
            <c:bubble3D val="0"/>
          </c:dPt>
          <c:val>
            <c:numRef>
              <c:f>'Alliance CAPEX'!$B$29:$P$29</c:f>
              <c:numCache>
                <c:formatCode>_-* #,##0_-;\-* #,##0_-;_-* "-"??_-;_-@_-</c:formatCode>
                <c:ptCount val="15"/>
                <c:pt idx="10">
                  <c:v>134.86676946</c:v>
                </c:pt>
                <c:pt idx="11">
                  <c:v>134.86676946</c:v>
                </c:pt>
                <c:pt idx="12">
                  <c:v>134.86676946</c:v>
                </c:pt>
                <c:pt idx="13">
                  <c:v>134.86676946</c:v>
                </c:pt>
                <c:pt idx="14">
                  <c:v>134.86676946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'Alliance CAPEX'!$A$27</c:f>
              <c:strCache>
                <c:ptCount val="1"/>
                <c:pt idx="0">
                  <c:v>Regulatory period average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  <c:spPr>
              <a:ln>
                <a:noFill/>
                <a:prstDash val="dash"/>
              </a:ln>
            </c:spPr>
          </c:dPt>
          <c:dPt>
            <c:idx val="10"/>
            <c:bubble3D val="0"/>
            <c:spPr>
              <a:ln>
                <a:noFill/>
                <a:prstDash val="dash"/>
              </a:ln>
            </c:spPr>
          </c:dPt>
          <c:val>
            <c:numRef>
              <c:f>'Alliance CAPEX'!$B$27:$P$27</c:f>
              <c:numCache>
                <c:formatCode>_-* #,##0_-;\-* #,##0_-;_-* "-"??_-;_-@_-</c:formatCode>
                <c:ptCount val="15"/>
                <c:pt idx="0">
                  <c:v>134.86676946</c:v>
                </c:pt>
                <c:pt idx="1">
                  <c:v>134.86676946</c:v>
                </c:pt>
                <c:pt idx="2">
                  <c:v>134.86676946</c:v>
                </c:pt>
                <c:pt idx="3">
                  <c:v>134.86676946</c:v>
                </c:pt>
                <c:pt idx="4">
                  <c:v>134.86676946</c:v>
                </c:pt>
                <c:pt idx="5">
                  <c:v>239.26522119999998</c:v>
                </c:pt>
                <c:pt idx="6">
                  <c:v>239.26522119999998</c:v>
                </c:pt>
                <c:pt idx="7">
                  <c:v>239.26522119999998</c:v>
                </c:pt>
                <c:pt idx="8">
                  <c:v>239.26522119999998</c:v>
                </c:pt>
                <c:pt idx="9">
                  <c:v>239.26522119999998</c:v>
                </c:pt>
                <c:pt idx="10">
                  <c:v>271.60000000000002</c:v>
                </c:pt>
                <c:pt idx="11">
                  <c:v>271.60000000000002</c:v>
                </c:pt>
                <c:pt idx="12">
                  <c:v>271.60000000000002</c:v>
                </c:pt>
                <c:pt idx="13">
                  <c:v>271.60000000000002</c:v>
                </c:pt>
                <c:pt idx="14">
                  <c:v>271.60000000000002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'Alliance CAPEX'!$A$24</c:f>
              <c:strCache>
                <c:ptCount val="1"/>
                <c:pt idx="0">
                  <c:v>Regulator Decision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'Alliance CAPEX'!$B$24:$P$24</c:f>
              <c:numCache>
                <c:formatCode>_-* #,##0_-;\-* #,##0_-;_-* "-"??_-;_-@_-</c:formatCode>
                <c:ptCount val="15"/>
                <c:pt idx="5">
                  <c:v>176.26769999999999</c:v>
                </c:pt>
                <c:pt idx="6">
                  <c:v>212.39646619999999</c:v>
                </c:pt>
                <c:pt idx="7">
                  <c:v>247.27673239999999</c:v>
                </c:pt>
                <c:pt idx="8">
                  <c:v>282.20175310000002</c:v>
                </c:pt>
                <c:pt idx="9">
                  <c:v>311.6669685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'Alliance CAPEX'!$A$24</c:f>
              <c:strCache>
                <c:ptCount val="1"/>
                <c:pt idx="0">
                  <c:v>Regulator Decision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val>
            <c:numRef>
              <c:f>'Alliance CAPEX'!$B$23:$P$23</c:f>
              <c:numCache>
                <c:formatCode>_-* #,##0_-;\-* #,##0_-;_-* "-"??_-;_-@_-</c:formatCode>
                <c:ptCount val="15"/>
                <c:pt idx="0">
                  <c:v>125.1</c:v>
                </c:pt>
                <c:pt idx="1">
                  <c:v>137.97</c:v>
                </c:pt>
                <c:pt idx="2">
                  <c:v>150.13999999999999</c:v>
                </c:pt>
                <c:pt idx="3">
                  <c:v>156.97</c:v>
                </c:pt>
                <c:pt idx="4">
                  <c:v>158.06</c:v>
                </c:pt>
                <c:pt idx="5">
                  <c:v>176.26769999999999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81376"/>
        <c:axId val="278991232"/>
      </c:lineChart>
      <c:catAx>
        <c:axId val="267381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78991232"/>
        <c:crosses val="autoZero"/>
        <c:auto val="1"/>
        <c:lblAlgn val="ctr"/>
        <c:lblOffset val="100"/>
        <c:noMultiLvlLbl val="0"/>
      </c:catAx>
      <c:valAx>
        <c:axId val="278991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Ergon</a:t>
                </a:r>
                <a:r>
                  <a:rPr lang="en-US" baseline="0"/>
                  <a:t> REPEX Allowance ($'m  nominal)</a:t>
                </a:r>
                <a:endParaRPr lang="en-US"/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67381376"/>
        <c:crosses val="autoZero"/>
        <c:crossBetween val="between"/>
      </c:valAx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1599191693958597"/>
          <c:y val="0.31196598201025599"/>
          <c:w val="0.259978119991638"/>
          <c:h val="0.258135133493916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Ergon and Alliance Proposed AUGEX Allowances</a:t>
            </a:r>
            <a:endParaRPr lang="en-US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079033964038"/>
          <c:y val="0.16462093862815899"/>
          <c:w val="0.56855327154902102"/>
          <c:h val="0.67111941783450302"/>
        </c:manualLayout>
      </c:layout>
      <c:lineChart>
        <c:grouping val="standard"/>
        <c:varyColors val="0"/>
        <c:ser>
          <c:idx val="0"/>
          <c:order val="0"/>
          <c:tx>
            <c:strRef>
              <c:f>'Alliance CAPEX'!$A$25</c:f>
              <c:strCache>
                <c:ptCount val="1"/>
                <c:pt idx="0">
                  <c:v>Ergon Actual</c:v>
                </c:pt>
              </c:strCache>
            </c:strRef>
          </c:tx>
          <c:marker>
            <c:symbol val="none"/>
          </c:marker>
          <c:dPt>
            <c:idx val="10"/>
            <c:bubble3D val="0"/>
            <c:spPr>
              <a:ln>
                <a:prstDash val="dash"/>
              </a:ln>
            </c:spPr>
          </c:dPt>
          <c:dPt>
            <c:idx val="11"/>
            <c:bubble3D val="0"/>
            <c:spPr>
              <a:ln>
                <a:prstDash val="dash"/>
              </a:ln>
            </c:spPr>
          </c:dPt>
          <c:dPt>
            <c:idx val="12"/>
            <c:bubble3D val="0"/>
            <c:spPr>
              <a:ln>
                <a:prstDash val="dash"/>
              </a:ln>
            </c:spPr>
          </c:dPt>
          <c:dPt>
            <c:idx val="13"/>
            <c:bubble3D val="0"/>
            <c:spPr>
              <a:ln>
                <a:prstDash val="dash"/>
              </a:ln>
            </c:spPr>
          </c:dPt>
          <c:dPt>
            <c:idx val="14"/>
            <c:bubble3D val="0"/>
            <c:spPr>
              <a:ln>
                <a:prstDash val="dash"/>
              </a:ln>
            </c:spPr>
          </c:dPt>
          <c:cat>
            <c:strRef>
              <c:f>'Alliance OPEX'!$B$2:$P$2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CAPEX'!$B$37:$P$37</c:f>
              <c:numCache>
                <c:formatCode>_-* #,##0_-;\-* #,##0_-;_-* "-"??_-;_-@_-</c:formatCode>
                <c:ptCount val="15"/>
                <c:pt idx="0">
                  <c:v>118.24176300000001</c:v>
                </c:pt>
                <c:pt idx="1">
                  <c:v>178.42074289999999</c:v>
                </c:pt>
                <c:pt idx="2">
                  <c:v>244.82037320000001</c:v>
                </c:pt>
                <c:pt idx="3">
                  <c:v>253.7132671</c:v>
                </c:pt>
                <c:pt idx="4">
                  <c:v>197.43631959999999</c:v>
                </c:pt>
                <c:pt idx="5">
                  <c:v>135.2645823</c:v>
                </c:pt>
                <c:pt idx="6">
                  <c:v>162.3106698</c:v>
                </c:pt>
                <c:pt idx="7">
                  <c:v>144.5880209</c:v>
                </c:pt>
                <c:pt idx="8">
                  <c:v>162.23765280000001</c:v>
                </c:pt>
                <c:pt idx="9">
                  <c:v>167.49700000000001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'Alliance CAPEX'!$A$28</c:f>
              <c:strCache>
                <c:ptCount val="1"/>
                <c:pt idx="0">
                  <c:v>Ergon Forecast 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'Alliance OPEX'!$B$2:$P$2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CAPEX'!$B$40:$P$40</c:f>
              <c:numCache>
                <c:formatCode>_-* #,##0_-;\-* #,##0_-;_-* "-"??_-;_-@_-</c:formatCode>
                <c:ptCount val="15"/>
                <c:pt idx="10">
                  <c:v>175.7690805</c:v>
                </c:pt>
                <c:pt idx="11">
                  <c:v>183.01118249999999</c:v>
                </c:pt>
                <c:pt idx="12">
                  <c:v>191.59500790000001</c:v>
                </c:pt>
                <c:pt idx="13">
                  <c:v>146.36626089999999</c:v>
                </c:pt>
                <c:pt idx="14">
                  <c:v>153.6949137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'Alliance CAPEX'!$A$29</c:f>
              <c:strCache>
                <c:ptCount val="1"/>
                <c:pt idx="0">
                  <c:v>Alliance Forecast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</c:dPt>
          <c:dPt>
            <c:idx val="10"/>
            <c:bubble3D val="0"/>
          </c:dPt>
          <c:val>
            <c:numRef>
              <c:f>'Alliance CAPEX'!$B$41:$P$41</c:f>
              <c:numCache>
                <c:formatCode>_-* #,##0_-;\-* #,##0_-;_-* "-"??_-;_-@_-</c:formatCode>
                <c:ptCount val="15"/>
                <c:pt idx="10">
                  <c:v>79.536788904857147</c:v>
                </c:pt>
                <c:pt idx="11">
                  <c:v>82.813892798004289</c:v>
                </c:pt>
                <c:pt idx="12">
                  <c:v>86.698136300296213</c:v>
                </c:pt>
                <c:pt idx="13">
                  <c:v>66.231798919813684</c:v>
                </c:pt>
                <c:pt idx="14">
                  <c:v>69.548067680237637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'Alliance CAPEX'!$A$24</c:f>
              <c:strCache>
                <c:ptCount val="1"/>
                <c:pt idx="0">
                  <c:v>Regulator Decision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'Alliance CAPEX'!$B$36:$P$36</c:f>
              <c:numCache>
                <c:formatCode>_-* #,##0_-;\-* #,##0_-;_-* "-"??_-;_-@_-</c:formatCode>
                <c:ptCount val="15"/>
                <c:pt idx="5">
                  <c:v>261.0573</c:v>
                </c:pt>
                <c:pt idx="6">
                  <c:v>265.18200530000001</c:v>
                </c:pt>
                <c:pt idx="7">
                  <c:v>330.09515270000003</c:v>
                </c:pt>
                <c:pt idx="8">
                  <c:v>397.66296269999998</c:v>
                </c:pt>
                <c:pt idx="9">
                  <c:v>451.82689690000001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'Alliance CAPEX'!$A$24</c:f>
              <c:strCache>
                <c:ptCount val="1"/>
                <c:pt idx="0">
                  <c:v>Regulator Decision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val>
            <c:numRef>
              <c:f>'Alliance CAPEX'!$B$35:$P$35</c:f>
              <c:numCache>
                <c:formatCode>_-* #,##0_-;\-* #,##0_-;_-* "-"??_-;_-@_-</c:formatCode>
                <c:ptCount val="15"/>
                <c:pt idx="0">
                  <c:v>132.4</c:v>
                </c:pt>
                <c:pt idx="1">
                  <c:v>146.0385</c:v>
                </c:pt>
                <c:pt idx="2">
                  <c:v>158.82075</c:v>
                </c:pt>
                <c:pt idx="3">
                  <c:v>166.02994150000001</c:v>
                </c:pt>
                <c:pt idx="4">
                  <c:v>167.27859280000001</c:v>
                </c:pt>
                <c:pt idx="5">
                  <c:v>261</c:v>
                </c:pt>
              </c:numCache>
            </c:numRef>
          </c:val>
          <c:smooth val="0"/>
        </c:ser>
        <c:ser>
          <c:idx val="3"/>
          <c:order val="5"/>
          <c:tx>
            <c:strRef>
              <c:f>'Alliance CAPEX'!$A$39</c:f>
              <c:strCache>
                <c:ptCount val="1"/>
                <c:pt idx="0">
                  <c:v>Regulatory period average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  <c:spPr>
              <a:ln>
                <a:noFill/>
                <a:prstDash val="dash"/>
              </a:ln>
            </c:spPr>
          </c:dPt>
          <c:dPt>
            <c:idx val="10"/>
            <c:bubble3D val="0"/>
            <c:spPr>
              <a:ln>
                <a:noFill/>
                <a:prstDash val="dash"/>
              </a:ln>
            </c:spPr>
          </c:dPt>
          <c:val>
            <c:numRef>
              <c:f>'Alliance CAPEX'!$B$39:$P$39</c:f>
              <c:numCache>
                <c:formatCode>_-* #,##0_-;\-* #,##0_-;_-* "-"??_-;_-@_-</c:formatCode>
                <c:ptCount val="15"/>
                <c:pt idx="0">
                  <c:v>198.52649315999997</c:v>
                </c:pt>
                <c:pt idx="1">
                  <c:v>198.52649315999997</c:v>
                </c:pt>
                <c:pt idx="2">
                  <c:v>198.52649315999997</c:v>
                </c:pt>
                <c:pt idx="3">
                  <c:v>198.52649315999997</c:v>
                </c:pt>
                <c:pt idx="4">
                  <c:v>198.52649315999997</c:v>
                </c:pt>
                <c:pt idx="5">
                  <c:v>154.37958515999998</c:v>
                </c:pt>
                <c:pt idx="6">
                  <c:v>154.37958515999998</c:v>
                </c:pt>
                <c:pt idx="7">
                  <c:v>154.37958515999998</c:v>
                </c:pt>
                <c:pt idx="8">
                  <c:v>154.37958515999998</c:v>
                </c:pt>
                <c:pt idx="9">
                  <c:v>154.37958515999998</c:v>
                </c:pt>
                <c:pt idx="10">
                  <c:v>170.08728910000002</c:v>
                </c:pt>
                <c:pt idx="11">
                  <c:v>170.08728910000002</c:v>
                </c:pt>
                <c:pt idx="12">
                  <c:v>170.08728910000002</c:v>
                </c:pt>
                <c:pt idx="13">
                  <c:v>170.08728910000002</c:v>
                </c:pt>
                <c:pt idx="14">
                  <c:v>170.08728910000002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041920"/>
        <c:axId val="279043456"/>
      </c:lineChart>
      <c:catAx>
        <c:axId val="279041920"/>
        <c:scaling>
          <c:orientation val="minMax"/>
        </c:scaling>
        <c:delete val="0"/>
        <c:axPos val="b"/>
        <c:majorTickMark val="out"/>
        <c:minorTickMark val="none"/>
        <c:tickLblPos val="nextTo"/>
        <c:crossAx val="279043456"/>
        <c:crosses val="autoZero"/>
        <c:auto val="1"/>
        <c:lblAlgn val="ctr"/>
        <c:lblOffset val="100"/>
        <c:noMultiLvlLbl val="0"/>
      </c:catAx>
      <c:valAx>
        <c:axId val="279043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Ergon</a:t>
                </a:r>
                <a:r>
                  <a:rPr lang="en-US" baseline="0"/>
                  <a:t> REPEX Allowance ($'m  nominal)</a:t>
                </a:r>
                <a:endParaRPr lang="en-US"/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79041920"/>
        <c:crosses val="autoZero"/>
        <c:crossBetween val="between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1599191693958597"/>
          <c:y val="0.31196598201025599"/>
          <c:w val="0.259978119991638"/>
          <c:h val="0.294470870759923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Ergon and Alliance Proposed CCICW Allowances</a:t>
            </a:r>
            <a:endParaRPr lang="en-US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0079033964038"/>
          <c:y val="0.16462093862815899"/>
          <c:w val="0.52414833358974"/>
          <c:h val="0.67111941783450302"/>
        </c:manualLayout>
      </c:layout>
      <c:lineChart>
        <c:grouping val="standard"/>
        <c:varyColors val="0"/>
        <c:ser>
          <c:idx val="0"/>
          <c:order val="0"/>
          <c:tx>
            <c:strRef>
              <c:f>'Alliance CAPEX'!$A$49</c:f>
              <c:strCache>
                <c:ptCount val="1"/>
                <c:pt idx="0">
                  <c:v>Ergon Actual (LHS)</c:v>
                </c:pt>
              </c:strCache>
            </c:strRef>
          </c:tx>
          <c:marker>
            <c:symbol val="none"/>
          </c:marker>
          <c:dPt>
            <c:idx val="10"/>
            <c:bubble3D val="0"/>
            <c:spPr>
              <a:ln>
                <a:prstDash val="dash"/>
              </a:ln>
            </c:spPr>
          </c:dPt>
          <c:dPt>
            <c:idx val="11"/>
            <c:bubble3D val="0"/>
            <c:spPr>
              <a:ln>
                <a:prstDash val="dash"/>
              </a:ln>
            </c:spPr>
          </c:dPt>
          <c:dPt>
            <c:idx val="12"/>
            <c:bubble3D val="0"/>
            <c:spPr>
              <a:ln>
                <a:prstDash val="dash"/>
              </a:ln>
            </c:spPr>
          </c:dPt>
          <c:dPt>
            <c:idx val="13"/>
            <c:bubble3D val="0"/>
            <c:spPr>
              <a:ln>
                <a:prstDash val="dash"/>
              </a:ln>
            </c:spPr>
          </c:dPt>
          <c:dPt>
            <c:idx val="14"/>
            <c:bubble3D val="0"/>
            <c:spPr>
              <a:ln>
                <a:prstDash val="dash"/>
              </a:ln>
            </c:spPr>
          </c:dPt>
          <c:cat>
            <c:strRef>
              <c:f>'Alliance OPEX'!$B$2:$P$2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CAPEX'!$B$49:$P$49</c:f>
              <c:numCache>
                <c:formatCode>_-* #,##0_-;\-* #,##0_-;_-* "-"??_-;_-@_-</c:formatCode>
                <c:ptCount val="15"/>
                <c:pt idx="0">
                  <c:v>196.79349769999999</c:v>
                </c:pt>
                <c:pt idx="1">
                  <c:v>285.08356020000002</c:v>
                </c:pt>
                <c:pt idx="2">
                  <c:v>276.7301142</c:v>
                </c:pt>
                <c:pt idx="3">
                  <c:v>282.26057689999999</c:v>
                </c:pt>
                <c:pt idx="4">
                  <c:v>239.5853572</c:v>
                </c:pt>
                <c:pt idx="5">
                  <c:v>186.37629749999999</c:v>
                </c:pt>
                <c:pt idx="6">
                  <c:v>183.34479630000001</c:v>
                </c:pt>
                <c:pt idx="7">
                  <c:v>199.14595270000001</c:v>
                </c:pt>
                <c:pt idx="8">
                  <c:v>202.70611249999999</c:v>
                </c:pt>
                <c:pt idx="9">
                  <c:v>227.00399999999999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'Alliance CAPEX'!$A$52</c:f>
              <c:strCache>
                <c:ptCount val="1"/>
                <c:pt idx="0">
                  <c:v>Ergon Forecast (LHS)</c:v>
                </c:pt>
              </c:strCache>
            </c:strRef>
          </c:tx>
          <c:spPr>
            <a:ln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'Alliance OPEX'!$B$2:$P$2</c:f>
              <c:strCache>
                <c:ptCount val="15"/>
                <c:pt idx="0">
                  <c:v>2005-06</c:v>
                </c:pt>
                <c:pt idx="1">
                  <c:v>2006-07</c:v>
                </c:pt>
                <c:pt idx="2">
                  <c:v>2007-08</c:v>
                </c:pt>
                <c:pt idx="3">
                  <c:v>2008-09</c:v>
                </c:pt>
                <c:pt idx="4">
                  <c:v>2009-10</c:v>
                </c:pt>
                <c:pt idx="5">
                  <c:v>2010-11</c:v>
                </c:pt>
                <c:pt idx="6">
                  <c:v>2011-12</c:v>
                </c:pt>
                <c:pt idx="7">
                  <c:v>2012-13</c:v>
                </c:pt>
                <c:pt idx="8">
                  <c:v>2013-14</c:v>
                </c:pt>
                <c:pt idx="9">
                  <c:v>2014-15</c:v>
                </c:pt>
                <c:pt idx="10">
                  <c:v>2015-16</c:v>
                </c:pt>
                <c:pt idx="11">
                  <c:v>2016-17</c:v>
                </c:pt>
                <c:pt idx="12">
                  <c:v>2017-18</c:v>
                </c:pt>
                <c:pt idx="13">
                  <c:v>2018-19</c:v>
                </c:pt>
                <c:pt idx="14">
                  <c:v>2019-20</c:v>
                </c:pt>
              </c:strCache>
            </c:strRef>
          </c:cat>
          <c:val>
            <c:numRef>
              <c:f>'Alliance CAPEX'!$B$52:$P$52</c:f>
              <c:numCache>
                <c:formatCode>_-* #,##0_-;\-* #,##0_-;_-* "-"??_-;_-@_-</c:formatCode>
                <c:ptCount val="15"/>
                <c:pt idx="10">
                  <c:v>224.71240739999999</c:v>
                </c:pt>
                <c:pt idx="11">
                  <c:v>237.7646187</c:v>
                </c:pt>
                <c:pt idx="12">
                  <c:v>258.35343319999998</c:v>
                </c:pt>
                <c:pt idx="13">
                  <c:v>275.76590520000002</c:v>
                </c:pt>
                <c:pt idx="14">
                  <c:v>289.8248241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'Alliance CAPEX'!$A$53</c:f>
              <c:strCache>
                <c:ptCount val="1"/>
                <c:pt idx="0">
                  <c:v>Alliance Forecast (LHS)</c:v>
                </c:pt>
              </c:strCache>
            </c:strRef>
          </c:tx>
          <c:spPr>
            <a:ln>
              <a:solidFill>
                <a:schemeClr val="accent2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</c:dPt>
          <c:dPt>
            <c:idx val="10"/>
            <c:bubble3D val="0"/>
          </c:dPt>
          <c:val>
            <c:numRef>
              <c:f>'Alliance CAPEX'!$B$53:$P$53</c:f>
              <c:numCache>
                <c:formatCode>_-* #,##0_-;\-* #,##0_-;_-* "-"??_-;_-@_-</c:formatCode>
                <c:ptCount val="15"/>
                <c:pt idx="10">
                  <c:v>216.00420438917598</c:v>
                </c:pt>
                <c:pt idx="11">
                  <c:v>247.70138921812585</c:v>
                </c:pt>
                <c:pt idx="12">
                  <c:v>247.70138921812585</c:v>
                </c:pt>
                <c:pt idx="13">
                  <c:v>247.70138921812585</c:v>
                </c:pt>
                <c:pt idx="14">
                  <c:v>247.70138921812585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'Alliance CAPEX'!$A$48</c:f>
              <c:strCache>
                <c:ptCount val="1"/>
                <c:pt idx="0">
                  <c:v>Regulator Decision (LHS)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val>
            <c:numRef>
              <c:f>'Alliance CAPEX'!$B$48:$P$48</c:f>
              <c:numCache>
                <c:formatCode>_-* #,##0_-;\-* #,##0_-;_-* "-"??_-;_-@_-</c:formatCode>
                <c:ptCount val="15"/>
                <c:pt idx="5">
                  <c:v>298.2</c:v>
                </c:pt>
                <c:pt idx="6">
                  <c:v>304.69</c:v>
                </c:pt>
                <c:pt idx="7">
                  <c:v>392.77</c:v>
                </c:pt>
                <c:pt idx="8">
                  <c:v>318.58999999999997</c:v>
                </c:pt>
                <c:pt idx="9">
                  <c:v>325.42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'Alliance CAPEX'!$A$48</c:f>
              <c:strCache>
                <c:ptCount val="1"/>
                <c:pt idx="0">
                  <c:v>Regulator Decision (LHS)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val>
            <c:numRef>
              <c:f>'Alliance CAPEX'!$B$47:$P$47</c:f>
              <c:numCache>
                <c:formatCode>_-* #,##0_-;\-* #,##0_-;_-* "-"??_-;_-@_-</c:formatCode>
                <c:ptCount val="15"/>
                <c:pt idx="0">
                  <c:v>132.19999999999999</c:v>
                </c:pt>
                <c:pt idx="1">
                  <c:v>145.83000000000001</c:v>
                </c:pt>
                <c:pt idx="2">
                  <c:v>158.61000000000001</c:v>
                </c:pt>
                <c:pt idx="3">
                  <c:v>165.81</c:v>
                </c:pt>
                <c:pt idx="4">
                  <c:v>167.05</c:v>
                </c:pt>
                <c:pt idx="5">
                  <c:v>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105920"/>
        <c:axId val="279107456"/>
      </c:lineChart>
      <c:lineChart>
        <c:grouping val="standard"/>
        <c:varyColors val="0"/>
        <c:ser>
          <c:idx val="3"/>
          <c:order val="3"/>
          <c:tx>
            <c:strRef>
              <c:f>'Alliance CAPEX'!$A$51</c:f>
              <c:strCache>
                <c:ptCount val="1"/>
                <c:pt idx="0">
                  <c:v>Period average CCICW per new customer (RHS)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dPt>
            <c:idx val="5"/>
            <c:bubble3D val="0"/>
            <c:spPr>
              <a:ln>
                <a:noFill/>
                <a:prstDash val="dash"/>
              </a:ln>
            </c:spPr>
          </c:dPt>
          <c:dPt>
            <c:idx val="10"/>
            <c:bubble3D val="0"/>
            <c:spPr>
              <a:ln>
                <a:noFill/>
                <a:prstDash val="dash"/>
              </a:ln>
            </c:spPr>
          </c:dPt>
          <c:val>
            <c:numRef>
              <c:f>'Alliance CAPEX'!$B$51:$P$51</c:f>
              <c:numCache>
                <c:formatCode>_-* #,##0_-;\-* #,##0_-;_-* "-"??_-;_-@_-</c:formatCode>
                <c:ptCount val="15"/>
                <c:pt idx="0">
                  <c:v>24237.234643195156</c:v>
                </c:pt>
                <c:pt idx="1">
                  <c:v>24237.234643195156</c:v>
                </c:pt>
                <c:pt idx="2">
                  <c:v>24237.234643195156</c:v>
                </c:pt>
                <c:pt idx="3">
                  <c:v>24237.234643195156</c:v>
                </c:pt>
                <c:pt idx="4" formatCode="_(* #,##0.00_);_(* \(#,##0.00\);_(* &quot;-&quot;??_);_(@_)">
                  <c:v>24237.234643195156</c:v>
                </c:pt>
                <c:pt idx="5">
                  <c:v>21061.252378039779</c:v>
                </c:pt>
                <c:pt idx="6">
                  <c:v>21061.252378039779</c:v>
                </c:pt>
                <c:pt idx="7">
                  <c:v>21061.252378039779</c:v>
                </c:pt>
                <c:pt idx="8">
                  <c:v>21061.252378039779</c:v>
                </c:pt>
                <c:pt idx="9">
                  <c:v>21061.252378039779</c:v>
                </c:pt>
                <c:pt idx="10">
                  <c:v>25862.150306368392</c:v>
                </c:pt>
                <c:pt idx="11">
                  <c:v>25862.150306368392</c:v>
                </c:pt>
                <c:pt idx="12">
                  <c:v>25862.150306368392</c:v>
                </c:pt>
                <c:pt idx="13">
                  <c:v>25862.150306368392</c:v>
                </c:pt>
                <c:pt idx="14">
                  <c:v>25862.150306368392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9115648"/>
        <c:axId val="279113728"/>
      </c:lineChart>
      <c:catAx>
        <c:axId val="279105920"/>
        <c:scaling>
          <c:orientation val="minMax"/>
        </c:scaling>
        <c:delete val="0"/>
        <c:axPos val="b"/>
        <c:majorTickMark val="out"/>
        <c:minorTickMark val="none"/>
        <c:tickLblPos val="nextTo"/>
        <c:crossAx val="279107456"/>
        <c:crosses val="autoZero"/>
        <c:auto val="1"/>
        <c:lblAlgn val="ctr"/>
        <c:lblOffset val="100"/>
        <c:noMultiLvlLbl val="0"/>
      </c:catAx>
      <c:valAx>
        <c:axId val="2791074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Ergon</a:t>
                </a:r>
                <a:r>
                  <a:rPr lang="en-US" baseline="0"/>
                  <a:t> CCICW Allowance ($'m  nominal)</a:t>
                </a:r>
                <a:endParaRPr lang="en-US"/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79105920"/>
        <c:crosses val="autoZero"/>
        <c:crossBetween val="between"/>
      </c:valAx>
      <c:valAx>
        <c:axId val="279113728"/>
        <c:scaling>
          <c:orientation val="minMax"/>
          <c:max val="45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Period average CCICW per connection ($ nominal)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crossAx val="279115648"/>
        <c:crosses val="max"/>
        <c:crossBetween val="between"/>
      </c:valAx>
      <c:catAx>
        <c:axId val="279115648"/>
        <c:scaling>
          <c:orientation val="minMax"/>
        </c:scaling>
        <c:delete val="1"/>
        <c:axPos val="b"/>
        <c:majorTickMark val="out"/>
        <c:minorTickMark val="none"/>
        <c:tickLblPos val="nextTo"/>
        <c:crossAx val="27911372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5506832072278696"/>
          <c:y val="0.30846339479018697"/>
          <c:w val="0.24043999384624001"/>
          <c:h val="0.448125267178730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266700</xdr:colOff>
      <xdr:row>2</xdr:row>
      <xdr:rowOff>88900</xdr:rowOff>
    </xdr:from>
    <xdr:to>
      <xdr:col>25</xdr:col>
      <xdr:colOff>38100</xdr:colOff>
      <xdr:row>21</xdr:row>
      <xdr:rowOff>50800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254000</xdr:colOff>
      <xdr:row>22</xdr:row>
      <xdr:rowOff>152400</xdr:rowOff>
    </xdr:from>
    <xdr:to>
      <xdr:col>25</xdr:col>
      <xdr:colOff>0</xdr:colOff>
      <xdr:row>41</xdr:row>
      <xdr:rowOff>127000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254000</xdr:colOff>
      <xdr:row>42</xdr:row>
      <xdr:rowOff>25400</xdr:rowOff>
    </xdr:from>
    <xdr:to>
      <xdr:col>25</xdr:col>
      <xdr:colOff>152400</xdr:colOff>
      <xdr:row>61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317500</xdr:colOff>
      <xdr:row>15</xdr:row>
      <xdr:rowOff>184150</xdr:rowOff>
    </xdr:from>
    <xdr:to>
      <xdr:col>14</xdr:col>
      <xdr:colOff>215900</xdr:colOff>
      <xdr:row>33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355600</xdr:colOff>
      <xdr:row>46</xdr:row>
      <xdr:rowOff>184150</xdr:rowOff>
    </xdr:from>
    <xdr:to>
      <xdr:col>14</xdr:col>
      <xdr:colOff>254000</xdr:colOff>
      <xdr:row>64</xdr:row>
      <xdr:rowOff>139700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120</xdr:row>
      <xdr:rowOff>127000</xdr:rowOff>
    </xdr:from>
    <xdr:to>
      <xdr:col>16</xdr:col>
      <xdr:colOff>254000</xdr:colOff>
      <xdr:row>139</xdr:row>
      <xdr:rowOff>38100</xdr:rowOff>
    </xdr:to>
    <xdr:graphicFrame macro="">
      <xdr:nvGraphicFramePr>
        <xdr:cNvPr id="2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406400</xdr:colOff>
      <xdr:row>36</xdr:row>
      <xdr:rowOff>25400</xdr:rowOff>
    </xdr:from>
    <xdr:to>
      <xdr:col>26</xdr:col>
      <xdr:colOff>152400</xdr:colOff>
      <xdr:row>61</xdr:row>
      <xdr:rowOff>165100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38100</xdr:colOff>
      <xdr:row>65</xdr:row>
      <xdr:rowOff>114300</xdr:rowOff>
    </xdr:from>
    <xdr:to>
      <xdr:col>25</xdr:col>
      <xdr:colOff>609600</xdr:colOff>
      <xdr:row>88</xdr:row>
      <xdr:rowOff>63500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571500</xdr:colOff>
      <xdr:row>59</xdr:row>
      <xdr:rowOff>82550</xdr:rowOff>
    </xdr:from>
    <xdr:to>
      <xdr:col>16</xdr:col>
      <xdr:colOff>393700</xdr:colOff>
      <xdr:row>78</xdr:row>
      <xdr:rowOff>88900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203200</xdr:colOff>
      <xdr:row>5</xdr:row>
      <xdr:rowOff>114300</xdr:rowOff>
    </xdr:from>
    <xdr:to>
      <xdr:col>25</xdr:col>
      <xdr:colOff>774700</xdr:colOff>
      <xdr:row>28</xdr:row>
      <xdr:rowOff>63500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2692400</xdr:colOff>
      <xdr:row>58</xdr:row>
      <xdr:rowOff>177800</xdr:rowOff>
    </xdr:from>
    <xdr:to>
      <xdr:col>7</xdr:col>
      <xdr:colOff>711200</xdr:colOff>
      <xdr:row>77</xdr:row>
      <xdr:rowOff>184150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723900</xdr:colOff>
      <xdr:row>24</xdr:row>
      <xdr:rowOff>76200</xdr:rowOff>
    </xdr:from>
    <xdr:to>
      <xdr:col>16</xdr:col>
      <xdr:colOff>622300</xdr:colOff>
      <xdr:row>45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508000</xdr:colOff>
      <xdr:row>29</xdr:row>
      <xdr:rowOff>152400</xdr:rowOff>
    </xdr:from>
    <xdr:to>
      <xdr:col>23</xdr:col>
      <xdr:colOff>241300</xdr:colOff>
      <xdr:row>47</xdr:row>
      <xdr:rowOff>12700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457200</xdr:colOff>
      <xdr:row>47</xdr:row>
      <xdr:rowOff>139700</xdr:rowOff>
    </xdr:from>
    <xdr:to>
      <xdr:col>23</xdr:col>
      <xdr:colOff>190500</xdr:colOff>
      <xdr:row>65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508000</xdr:colOff>
      <xdr:row>65</xdr:row>
      <xdr:rowOff>139700</xdr:rowOff>
    </xdr:from>
    <xdr:to>
      <xdr:col>23</xdr:col>
      <xdr:colOff>241300</xdr:colOff>
      <xdr:row>83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84</xdr:row>
      <xdr:rowOff>12700</xdr:rowOff>
    </xdr:from>
    <xdr:to>
      <xdr:col>23</xdr:col>
      <xdr:colOff>241300</xdr:colOff>
      <xdr:row>101</xdr:row>
      <xdr:rowOff>50800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279400</xdr:colOff>
      <xdr:row>112</xdr:row>
      <xdr:rowOff>76200</xdr:rowOff>
    </xdr:from>
    <xdr:to>
      <xdr:col>12</xdr:col>
      <xdr:colOff>406400</xdr:colOff>
      <xdr:row>131</xdr:row>
      <xdr:rowOff>177800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</xdr:row>
      <xdr:rowOff>0</xdr:rowOff>
    </xdr:from>
    <xdr:to>
      <xdr:col>15</xdr:col>
      <xdr:colOff>596900</xdr:colOff>
      <xdr:row>45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Company\SAS%20Clients%20Files\Potential%20Clients\Electricity%20Consumers'%20Alliance\Submissions\Research\150114%20Ergon%20CAPEX%20re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APEX"/>
      <sheetName val="AUGEX"/>
      <sheetName val="REPEX"/>
      <sheetName val="Connections"/>
      <sheetName val="Other"/>
      <sheetName val="Alliance proposed"/>
      <sheetName val="Impact of CAPEX change on RAB"/>
    </sheetNames>
    <sheetDataSet>
      <sheetData sheetId="0">
        <row r="2">
          <cell r="L2">
            <v>255606</v>
          </cell>
          <cell r="M2">
            <v>286325</v>
          </cell>
          <cell r="N2">
            <v>255677</v>
          </cell>
          <cell r="O2">
            <v>282134</v>
          </cell>
          <cell r="P2">
            <v>278322</v>
          </cell>
        </row>
        <row r="3">
          <cell r="L3">
            <v>171365</v>
          </cell>
          <cell r="M3">
            <v>173955</v>
          </cell>
          <cell r="N3">
            <v>177551</v>
          </cell>
          <cell r="O3">
            <v>132239</v>
          </cell>
          <cell r="P3">
            <v>135381</v>
          </cell>
        </row>
        <row r="4">
          <cell r="L4">
            <v>219082</v>
          </cell>
          <cell r="M4">
            <v>225999</v>
          </cell>
          <cell r="N4">
            <v>239416</v>
          </cell>
          <cell r="O4">
            <v>249149</v>
          </cell>
          <cell r="P4">
            <v>255290</v>
          </cell>
        </row>
        <row r="5">
          <cell r="L5">
            <v>3361</v>
          </cell>
          <cell r="M5">
            <v>3400</v>
          </cell>
          <cell r="N5">
            <v>3527</v>
          </cell>
          <cell r="O5">
            <v>3603</v>
          </cell>
          <cell r="P5">
            <v>3638</v>
          </cell>
        </row>
        <row r="6">
          <cell r="L6">
            <v>42070</v>
          </cell>
          <cell r="M6">
            <v>31050</v>
          </cell>
          <cell r="N6">
            <v>20613</v>
          </cell>
          <cell r="O6">
            <v>29432</v>
          </cell>
          <cell r="P6">
            <v>25708</v>
          </cell>
        </row>
        <row r="7">
          <cell r="L7">
            <v>177552</v>
          </cell>
          <cell r="M7">
            <v>136598</v>
          </cell>
          <cell r="N7">
            <v>105625</v>
          </cell>
          <cell r="O7">
            <v>97698</v>
          </cell>
          <cell r="P7">
            <v>85869</v>
          </cell>
        </row>
        <row r="20">
          <cell r="L20">
            <v>1.0667809696962725</v>
          </cell>
          <cell r="M20">
            <v>1.0796476486190785</v>
          </cell>
          <cell r="N20">
            <v>1.1073917508300017</v>
          </cell>
          <cell r="O20">
            <v>1.1358205309636464</v>
          </cell>
          <cell r="P20">
            <v>1.1650097933201395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Ruler="0" workbookViewId="0"/>
  </sheetViews>
  <sheetFormatPr defaultColWidth="11" defaultRowHeight="15.75" x14ac:dyDescent="0.25"/>
  <cols>
    <col min="1" max="1" width="21.625" customWidth="1"/>
    <col min="2" max="6" width="11.5" bestFit="1" customWidth="1"/>
  </cols>
  <sheetData>
    <row r="1" spans="1:6" ht="26.25" x14ac:dyDescent="0.4">
      <c r="A1" s="84"/>
    </row>
    <row r="2" spans="1:6" x14ac:dyDescent="0.25">
      <c r="A2" s="9" t="s">
        <v>6</v>
      </c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4" spans="1:6" x14ac:dyDescent="0.25">
      <c r="A4" s="9" t="s">
        <v>65</v>
      </c>
    </row>
    <row r="5" spans="1:6" x14ac:dyDescent="0.25">
      <c r="A5" s="6" t="s">
        <v>191</v>
      </c>
      <c r="B5" s="11">
        <v>2661.5262805191887</v>
      </c>
      <c r="C5" s="11">
        <v>2656.8869509493088</v>
      </c>
      <c r="D5" s="11">
        <v>2730.8934106318266</v>
      </c>
      <c r="E5" s="11">
        <v>2801.9752565235685</v>
      </c>
      <c r="F5" s="11">
        <v>2906.1382757307001</v>
      </c>
    </row>
    <row r="6" spans="1:6" x14ac:dyDescent="0.25">
      <c r="A6" s="6" t="s">
        <v>63</v>
      </c>
      <c r="B6" s="11">
        <v>14366.549727583029</v>
      </c>
      <c r="C6" s="11">
        <v>14510.938309415524</v>
      </c>
      <c r="D6" s="11">
        <v>14662.206987237209</v>
      </c>
      <c r="E6" s="11">
        <v>14807.140275325817</v>
      </c>
      <c r="F6" s="11">
        <v>14955.43911130316</v>
      </c>
    </row>
    <row r="7" spans="1:6" x14ac:dyDescent="0.25">
      <c r="A7" s="6" t="s">
        <v>64</v>
      </c>
      <c r="B7" s="11">
        <v>747564.52745260624</v>
      </c>
      <c r="C7" s="11">
        <v>759880.48402165389</v>
      </c>
      <c r="D7" s="11">
        <v>772137.56636626227</v>
      </c>
      <c r="E7" s="11">
        <v>784588.96125044744</v>
      </c>
      <c r="F7" s="11">
        <v>797305.99029930646</v>
      </c>
    </row>
    <row r="8" spans="1:6" x14ac:dyDescent="0.25">
      <c r="A8" s="6"/>
      <c r="B8" s="6"/>
      <c r="C8" s="6"/>
      <c r="D8" s="6"/>
      <c r="E8" s="6"/>
      <c r="F8" s="6"/>
    </row>
    <row r="9" spans="1:6" x14ac:dyDescent="0.25">
      <c r="A9" s="9" t="s">
        <v>195</v>
      </c>
      <c r="B9" s="68">
        <v>10041.540000000001</v>
      </c>
      <c r="C9" s="68">
        <v>10651.75</v>
      </c>
      <c r="D9" s="68">
        <v>11233.28</v>
      </c>
      <c r="E9" s="68">
        <v>11748.1</v>
      </c>
      <c r="F9" s="68">
        <v>12311.45</v>
      </c>
    </row>
    <row r="10" spans="1:6" x14ac:dyDescent="0.25">
      <c r="A10" t="s">
        <v>7</v>
      </c>
      <c r="B10" s="68">
        <f>B24</f>
        <v>783.74106678096985</v>
      </c>
      <c r="C10" s="68">
        <f t="shared" ref="C10:F10" si="0">C24</f>
        <v>773.23107964764858</v>
      </c>
      <c r="D10" s="68">
        <f t="shared" si="0"/>
        <v>722.4911073917508</v>
      </c>
      <c r="E10" s="68">
        <f t="shared" si="0"/>
        <v>724.13113582053074</v>
      </c>
      <c r="F10" s="68">
        <f t="shared" si="0"/>
        <v>725.81000000000006</v>
      </c>
    </row>
    <row r="11" spans="1:6" x14ac:dyDescent="0.25">
      <c r="A11" t="s">
        <v>8</v>
      </c>
      <c r="B11" s="68">
        <f>B40</f>
        <v>-173.532422</v>
      </c>
      <c r="C11" s="68">
        <f t="shared" ref="C11:F11" si="1">C40</f>
        <v>-191.70002499999998</v>
      </c>
      <c r="D11" s="68">
        <f t="shared" si="1"/>
        <v>-207.66470399999997</v>
      </c>
      <c r="E11" s="68">
        <f t="shared" si="1"/>
        <v>-160.77382999999998</v>
      </c>
      <c r="F11" s="68">
        <f t="shared" si="1"/>
        <v>-170.275735</v>
      </c>
    </row>
    <row r="12" spans="1:6" x14ac:dyDescent="0.25">
      <c r="A12" t="s">
        <v>9</v>
      </c>
      <c r="B12" s="68">
        <f>B9+B10+B11</f>
        <v>10651.74864478097</v>
      </c>
      <c r="C12" s="68">
        <f t="shared" ref="C12:F12" si="2">C9+C10+C11</f>
        <v>11233.281054647648</v>
      </c>
      <c r="D12" s="68">
        <f t="shared" si="2"/>
        <v>11748.10640339175</v>
      </c>
      <c r="E12" s="68">
        <f t="shared" si="2"/>
        <v>12311.457305820531</v>
      </c>
      <c r="F12" s="68">
        <f t="shared" si="2"/>
        <v>12866.984265000001</v>
      </c>
    </row>
    <row r="13" spans="1:6" x14ac:dyDescent="0.25">
      <c r="B13" s="4"/>
      <c r="C13" s="4"/>
      <c r="D13" s="4"/>
      <c r="E13" s="4"/>
      <c r="F13" s="4"/>
    </row>
    <row r="14" spans="1:6" x14ac:dyDescent="0.25">
      <c r="A14" s="9" t="s">
        <v>196</v>
      </c>
      <c r="B14" s="4"/>
      <c r="C14" s="4"/>
      <c r="D14" s="4"/>
      <c r="E14" s="4"/>
      <c r="F14" s="4"/>
    </row>
    <row r="15" spans="1:6" x14ac:dyDescent="0.25">
      <c r="A15" t="s">
        <v>46</v>
      </c>
      <c r="B15" s="69">
        <f>'[1]Total CAPEX'!L2*'[1]Total CAPEX'!L$20/1000</f>
        <v>272.67561654018539</v>
      </c>
      <c r="C15" s="69">
        <f>'[1]Total CAPEX'!M2*'[1]Total CAPEX'!M$20/1000</f>
        <v>309.13011299085764</v>
      </c>
      <c r="D15" s="69">
        <f>'[1]Total CAPEX'!N2*'[1]Total CAPEX'!N$20/1000</f>
        <v>283.13460067696235</v>
      </c>
      <c r="E15" s="69">
        <f>'[1]Total CAPEX'!O2*'[1]Total CAPEX'!O$20/1000</f>
        <v>320.45358968289742</v>
      </c>
      <c r="F15" s="69">
        <f>'[1]Total CAPEX'!P2*'[1]Total CAPEX'!P$20/1000</f>
        <v>324.24785569644791</v>
      </c>
    </row>
    <row r="16" spans="1:6" x14ac:dyDescent="0.25">
      <c r="A16" t="s">
        <v>47</v>
      </c>
      <c r="B16" s="69">
        <f>'[1]Total CAPEX'!L3*'[1]Total CAPEX'!L$20/1000</f>
        <v>182.80892087200172</v>
      </c>
      <c r="C16" s="69">
        <f>'[1]Total CAPEX'!M3*'[1]Total CAPEX'!M$20/1000</f>
        <v>187.81010671553179</v>
      </c>
      <c r="D16" s="69">
        <f>'[1]Total CAPEX'!N3*'[1]Total CAPEX'!N$20/1000</f>
        <v>196.61851275161763</v>
      </c>
      <c r="E16" s="69">
        <f>'[1]Total CAPEX'!O3*'[1]Total CAPEX'!O$20/1000</f>
        <v>150.19977119410163</v>
      </c>
      <c r="F16" s="69">
        <f>'[1]Total CAPEX'!P3*'[1]Total CAPEX'!P$20/1000</f>
        <v>157.72019082947381</v>
      </c>
    </row>
    <row r="17" spans="1:6" x14ac:dyDescent="0.25">
      <c r="A17" t="s">
        <v>48</v>
      </c>
      <c r="B17" s="69">
        <f>'[1]Total CAPEX'!L4*'[1]Total CAPEX'!L$20/1000</f>
        <v>233.71250840299876</v>
      </c>
      <c r="C17" s="69">
        <f>'[1]Total CAPEX'!M4*'[1]Total CAPEX'!M$20/1000</f>
        <v>243.99928894026311</v>
      </c>
      <c r="D17" s="69">
        <f>'[1]Total CAPEX'!N4*'[1]Total CAPEX'!N$20/1000</f>
        <v>265.12730341671568</v>
      </c>
      <c r="E17" s="69">
        <f>'[1]Total CAPEX'!O4*'[1]Total CAPEX'!O$20/1000</f>
        <v>282.98854946906152</v>
      </c>
      <c r="F17" s="69">
        <f>'[1]Total CAPEX'!P4*'[1]Total CAPEX'!P$20/1000</f>
        <v>297.41535013669841</v>
      </c>
    </row>
    <row r="18" spans="1:6" x14ac:dyDescent="0.25">
      <c r="A18" t="s">
        <v>49</v>
      </c>
      <c r="B18" s="69">
        <f>'[1]Total CAPEX'!L5*'[1]Total CAPEX'!L$20/1000</f>
        <v>3.5854508391491717</v>
      </c>
      <c r="C18" s="69">
        <f>'[1]Total CAPEX'!M5*'[1]Total CAPEX'!M$20/1000</f>
        <v>3.6708020053048669</v>
      </c>
      <c r="D18" s="69">
        <f>'[1]Total CAPEX'!N5*'[1]Total CAPEX'!N$20/1000</f>
        <v>3.905770705177416</v>
      </c>
      <c r="E18" s="69">
        <f>'[1]Total CAPEX'!O5*'[1]Total CAPEX'!O$20/1000</f>
        <v>4.0923613730620181</v>
      </c>
      <c r="F18" s="69">
        <f>'[1]Total CAPEX'!P5*'[1]Total CAPEX'!P$20/1000</f>
        <v>4.2383056280986677</v>
      </c>
    </row>
    <row r="19" spans="1:6" x14ac:dyDescent="0.25">
      <c r="A19" t="s">
        <v>50</v>
      </c>
      <c r="B19" s="69">
        <f>'[1]Total CAPEX'!L6*'[1]Total CAPEX'!L$20/1000</f>
        <v>44.879475395122178</v>
      </c>
      <c r="C19" s="69">
        <f>'[1]Total CAPEX'!M6*'[1]Total CAPEX'!M$20/1000</f>
        <v>33.523059489622383</v>
      </c>
      <c r="D19" s="69">
        <f>'[1]Total CAPEX'!N6*'[1]Total CAPEX'!N$20/1000</f>
        <v>22.826666159858824</v>
      </c>
      <c r="E19" s="69">
        <f>'[1]Total CAPEX'!O6*'[1]Total CAPEX'!O$20/1000</f>
        <v>33.429469867322041</v>
      </c>
      <c r="F19" s="69">
        <f>'[1]Total CAPEX'!P6*'[1]Total CAPEX'!P$20/1000</f>
        <v>29.950071766674146</v>
      </c>
    </row>
    <row r="20" spans="1:6" x14ac:dyDescent="0.25">
      <c r="A20" t="s">
        <v>51</v>
      </c>
      <c r="B20" s="69">
        <f>'[1]Total CAPEX'!L7*'[1]Total CAPEX'!L$20/1000</f>
        <v>189.40909473151257</v>
      </c>
      <c r="C20" s="69">
        <f>'[1]Total CAPEX'!M7*'[1]Total CAPEX'!M$20/1000</f>
        <v>147.47770950606886</v>
      </c>
      <c r="D20" s="69">
        <f>'[1]Total CAPEX'!N7*'[1]Total CAPEX'!N$20/1000</f>
        <v>116.96825368141894</v>
      </c>
      <c r="E20" s="69">
        <f>'[1]Total CAPEX'!O7*'[1]Total CAPEX'!O$20/1000</f>
        <v>110.96739423408633</v>
      </c>
      <c r="F20" s="69">
        <f>'[1]Total CAPEX'!P7*'[1]Total CAPEX'!P$20/1000</f>
        <v>100.03822594260707</v>
      </c>
    </row>
    <row r="21" spans="1:6" x14ac:dyDescent="0.25">
      <c r="A21" t="s">
        <v>12</v>
      </c>
      <c r="B21" s="4">
        <f>SUM(B15:B20)</f>
        <v>927.07106678096989</v>
      </c>
      <c r="C21" s="4">
        <f>SUM(C15:C20)</f>
        <v>925.61107964764858</v>
      </c>
      <c r="D21" s="4">
        <f t="shared" ref="D21:F21" si="3">SUM(D15:D20)</f>
        <v>888.58110739175083</v>
      </c>
      <c r="E21" s="4">
        <f t="shared" si="3"/>
        <v>902.13113582053086</v>
      </c>
      <c r="F21" s="4">
        <f t="shared" si="3"/>
        <v>913.61</v>
      </c>
    </row>
    <row r="22" spans="1:6" x14ac:dyDescent="0.25">
      <c r="A22" t="s">
        <v>10</v>
      </c>
      <c r="B22" s="4">
        <v>-135.96</v>
      </c>
      <c r="C22" s="4">
        <v>-144.82</v>
      </c>
      <c r="D22" s="4">
        <v>-158.34</v>
      </c>
      <c r="E22" s="4">
        <v>-170.05</v>
      </c>
      <c r="F22" s="4">
        <v>-179.64</v>
      </c>
    </row>
    <row r="23" spans="1:6" x14ac:dyDescent="0.25">
      <c r="A23" t="s">
        <v>11</v>
      </c>
      <c r="B23" s="4">
        <v>-7.37</v>
      </c>
      <c r="C23" s="4">
        <v>-7.56</v>
      </c>
      <c r="D23" s="4">
        <v>-7.75</v>
      </c>
      <c r="E23" s="4">
        <v>-7.95</v>
      </c>
      <c r="F23" s="4">
        <v>-8.16</v>
      </c>
    </row>
    <row r="24" spans="1:6" x14ac:dyDescent="0.25">
      <c r="A24" t="s">
        <v>75</v>
      </c>
      <c r="B24" s="4">
        <f>B21+B22+B23</f>
        <v>783.74106678096985</v>
      </c>
      <c r="C24" s="4">
        <f t="shared" ref="C24:F24" si="4">C21+C22+C23</f>
        <v>773.23107964764858</v>
      </c>
      <c r="D24" s="4">
        <f t="shared" si="4"/>
        <v>722.4911073917508</v>
      </c>
      <c r="E24" s="4">
        <f t="shared" si="4"/>
        <v>724.13113582053074</v>
      </c>
      <c r="F24" s="4">
        <f t="shared" si="4"/>
        <v>725.81000000000006</v>
      </c>
    </row>
    <row r="26" spans="1:6" x14ac:dyDescent="0.25">
      <c r="A26" s="9" t="s">
        <v>66</v>
      </c>
    </row>
    <row r="27" spans="1:6" x14ac:dyDescent="0.25">
      <c r="A27" t="s">
        <v>13</v>
      </c>
      <c r="B27" t="s">
        <v>70</v>
      </c>
    </row>
    <row r="28" spans="1:6" x14ac:dyDescent="0.25">
      <c r="A28" t="s">
        <v>14</v>
      </c>
      <c r="B28" s="1">
        <v>0.3</v>
      </c>
    </row>
    <row r="29" spans="1:6" x14ac:dyDescent="0.25">
      <c r="A29" t="s">
        <v>15</v>
      </c>
      <c r="B29" s="2">
        <v>3.6299999999999999E-2</v>
      </c>
    </row>
    <row r="30" spans="1:6" x14ac:dyDescent="0.25">
      <c r="A30" t="s">
        <v>16</v>
      </c>
      <c r="B30" s="2">
        <v>2.5700000000000001E-2</v>
      </c>
    </row>
    <row r="31" spans="1:6" x14ac:dyDescent="0.25">
      <c r="A31" t="s">
        <v>17</v>
      </c>
      <c r="B31" s="2">
        <v>0.1052</v>
      </c>
    </row>
    <row r="32" spans="1:6" x14ac:dyDescent="0.25">
      <c r="A32" t="s">
        <v>18</v>
      </c>
      <c r="B32" s="1">
        <v>0.25</v>
      </c>
    </row>
    <row r="33" spans="1:6" x14ac:dyDescent="0.25">
      <c r="A33" t="s">
        <v>19</v>
      </c>
      <c r="B33" s="1">
        <v>0.6</v>
      </c>
    </row>
    <row r="34" spans="1:6" x14ac:dyDescent="0.25">
      <c r="A34" t="s">
        <v>20</v>
      </c>
      <c r="B34" s="2">
        <v>6.3600000000000004E-2</v>
      </c>
    </row>
    <row r="35" spans="1:6" x14ac:dyDescent="0.25">
      <c r="A35" t="s">
        <v>21</v>
      </c>
      <c r="B35" s="3">
        <v>1.97E-3</v>
      </c>
    </row>
    <row r="37" spans="1:6" x14ac:dyDescent="0.25">
      <c r="A37" s="9" t="s">
        <v>197</v>
      </c>
    </row>
    <row r="38" spans="1:6" x14ac:dyDescent="0.25">
      <c r="A38" t="s">
        <v>22</v>
      </c>
      <c r="B38">
        <v>-431.6</v>
      </c>
      <c r="C38">
        <v>-465.45</v>
      </c>
      <c r="D38">
        <v>-496.36</v>
      </c>
      <c r="E38">
        <v>-462.7</v>
      </c>
      <c r="F38">
        <v>-486.68</v>
      </c>
    </row>
    <row r="39" spans="1:6" x14ac:dyDescent="0.25">
      <c r="A39" t="s">
        <v>23</v>
      </c>
      <c r="B39" s="4">
        <f>B9*$B$30</f>
        <v>258.06757800000003</v>
      </c>
      <c r="C39" s="4">
        <f>C9*$B$30</f>
        <v>273.74997500000001</v>
      </c>
      <c r="D39" s="4">
        <f>D9*$B$30</f>
        <v>288.69529600000004</v>
      </c>
      <c r="E39" s="4">
        <f>E9*$B$30</f>
        <v>301.92617000000001</v>
      </c>
      <c r="F39" s="4">
        <f>F9*$B$30</f>
        <v>316.40426500000001</v>
      </c>
    </row>
    <row r="40" spans="1:6" x14ac:dyDescent="0.25">
      <c r="A40" t="s">
        <v>24</v>
      </c>
      <c r="B40" s="4">
        <f>B38+B39</f>
        <v>-173.532422</v>
      </c>
      <c r="C40" s="4">
        <f t="shared" ref="C40:F40" si="5">C38+C39</f>
        <v>-191.70002499999998</v>
      </c>
      <c r="D40" s="4">
        <f t="shared" si="5"/>
        <v>-207.66470399999997</v>
      </c>
      <c r="E40" s="4">
        <f t="shared" si="5"/>
        <v>-160.77382999999998</v>
      </c>
      <c r="F40" s="4">
        <f t="shared" si="5"/>
        <v>-170.275735</v>
      </c>
    </row>
    <row r="42" spans="1:6" x14ac:dyDescent="0.25">
      <c r="A42" s="9" t="s">
        <v>198</v>
      </c>
      <c r="B42">
        <v>-323.08999999999997</v>
      </c>
      <c r="C42">
        <v>-352.9</v>
      </c>
      <c r="D42">
        <v>-374.49</v>
      </c>
      <c r="E42">
        <v>-387.73</v>
      </c>
      <c r="F42">
        <v>-413.71</v>
      </c>
    </row>
    <row r="44" spans="1:6" x14ac:dyDescent="0.25">
      <c r="A44" s="9" t="s">
        <v>199</v>
      </c>
    </row>
    <row r="45" spans="1:6" x14ac:dyDescent="0.25">
      <c r="A45" t="s">
        <v>25</v>
      </c>
      <c r="B45">
        <v>35.14</v>
      </c>
      <c r="C45">
        <v>36.81</v>
      </c>
      <c r="D45">
        <v>39.479999999999997</v>
      </c>
      <c r="E45">
        <v>41.67</v>
      </c>
      <c r="F45">
        <v>43.52</v>
      </c>
    </row>
    <row r="46" spans="1:6" x14ac:dyDescent="0.25">
      <c r="A46" t="s">
        <v>26</v>
      </c>
      <c r="B46">
        <v>256.99</v>
      </c>
      <c r="C46">
        <v>269.20999999999998</v>
      </c>
      <c r="D46">
        <v>288.79000000000002</v>
      </c>
      <c r="E46">
        <v>304.89</v>
      </c>
      <c r="F46">
        <v>318.39999999999998</v>
      </c>
    </row>
    <row r="47" spans="1:6" x14ac:dyDescent="0.25">
      <c r="A47" t="s">
        <v>27</v>
      </c>
      <c r="B47">
        <v>66.459999999999994</v>
      </c>
      <c r="C47">
        <v>68.58</v>
      </c>
      <c r="D47">
        <v>64.099999999999994</v>
      </c>
      <c r="E47">
        <v>66.17</v>
      </c>
      <c r="F47">
        <v>68.31</v>
      </c>
    </row>
    <row r="48" spans="1:6" x14ac:dyDescent="0.25">
      <c r="A48" t="s">
        <v>28</v>
      </c>
      <c r="B48" s="4">
        <f>(B9*0.6)*0.197%</f>
        <v>11.86910028</v>
      </c>
      <c r="C48" s="4">
        <f>(C9*0.6)*0.197%</f>
        <v>12.5903685</v>
      </c>
      <c r="D48" s="4">
        <f>(D9*0.6)*0.197%</f>
        <v>13.277736959999999</v>
      </c>
      <c r="E48" s="4">
        <f>(E9*0.6)*0.197%</f>
        <v>13.8862542</v>
      </c>
      <c r="F48" s="4">
        <f>(F9*0.6)*0.197%</f>
        <v>14.552133899999999</v>
      </c>
    </row>
    <row r="49" spans="1:8" x14ac:dyDescent="0.25">
      <c r="A49" t="s">
        <v>59</v>
      </c>
      <c r="B49" s="7">
        <f>SUM(B45:B48)</f>
        <v>370.45910027999997</v>
      </c>
      <c r="C49" s="7">
        <f>SUM(C45:C48)</f>
        <v>387.19036849999998</v>
      </c>
      <c r="D49" s="7">
        <f>SUM(D45:D48)</f>
        <v>405.64773695999997</v>
      </c>
      <c r="E49" s="7">
        <f>SUM(E45:E48)</f>
        <v>426.61625420000001</v>
      </c>
      <c r="F49" s="7">
        <f>SUM(F45:F48)</f>
        <v>444.78213389999996</v>
      </c>
    </row>
    <row r="51" spans="1:8" x14ac:dyDescent="0.25">
      <c r="A51" s="12" t="s">
        <v>200</v>
      </c>
    </row>
    <row r="52" spans="1:8" x14ac:dyDescent="0.25">
      <c r="A52" s="5" t="s">
        <v>29</v>
      </c>
      <c r="B52" s="5">
        <v>154.32</v>
      </c>
      <c r="C52" s="5">
        <v>163.02000000000001</v>
      </c>
      <c r="D52" s="5">
        <v>175.33</v>
      </c>
      <c r="E52" s="5">
        <v>164.78</v>
      </c>
      <c r="F52" s="5">
        <v>171.11</v>
      </c>
    </row>
    <row r="53" spans="1:8" x14ac:dyDescent="0.25">
      <c r="A53" s="5" t="s">
        <v>30</v>
      </c>
      <c r="B53" s="5">
        <v>-38.58</v>
      </c>
      <c r="C53" s="5">
        <v>-40.75</v>
      </c>
      <c r="D53" s="5">
        <v>-43.83</v>
      </c>
      <c r="E53" s="5">
        <v>-41.19</v>
      </c>
      <c r="F53" s="5">
        <v>-42.78</v>
      </c>
    </row>
    <row r="54" spans="1:8" x14ac:dyDescent="0.25">
      <c r="A54" s="5" t="s">
        <v>31</v>
      </c>
      <c r="B54" s="5">
        <f>B52+B53</f>
        <v>115.74</v>
      </c>
      <c r="C54" s="5">
        <f t="shared" ref="C54:F54" si="6">C52+C53</f>
        <v>122.27000000000001</v>
      </c>
      <c r="D54" s="5">
        <f t="shared" si="6"/>
        <v>131.5</v>
      </c>
      <c r="E54" s="5">
        <f t="shared" si="6"/>
        <v>123.59</v>
      </c>
      <c r="F54" s="5">
        <f t="shared" si="6"/>
        <v>128.33000000000001</v>
      </c>
    </row>
    <row r="56" spans="1:8" x14ac:dyDescent="0.25">
      <c r="A56" s="9" t="s">
        <v>201</v>
      </c>
    </row>
    <row r="57" spans="1:8" x14ac:dyDescent="0.25">
      <c r="A57" t="s">
        <v>32</v>
      </c>
      <c r="B57">
        <v>37.54</v>
      </c>
      <c r="C57">
        <v>55.09</v>
      </c>
      <c r="D57">
        <v>79.67</v>
      </c>
      <c r="E57">
        <v>-18.43</v>
      </c>
      <c r="F57">
        <v>0</v>
      </c>
      <c r="H57">
        <f>SUM(B57:F57)</f>
        <v>153.87</v>
      </c>
    </row>
    <row r="58" spans="1:8" x14ac:dyDescent="0.25">
      <c r="A58" t="s">
        <v>33</v>
      </c>
      <c r="B58">
        <v>1</v>
      </c>
      <c r="C58">
        <v>1</v>
      </c>
      <c r="D58">
        <v>1</v>
      </c>
      <c r="E58">
        <v>1</v>
      </c>
      <c r="F58">
        <v>1</v>
      </c>
      <c r="H58">
        <f t="shared" ref="H58:H60" si="7">SUM(B58:F58)</f>
        <v>5</v>
      </c>
    </row>
    <row r="59" spans="1:8" x14ac:dyDescent="0.25">
      <c r="A59" t="s">
        <v>34</v>
      </c>
      <c r="B59">
        <v>30.22</v>
      </c>
      <c r="C59">
        <v>0</v>
      </c>
      <c r="D59">
        <v>0</v>
      </c>
      <c r="E59">
        <v>0</v>
      </c>
      <c r="F59">
        <v>0</v>
      </c>
      <c r="H59">
        <f t="shared" si="7"/>
        <v>30.22</v>
      </c>
    </row>
    <row r="60" spans="1:8" x14ac:dyDescent="0.25">
      <c r="A60" t="s">
        <v>35</v>
      </c>
      <c r="B60">
        <v>0</v>
      </c>
      <c r="C60">
        <v>-1.98</v>
      </c>
      <c r="D60">
        <v>0</v>
      </c>
      <c r="E60">
        <v>0</v>
      </c>
      <c r="F60">
        <v>0</v>
      </c>
      <c r="H60">
        <f t="shared" si="7"/>
        <v>-1.98</v>
      </c>
    </row>
    <row r="62" spans="1:8" x14ac:dyDescent="0.25">
      <c r="A62" s="9" t="s">
        <v>202</v>
      </c>
    </row>
    <row r="63" spans="1:8" x14ac:dyDescent="0.25">
      <c r="A63" t="s">
        <v>36</v>
      </c>
      <c r="B63">
        <v>58.57</v>
      </c>
      <c r="C63">
        <v>0</v>
      </c>
      <c r="D63">
        <v>0</v>
      </c>
      <c r="E63">
        <v>0</v>
      </c>
      <c r="F63">
        <v>0</v>
      </c>
    </row>
    <row r="64" spans="1:8" x14ac:dyDescent="0.25">
      <c r="A64" t="s">
        <v>37</v>
      </c>
      <c r="B64">
        <v>67.099999999999994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t="s">
        <v>38</v>
      </c>
      <c r="B65">
        <v>85.12</v>
      </c>
      <c r="C65">
        <v>100.5</v>
      </c>
      <c r="D65">
        <v>0</v>
      </c>
      <c r="E65">
        <v>0</v>
      </c>
      <c r="F65">
        <v>0</v>
      </c>
    </row>
    <row r="66" spans="1:6" x14ac:dyDescent="0.25">
      <c r="A66" t="s">
        <v>39</v>
      </c>
      <c r="B66">
        <v>-3.58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t="s">
        <v>40</v>
      </c>
      <c r="B67">
        <v>135.03</v>
      </c>
      <c r="C67">
        <v>124.42</v>
      </c>
      <c r="D67">
        <v>0</v>
      </c>
      <c r="E67">
        <v>0</v>
      </c>
      <c r="F67">
        <v>0</v>
      </c>
    </row>
    <row r="69" spans="1:6" x14ac:dyDescent="0.25">
      <c r="A69" s="9" t="s">
        <v>203</v>
      </c>
      <c r="B69">
        <v>-6.02</v>
      </c>
      <c r="C69">
        <v>-6.18</v>
      </c>
      <c r="D69">
        <v>-6.33</v>
      </c>
      <c r="E69">
        <v>-6.5</v>
      </c>
      <c r="F69">
        <v>-6.66</v>
      </c>
    </row>
    <row r="71" spans="1:6" x14ac:dyDescent="0.25">
      <c r="A71" s="9" t="s">
        <v>204</v>
      </c>
    </row>
    <row r="72" spans="1:6" x14ac:dyDescent="0.25">
      <c r="A72" t="s">
        <v>41</v>
      </c>
      <c r="B72" s="4">
        <f>B9*((0.6*$B$34)+(0.4*$B$31))</f>
        <v>805.73316960000011</v>
      </c>
      <c r="C72" s="4">
        <f>C9*((0.6*$B$34)+(0.4*$B$31))</f>
        <v>854.6964200000001</v>
      </c>
      <c r="D72" s="4">
        <f>D9*((0.6*$B$34)+(0.4*$B$31))</f>
        <v>901.35838720000015</v>
      </c>
      <c r="E72" s="4">
        <f>E9*((0.6*$B$34)+(0.4*$B$31))</f>
        <v>942.66754400000013</v>
      </c>
      <c r="F72" s="4">
        <f>F9*((0.6*$B$34)+(0.4*$B$31))</f>
        <v>987.87074800000016</v>
      </c>
    </row>
    <row r="73" spans="1:6" x14ac:dyDescent="0.25">
      <c r="A73" t="s">
        <v>42</v>
      </c>
      <c r="B73" s="4">
        <f>-B40</f>
        <v>173.532422</v>
      </c>
      <c r="C73" s="4">
        <f>-C40</f>
        <v>191.70002499999998</v>
      </c>
      <c r="D73" s="4">
        <f>-D40</f>
        <v>207.66470399999997</v>
      </c>
      <c r="E73" s="4">
        <f>-E40</f>
        <v>160.77382999999998</v>
      </c>
      <c r="F73" s="4">
        <f>-F40</f>
        <v>170.275735</v>
      </c>
    </row>
    <row r="74" spans="1:6" x14ac:dyDescent="0.25">
      <c r="A74" t="s">
        <v>43</v>
      </c>
      <c r="B74" s="7">
        <f>SUM(B45:B48)</f>
        <v>370.45910027999997</v>
      </c>
      <c r="C74" s="7">
        <f>SUM(C45:C48)</f>
        <v>387.19036849999998</v>
      </c>
      <c r="D74" s="7">
        <f>SUM(D45:D48)</f>
        <v>405.64773695999997</v>
      </c>
      <c r="E74" s="7">
        <f>SUM(E45:E48)</f>
        <v>426.61625420000001</v>
      </c>
      <c r="F74" s="7">
        <f>SUM(F45:F48)</f>
        <v>444.78213389999996</v>
      </c>
    </row>
    <row r="75" spans="1:6" x14ac:dyDescent="0.25">
      <c r="A75" t="s">
        <v>44</v>
      </c>
      <c r="B75">
        <f>B54</f>
        <v>115.74</v>
      </c>
      <c r="C75">
        <f t="shared" ref="C75:F75" si="8">C54</f>
        <v>122.27000000000001</v>
      </c>
      <c r="D75">
        <f t="shared" si="8"/>
        <v>131.5</v>
      </c>
      <c r="E75">
        <f t="shared" si="8"/>
        <v>123.59</v>
      </c>
      <c r="F75">
        <f t="shared" si="8"/>
        <v>128.33000000000001</v>
      </c>
    </row>
    <row r="76" spans="1:6" x14ac:dyDescent="0.25">
      <c r="A76" t="s">
        <v>45</v>
      </c>
      <c r="B76" s="6">
        <f>B69+B57+B63</f>
        <v>90.09</v>
      </c>
      <c r="C76" s="6">
        <f t="shared" ref="C76:F76" si="9">C69+C57+C63</f>
        <v>48.910000000000004</v>
      </c>
      <c r="D76" s="6">
        <f t="shared" si="9"/>
        <v>73.34</v>
      </c>
      <c r="E76" s="6">
        <f t="shared" si="9"/>
        <v>-24.93</v>
      </c>
      <c r="F76" s="6">
        <f t="shared" si="9"/>
        <v>-6.66</v>
      </c>
    </row>
    <row r="77" spans="1:6" x14ac:dyDescent="0.25">
      <c r="A77" t="s">
        <v>56</v>
      </c>
      <c r="B77" s="4">
        <f>SUM(B72:B76)</f>
        <v>1555.5546918800001</v>
      </c>
      <c r="C77" s="4">
        <f t="shared" ref="C77:F77" si="10">SUM(C72:C76)</f>
        <v>1604.7668135000001</v>
      </c>
      <c r="D77" s="4">
        <f t="shared" si="10"/>
        <v>1719.5108281600001</v>
      </c>
      <c r="E77" s="4">
        <f t="shared" si="10"/>
        <v>1628.7176281999998</v>
      </c>
      <c r="F77" s="4">
        <f t="shared" si="10"/>
        <v>1724.5986169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showRuler="0" workbookViewId="0">
      <selection activeCell="C22" sqref="C22"/>
    </sheetView>
  </sheetViews>
  <sheetFormatPr defaultColWidth="11" defaultRowHeight="15.75" x14ac:dyDescent="0.25"/>
  <cols>
    <col min="1" max="1" width="33.875" customWidth="1"/>
    <col min="2" max="6" width="11.5" bestFit="1" customWidth="1"/>
  </cols>
  <sheetData>
    <row r="1" spans="1:9" ht="26.25" x14ac:dyDescent="0.4">
      <c r="A1" s="84"/>
    </row>
    <row r="2" spans="1:9" x14ac:dyDescent="0.25">
      <c r="A2" t="s">
        <v>6</v>
      </c>
      <c r="B2" t="s">
        <v>0</v>
      </c>
      <c r="C2" t="s">
        <v>1</v>
      </c>
      <c r="D2" t="s">
        <v>2</v>
      </c>
      <c r="E2" t="s">
        <v>3</v>
      </c>
      <c r="F2" t="s">
        <v>4</v>
      </c>
    </row>
    <row r="3" spans="1:9" x14ac:dyDescent="0.25">
      <c r="A3" s="9" t="s">
        <v>62</v>
      </c>
    </row>
    <row r="4" spans="1:9" ht="15" customHeight="1" x14ac:dyDescent="0.25">
      <c r="A4" s="6" t="str">
        <f>'Alliance Forecasts'!A22</f>
        <v>System Annual Maximum Demand (MW)</v>
      </c>
      <c r="B4" s="11">
        <f>'Alliance Forecasts'!L22</f>
        <v>2420.2883000000002</v>
      </c>
      <c r="C4" s="11">
        <f>'Alliance Forecasts'!M22</f>
        <v>2430.2235999999998</v>
      </c>
      <c r="D4" s="11">
        <f>'Alliance Forecasts'!N22</f>
        <v>2440.1588999999999</v>
      </c>
      <c r="E4" s="11">
        <f>'Alliance Forecasts'!O22</f>
        <v>2450.0942</v>
      </c>
      <c r="F4" s="11">
        <f>'Alliance Forecasts'!P22</f>
        <v>2460.0295000000001</v>
      </c>
    </row>
    <row r="5" spans="1:9" x14ac:dyDescent="0.25">
      <c r="A5" s="6" t="s">
        <v>63</v>
      </c>
      <c r="B5" s="11">
        <f>'Alliance Forecasts'!L23</f>
        <v>13380.874</v>
      </c>
      <c r="C5" s="11">
        <f>'Alliance Forecasts'!M23</f>
        <v>13292.407999999999</v>
      </c>
      <c r="D5" s="11">
        <f>'Alliance Forecasts'!N23</f>
        <v>13203.941999999999</v>
      </c>
      <c r="E5" s="11">
        <f>'Alliance Forecasts'!O23</f>
        <v>13115.476000000001</v>
      </c>
      <c r="F5" s="11">
        <f>'Alliance Forecasts'!P23</f>
        <v>13027.01</v>
      </c>
      <c r="I5" s="95"/>
    </row>
    <row r="6" spans="1:9" x14ac:dyDescent="0.25">
      <c r="A6" s="6" t="s">
        <v>64</v>
      </c>
      <c r="B6" s="11">
        <f>'Alliance Forecasts'!L24</f>
        <v>746628</v>
      </c>
      <c r="C6" s="11">
        <f>'Alliance Forecasts'!M24</f>
        <v>758389</v>
      </c>
      <c r="D6" s="11">
        <f>'Alliance Forecasts'!N24</f>
        <v>770150</v>
      </c>
      <c r="E6" s="11">
        <f>'Alliance Forecasts'!O24</f>
        <v>781911</v>
      </c>
      <c r="F6" s="11">
        <f>'Alliance Forecasts'!P24</f>
        <v>793672</v>
      </c>
      <c r="I6" s="95"/>
    </row>
    <row r="7" spans="1:9" x14ac:dyDescent="0.25">
      <c r="I7" s="95"/>
    </row>
    <row r="8" spans="1:9" x14ac:dyDescent="0.25">
      <c r="A8" s="9" t="s">
        <v>205</v>
      </c>
    </row>
    <row r="9" spans="1:9" x14ac:dyDescent="0.25">
      <c r="A9" s="10" t="s">
        <v>5</v>
      </c>
      <c r="B9" s="15">
        <v>10041.540000000001</v>
      </c>
      <c r="C9" s="15">
        <v>10651.75</v>
      </c>
      <c r="D9" s="15">
        <v>11233.28</v>
      </c>
      <c r="E9" s="15">
        <v>11748.1</v>
      </c>
      <c r="F9" s="15">
        <v>12311.45</v>
      </c>
    </row>
    <row r="10" spans="1:9" ht="16.5" thickBot="1" x14ac:dyDescent="0.3">
      <c r="A10" t="s">
        <v>7</v>
      </c>
      <c r="B10" s="15">
        <f>B28</f>
        <v>505.16023764188816</v>
      </c>
      <c r="C10" s="15">
        <f t="shared" ref="C10:F10" si="0">C28</f>
        <v>478.42191378806433</v>
      </c>
      <c r="D10" s="15">
        <f t="shared" si="0"/>
        <v>428.72361873588943</v>
      </c>
      <c r="E10" s="15">
        <f t="shared" si="0"/>
        <v>401.60012334250678</v>
      </c>
      <c r="F10" s="15">
        <f t="shared" si="0"/>
        <v>381.17795246268111</v>
      </c>
    </row>
    <row r="11" spans="1:9" x14ac:dyDescent="0.25">
      <c r="A11" t="s">
        <v>8</v>
      </c>
      <c r="B11" s="15">
        <f>B51</f>
        <v>-173.532422</v>
      </c>
      <c r="C11" s="15">
        <f t="shared" ref="C11:E11" si="1">C51</f>
        <v>-191.70002499999998</v>
      </c>
      <c r="D11" s="15">
        <f t="shared" si="1"/>
        <v>-207.66470399999997</v>
      </c>
      <c r="E11" s="15">
        <f t="shared" si="1"/>
        <v>-160.77382999999998</v>
      </c>
      <c r="F11" s="15">
        <f>F51</f>
        <v>-170.275735</v>
      </c>
      <c r="H11" s="14" t="s">
        <v>68</v>
      </c>
    </row>
    <row r="12" spans="1:9" x14ac:dyDescent="0.25">
      <c r="A12" t="s">
        <v>77</v>
      </c>
      <c r="B12" s="15">
        <f>B9+B10+B11</f>
        <v>10373.167815641889</v>
      </c>
      <c r="C12" s="15">
        <f t="shared" ref="C12:F12" si="2">C9+C10+C11</f>
        <v>10938.471888788064</v>
      </c>
      <c r="D12" s="15">
        <f t="shared" si="2"/>
        <v>11454.338914735888</v>
      </c>
      <c r="E12" s="15">
        <f t="shared" si="2"/>
        <v>11988.926293342507</v>
      </c>
      <c r="F12" s="15">
        <f t="shared" si="2"/>
        <v>12522.352217462683</v>
      </c>
      <c r="H12" s="82">
        <f>F12</f>
        <v>12522.352217462683</v>
      </c>
    </row>
    <row r="13" spans="1:9" x14ac:dyDescent="0.25">
      <c r="A13" s="10" t="s">
        <v>78</v>
      </c>
      <c r="B13" s="15">
        <f>'Ergon ARR'!B12</f>
        <v>10651.74864478097</v>
      </c>
      <c r="C13" s="15">
        <f>'Ergon ARR'!C12</f>
        <v>11233.281054647648</v>
      </c>
      <c r="D13" s="15">
        <f>'Ergon ARR'!D12</f>
        <v>11748.10640339175</v>
      </c>
      <c r="E13" s="15">
        <f>'Ergon ARR'!E12</f>
        <v>12311.457305820531</v>
      </c>
      <c r="F13" s="15">
        <f>'Ergon ARR'!F12</f>
        <v>12866.984265000001</v>
      </c>
      <c r="H13" s="82">
        <f>F13</f>
        <v>12866.984265000001</v>
      </c>
    </row>
    <row r="14" spans="1:9" x14ac:dyDescent="0.25">
      <c r="A14" s="9" t="s">
        <v>79</v>
      </c>
      <c r="B14" s="18">
        <f>B12-B13</f>
        <v>-278.58082913908038</v>
      </c>
      <c r="C14" s="18">
        <f t="shared" ref="C14" si="3">C12-C13</f>
        <v>-294.80916585958403</v>
      </c>
      <c r="D14" s="18">
        <f t="shared" ref="D14" si="4">D12-D13</f>
        <v>-293.7674886558616</v>
      </c>
      <c r="E14" s="18">
        <f t="shared" ref="E14" si="5">E12-E13</f>
        <v>-322.53101247802442</v>
      </c>
      <c r="F14" s="18">
        <f t="shared" ref="F14" si="6">F12-F13</f>
        <v>-344.6320475373177</v>
      </c>
      <c r="H14" s="83">
        <f>H12-H13</f>
        <v>-344.6320475373177</v>
      </c>
    </row>
    <row r="15" spans="1:9" ht="16.5" thickBot="1" x14ac:dyDescent="0.3">
      <c r="A15" s="9" t="s">
        <v>80</v>
      </c>
      <c r="B15" s="19">
        <f>B14/B13</f>
        <v>-2.6153530131935328E-2</v>
      </c>
      <c r="C15" s="19">
        <f t="shared" ref="C15" si="7">C14/C13</f>
        <v>-2.6244261531906558E-2</v>
      </c>
      <c r="D15" s="19">
        <f t="shared" ref="D15" si="8">D14/D13</f>
        <v>-2.5005518214497029E-2</v>
      </c>
      <c r="E15" s="19">
        <f t="shared" ref="E15" si="9">E14/E13</f>
        <v>-2.6197630748842404E-2</v>
      </c>
      <c r="F15" s="19">
        <f t="shared" ref="F15" si="10">F14/F13</f>
        <v>-2.6784213024551924E-2</v>
      </c>
      <c r="H15" s="89">
        <f>H14/H13</f>
        <v>-2.6784213024551924E-2</v>
      </c>
    </row>
    <row r="16" spans="1:9" x14ac:dyDescent="0.25">
      <c r="B16" s="4"/>
      <c r="C16" s="4"/>
      <c r="D16" s="4"/>
      <c r="E16" s="4"/>
      <c r="F16" s="4"/>
    </row>
    <row r="17" spans="1:8" x14ac:dyDescent="0.25">
      <c r="A17" s="9" t="s">
        <v>206</v>
      </c>
      <c r="B17" s="4"/>
      <c r="C17" s="4"/>
      <c r="D17" s="4"/>
      <c r="E17" s="4"/>
      <c r="F17" s="4"/>
    </row>
    <row r="18" spans="1:8" x14ac:dyDescent="0.25">
      <c r="A18" s="6" t="s">
        <v>215</v>
      </c>
      <c r="B18" s="11">
        <f>'Alliance CAPEX'!L29</f>
        <v>134.86676946</v>
      </c>
      <c r="C18" s="11">
        <f>'Alliance CAPEX'!M29</f>
        <v>134.86676946</v>
      </c>
      <c r="D18" s="11">
        <f>'Alliance CAPEX'!N29</f>
        <v>134.86676946</v>
      </c>
      <c r="E18" s="11">
        <f>'Alliance CAPEX'!O29</f>
        <v>134.86676946</v>
      </c>
      <c r="F18" s="11">
        <f>'Alliance CAPEX'!P29</f>
        <v>134.86676946</v>
      </c>
    </row>
    <row r="19" spans="1:8" x14ac:dyDescent="0.25">
      <c r="A19" s="6" t="s">
        <v>216</v>
      </c>
      <c r="B19" s="11">
        <f>'Alliance CAPEX'!L41</f>
        <v>79.536788904857147</v>
      </c>
      <c r="C19" s="11">
        <f>'Alliance CAPEX'!M41</f>
        <v>82.813892798004289</v>
      </c>
      <c r="D19" s="11">
        <f>'Alliance CAPEX'!N41</f>
        <v>86.698136300296213</v>
      </c>
      <c r="E19" s="11">
        <f>'Alliance CAPEX'!O41</f>
        <v>66.231798919813684</v>
      </c>
      <c r="F19" s="11">
        <f>'Alliance CAPEX'!P41</f>
        <v>69.548067680237637</v>
      </c>
    </row>
    <row r="20" spans="1:8" x14ac:dyDescent="0.25">
      <c r="A20" s="6" t="s">
        <v>217</v>
      </c>
      <c r="B20" s="11">
        <f>'Alliance CAPEX'!L53</f>
        <v>216.00420438917598</v>
      </c>
      <c r="C20" s="11">
        <f>'Alliance CAPEX'!M53</f>
        <v>247.70138921812585</v>
      </c>
      <c r="D20" s="11">
        <f>'Alliance CAPEX'!N53</f>
        <v>247.70138921812585</v>
      </c>
      <c r="E20" s="11">
        <f>'Alliance CAPEX'!O53</f>
        <v>247.70138921812585</v>
      </c>
      <c r="F20" s="11">
        <f>'Alliance CAPEX'!P53</f>
        <v>247.70138921812585</v>
      </c>
    </row>
    <row r="21" spans="1:8" x14ac:dyDescent="0.25">
      <c r="A21" t="s">
        <v>49</v>
      </c>
      <c r="B21" s="15">
        <v>3.5854508391491717</v>
      </c>
      <c r="C21" s="15">
        <v>3.6708020053048669</v>
      </c>
      <c r="D21" s="15">
        <v>3.9057707051774164</v>
      </c>
      <c r="E21" s="15">
        <v>4.0923613730620181</v>
      </c>
      <c r="F21" s="15">
        <v>4.2383056280986677</v>
      </c>
    </row>
    <row r="22" spans="1:8" x14ac:dyDescent="0.25">
      <c r="A22" t="s">
        <v>50</v>
      </c>
      <c r="B22" s="15">
        <v>44.879475395122185</v>
      </c>
      <c r="C22" s="15">
        <v>33.523059489622391</v>
      </c>
      <c r="D22" s="15">
        <v>22.826666159858824</v>
      </c>
      <c r="E22" s="15">
        <v>33.429469867322041</v>
      </c>
      <c r="F22" s="15">
        <v>29.950071766674146</v>
      </c>
    </row>
    <row r="23" spans="1:8" x14ac:dyDescent="0.25">
      <c r="A23" t="s">
        <v>51</v>
      </c>
      <c r="B23" s="15">
        <v>189.40909473151257</v>
      </c>
      <c r="C23" s="15">
        <v>147.47770950606889</v>
      </c>
      <c r="D23" s="15">
        <v>116.96825368141893</v>
      </c>
      <c r="E23" s="15">
        <v>110.96739423408633</v>
      </c>
      <c r="F23" s="15">
        <v>100.03822594260706</v>
      </c>
    </row>
    <row r="24" spans="1:8" x14ac:dyDescent="0.25">
      <c r="A24" t="s">
        <v>12</v>
      </c>
      <c r="B24" s="15">
        <f>SUM(B18:B23)</f>
        <v>668.2817837198171</v>
      </c>
      <c r="C24" s="15">
        <f>SUM(C18:C23)</f>
        <v>650.05362247712628</v>
      </c>
      <c r="D24" s="15">
        <f t="shared" ref="D24:F24" si="11">SUM(D18:D23)</f>
        <v>612.96698552487715</v>
      </c>
      <c r="E24" s="15">
        <f t="shared" si="11"/>
        <v>597.28918307240997</v>
      </c>
      <c r="F24" s="15">
        <f t="shared" si="11"/>
        <v>586.34282969574338</v>
      </c>
    </row>
    <row r="25" spans="1:8" x14ac:dyDescent="0.25">
      <c r="A25" t="s">
        <v>52</v>
      </c>
      <c r="B25" s="15">
        <f>-$B$45*B24</f>
        <v>-19.791546077928874</v>
      </c>
      <c r="C25" s="15">
        <f t="shared" ref="C25:F25" si="12">-$B$45*C24</f>
        <v>-19.251708689061957</v>
      </c>
      <c r="D25" s="15">
        <f t="shared" si="12"/>
        <v>-18.153366788987668</v>
      </c>
      <c r="E25" s="15">
        <f t="shared" si="12"/>
        <v>-17.689059729903203</v>
      </c>
      <c r="F25" s="15">
        <f t="shared" si="12"/>
        <v>-17.364877233062288</v>
      </c>
    </row>
    <row r="26" spans="1:8" ht="16.5" thickBot="1" x14ac:dyDescent="0.3">
      <c r="A26" t="s">
        <v>10</v>
      </c>
      <c r="B26" s="15">
        <v>-135.96</v>
      </c>
      <c r="C26" s="15">
        <v>-144.82</v>
      </c>
      <c r="D26" s="15">
        <v>-158.34</v>
      </c>
      <c r="E26" s="15">
        <v>-170.05</v>
      </c>
      <c r="F26" s="15">
        <v>-179.64</v>
      </c>
    </row>
    <row r="27" spans="1:8" x14ac:dyDescent="0.25">
      <c r="A27" t="s">
        <v>11</v>
      </c>
      <c r="B27" s="15">
        <v>-7.37</v>
      </c>
      <c r="C27" s="15">
        <v>-7.56</v>
      </c>
      <c r="D27" s="15">
        <v>-7.75</v>
      </c>
      <c r="E27" s="15">
        <v>-7.95</v>
      </c>
      <c r="F27" s="15">
        <v>-8.16</v>
      </c>
      <c r="H27" s="14" t="s">
        <v>68</v>
      </c>
    </row>
    <row r="28" spans="1:8" x14ac:dyDescent="0.25">
      <c r="A28" s="9" t="s">
        <v>76</v>
      </c>
      <c r="B28" s="17">
        <f>B24+B26+B27+B25</f>
        <v>505.16023764188816</v>
      </c>
      <c r="C28" s="17">
        <f t="shared" ref="C28:F28" si="13">C24+C26+C27+C25</f>
        <v>478.42191378806433</v>
      </c>
      <c r="D28" s="17">
        <f t="shared" si="13"/>
        <v>428.72361873588943</v>
      </c>
      <c r="E28" s="17">
        <f t="shared" si="13"/>
        <v>401.60012334250678</v>
      </c>
      <c r="F28" s="17">
        <f t="shared" si="13"/>
        <v>381.17795246268111</v>
      </c>
      <c r="H28" s="82">
        <f>SUM(B28:F28)</f>
        <v>2195.0838459710299</v>
      </c>
    </row>
    <row r="29" spans="1:8" x14ac:dyDescent="0.25">
      <c r="A29" s="9" t="s">
        <v>74</v>
      </c>
      <c r="B29" s="17">
        <f>'Ergon ARR'!B24</f>
        <v>783.74106678096985</v>
      </c>
      <c r="C29" s="17">
        <f>'Ergon ARR'!C24</f>
        <v>773.23107964764858</v>
      </c>
      <c r="D29" s="17">
        <f>'Ergon ARR'!D24</f>
        <v>722.4911073917508</v>
      </c>
      <c r="E29" s="17">
        <f>'Ergon ARR'!E24</f>
        <v>724.13113582053074</v>
      </c>
      <c r="F29" s="17">
        <f>'Ergon ARR'!F24</f>
        <v>725.81000000000006</v>
      </c>
      <c r="H29" s="82">
        <f>SUM(B29:F29)</f>
        <v>3729.4043896409003</v>
      </c>
    </row>
    <row r="30" spans="1:8" x14ac:dyDescent="0.25">
      <c r="A30" s="9" t="s">
        <v>85</v>
      </c>
      <c r="B30" s="18">
        <f>B28-B29</f>
        <v>-278.58082913908169</v>
      </c>
      <c r="C30" s="18">
        <f t="shared" ref="C30" si="14">C28-C29</f>
        <v>-294.80916585958425</v>
      </c>
      <c r="D30" s="18">
        <f t="shared" ref="D30" si="15">D28-D29</f>
        <v>-293.76748865586137</v>
      </c>
      <c r="E30" s="18">
        <f t="shared" ref="E30" si="16">E28-E29</f>
        <v>-322.53101247802397</v>
      </c>
      <c r="F30" s="18">
        <f t="shared" ref="F30" si="17">F28-F29</f>
        <v>-344.63204753731895</v>
      </c>
      <c r="H30" s="83">
        <f>SUM(B30:F30)</f>
        <v>-1534.3205436698704</v>
      </c>
    </row>
    <row r="31" spans="1:8" ht="16.5" thickBot="1" x14ac:dyDescent="0.3">
      <c r="A31" s="9" t="s">
        <v>86</v>
      </c>
      <c r="B31" s="19">
        <f>B30/B29</f>
        <v>-0.35545008542589995</v>
      </c>
      <c r="C31" s="19">
        <f t="shared" ref="C31" si="18">C30/C29</f>
        <v>-0.38126916211635592</v>
      </c>
      <c r="D31" s="19">
        <f t="shared" ref="D31" si="19">D30/D29</f>
        <v>-0.40660360473692875</v>
      </c>
      <c r="E31" s="19">
        <f t="shared" ref="E31" si="20">E30/E29</f>
        <v>-0.44540414922575616</v>
      </c>
      <c r="F31" s="19">
        <f t="shared" ref="F31" si="21">F30/F29</f>
        <v>-0.47482405524492488</v>
      </c>
      <c r="H31" s="89">
        <f>H30/H29</f>
        <v>-0.41141168491454699</v>
      </c>
    </row>
    <row r="33" spans="1:4" x14ac:dyDescent="0.25">
      <c r="A33" s="9" t="s">
        <v>207</v>
      </c>
    </row>
    <row r="34" spans="1:4" x14ac:dyDescent="0.25">
      <c r="A34" t="s">
        <v>13</v>
      </c>
      <c r="B34" t="s">
        <v>69</v>
      </c>
      <c r="C34" t="s">
        <v>70</v>
      </c>
      <c r="D34" t="s">
        <v>71</v>
      </c>
    </row>
    <row r="35" spans="1:4" x14ac:dyDescent="0.25">
      <c r="A35" t="s">
        <v>14</v>
      </c>
      <c r="B35" s="1">
        <f>'Alliance WACC'!D3</f>
        <v>0.3</v>
      </c>
      <c r="C35" s="1">
        <f>'Ergon ARR'!B28</f>
        <v>0.3</v>
      </c>
      <c r="D35" s="1"/>
    </row>
    <row r="36" spans="1:4" x14ac:dyDescent="0.25">
      <c r="A36" t="s">
        <v>15</v>
      </c>
      <c r="B36" s="2">
        <f>'Alliance WACC'!D28</f>
        <v>3.6299999999999999E-2</v>
      </c>
      <c r="C36" s="2">
        <f>'Ergon ARR'!B29</f>
        <v>3.6299999999999999E-2</v>
      </c>
      <c r="D36" s="2">
        <f t="shared" ref="D36:D41" si="22">B36-C36</f>
        <v>0</v>
      </c>
    </row>
    <row r="37" spans="1:4" x14ac:dyDescent="0.25">
      <c r="A37" t="s">
        <v>16</v>
      </c>
      <c r="B37" s="88">
        <f>'Alliance WACC'!D4</f>
        <v>2.5700000000000001E-2</v>
      </c>
      <c r="C37" s="2">
        <f>'Ergon ARR'!B30</f>
        <v>2.5700000000000001E-2</v>
      </c>
      <c r="D37" s="1"/>
    </row>
    <row r="38" spans="1:4" x14ac:dyDescent="0.25">
      <c r="A38" t="s">
        <v>17</v>
      </c>
      <c r="B38" s="2">
        <f>'Alliance WACC'!D31</f>
        <v>3.6895999999999998E-2</v>
      </c>
      <c r="C38" s="2">
        <f>'Ergon ARR'!B31</f>
        <v>0.1052</v>
      </c>
      <c r="D38" s="2">
        <f t="shared" si="22"/>
        <v>-6.8304000000000004E-2</v>
      </c>
    </row>
    <row r="39" spans="1:4" x14ac:dyDescent="0.25">
      <c r="A39" t="s">
        <v>18</v>
      </c>
      <c r="B39" s="1">
        <f>'Alliance WACC'!D6</f>
        <v>0.25</v>
      </c>
      <c r="C39" s="1">
        <f>'Ergon ARR'!B32</f>
        <v>0.25</v>
      </c>
      <c r="D39" s="1"/>
    </row>
    <row r="40" spans="1:4" x14ac:dyDescent="0.25">
      <c r="A40" t="s">
        <v>19</v>
      </c>
      <c r="B40" s="1">
        <f>'Alliance WACC'!D5</f>
        <v>0.6</v>
      </c>
      <c r="C40" s="1">
        <f>'Ergon ARR'!B33</f>
        <v>0.6</v>
      </c>
      <c r="D40" s="1"/>
    </row>
    <row r="41" spans="1:4" x14ac:dyDescent="0.25">
      <c r="A41" t="s">
        <v>20</v>
      </c>
      <c r="B41" s="88">
        <f>'Alliance WACC'!D10</f>
        <v>3.6499999999999998E-2</v>
      </c>
      <c r="C41" s="2">
        <f>'Ergon ARR'!B34</f>
        <v>6.3600000000000004E-2</v>
      </c>
      <c r="D41" s="2">
        <f t="shared" si="22"/>
        <v>-2.7100000000000006E-2</v>
      </c>
    </row>
    <row r="42" spans="1:4" x14ac:dyDescent="0.25">
      <c r="A42" t="s">
        <v>21</v>
      </c>
      <c r="B42" s="3">
        <f>'Alliance WACC'!D7</f>
        <v>1.97E-3</v>
      </c>
      <c r="C42" s="3">
        <f>'Ergon ARR'!B35</f>
        <v>1.97E-3</v>
      </c>
      <c r="D42" s="1"/>
    </row>
    <row r="43" spans="1:4" x14ac:dyDescent="0.25">
      <c r="B43" s="3"/>
    </row>
    <row r="44" spans="1:4" x14ac:dyDescent="0.25">
      <c r="A44" s="9" t="s">
        <v>60</v>
      </c>
      <c r="B44" s="3"/>
    </row>
    <row r="45" spans="1:4" x14ac:dyDescent="0.25">
      <c r="A45" t="s">
        <v>53</v>
      </c>
      <c r="B45" s="2">
        <f>'Alliance Productivity'!A59</f>
        <v>2.9615570198194496E-2</v>
      </c>
    </row>
    <row r="46" spans="1:4" x14ac:dyDescent="0.25">
      <c r="A46" t="s">
        <v>54</v>
      </c>
      <c r="B46" s="2">
        <f>'Alliance Productivity'!A28</f>
        <v>0.13723677710233026</v>
      </c>
    </row>
    <row r="48" spans="1:4" x14ac:dyDescent="0.25">
      <c r="A48" s="9" t="s">
        <v>208</v>
      </c>
    </row>
    <row r="49" spans="1:8" x14ac:dyDescent="0.25">
      <c r="A49" t="s">
        <v>22</v>
      </c>
      <c r="B49">
        <v>-431.6</v>
      </c>
      <c r="C49">
        <v>-465.45</v>
      </c>
      <c r="D49">
        <v>-496.36</v>
      </c>
      <c r="E49">
        <v>-462.7</v>
      </c>
      <c r="F49">
        <v>-486.68</v>
      </c>
    </row>
    <row r="50" spans="1:8" x14ac:dyDescent="0.25">
      <c r="A50" t="s">
        <v>23</v>
      </c>
      <c r="B50" s="4">
        <f>B9*$B$37</f>
        <v>258.06757800000003</v>
      </c>
      <c r="C50" s="4">
        <f>C9*$B$37</f>
        <v>273.74997500000001</v>
      </c>
      <c r="D50" s="4">
        <f>D9*$B$37</f>
        <v>288.69529600000004</v>
      </c>
      <c r="E50" s="4">
        <f>E9*$B$37</f>
        <v>301.92617000000001</v>
      </c>
      <c r="F50" s="4">
        <f>F9*$B$37</f>
        <v>316.40426500000001</v>
      </c>
    </row>
    <row r="51" spans="1:8" x14ac:dyDescent="0.25">
      <c r="A51" t="s">
        <v>24</v>
      </c>
      <c r="B51" s="4">
        <f>B49+B50</f>
        <v>-173.532422</v>
      </c>
      <c r="C51" s="4">
        <f t="shared" ref="C51:F51" si="23">C49+C50</f>
        <v>-191.70002499999998</v>
      </c>
      <c r="D51" s="4">
        <f t="shared" si="23"/>
        <v>-207.66470399999997</v>
      </c>
      <c r="E51" s="4">
        <f t="shared" si="23"/>
        <v>-160.77382999999998</v>
      </c>
      <c r="F51" s="4">
        <f t="shared" si="23"/>
        <v>-170.275735</v>
      </c>
    </row>
    <row r="53" spans="1:8" x14ac:dyDescent="0.25">
      <c r="A53" s="10" t="s">
        <v>61</v>
      </c>
      <c r="B53">
        <v>-323.08999999999997</v>
      </c>
      <c r="C53">
        <v>-352.9</v>
      </c>
      <c r="D53">
        <v>-374.49</v>
      </c>
      <c r="E53">
        <v>-387.73</v>
      </c>
      <c r="F53">
        <v>-413.71</v>
      </c>
    </row>
    <row r="55" spans="1:8" x14ac:dyDescent="0.25">
      <c r="A55" s="9" t="s">
        <v>209</v>
      </c>
    </row>
    <row r="56" spans="1:8" x14ac:dyDescent="0.25">
      <c r="A56" t="s">
        <v>87</v>
      </c>
      <c r="B56" s="11">
        <f>'Alliance OPEX'!L95</f>
        <v>308.31903465490257</v>
      </c>
      <c r="C56" s="11">
        <f>'Alliance OPEX'!M95</f>
        <v>309.43528806433636</v>
      </c>
      <c r="D56" s="11">
        <f>'Alliance OPEX'!N95</f>
        <v>310.53016198357795</v>
      </c>
      <c r="E56" s="11">
        <f>'Alliance OPEX'!O95</f>
        <v>311.45704777805781</v>
      </c>
      <c r="F56" s="11">
        <f>'Alliance OPEX'!P95</f>
        <v>312.38674245715765</v>
      </c>
    </row>
    <row r="57" spans="1:8" ht="16.5" thickBot="1" x14ac:dyDescent="0.3">
      <c r="A57" t="s">
        <v>52</v>
      </c>
      <c r="B57" s="11">
        <f>B56*-$B$46</f>
        <v>-42.312710635340501</v>
      </c>
      <c r="C57" s="11">
        <f t="shared" ref="C57:E57" si="24">C56*-$B$46</f>
        <v>-42.465901655680682</v>
      </c>
      <c r="D57" s="11">
        <f t="shared" si="24"/>
        <v>-42.616158623690801</v>
      </c>
      <c r="E57" s="11">
        <f t="shared" si="24"/>
        <v>-42.743361442867148</v>
      </c>
      <c r="F57" s="11">
        <f>F56*-$B$46</f>
        <v>-42.870949744315993</v>
      </c>
    </row>
    <row r="58" spans="1:8" x14ac:dyDescent="0.25">
      <c r="A58" t="s">
        <v>28</v>
      </c>
      <c r="B58" s="16">
        <f>(B9*$B$40)*$B$42</f>
        <v>11.86910028</v>
      </c>
      <c r="C58" s="16">
        <f t="shared" ref="C58:F58" si="25">(C9*$B$40)*$B$42</f>
        <v>12.5903685</v>
      </c>
      <c r="D58" s="16">
        <f t="shared" si="25"/>
        <v>13.277736959999999</v>
      </c>
      <c r="E58" s="16">
        <f t="shared" si="25"/>
        <v>13.8862542</v>
      </c>
      <c r="F58" s="16">
        <f t="shared" si="25"/>
        <v>14.552133899999999</v>
      </c>
      <c r="H58" s="14" t="s">
        <v>68</v>
      </c>
    </row>
    <row r="59" spans="1:8" x14ac:dyDescent="0.25">
      <c r="A59" s="9" t="s">
        <v>178</v>
      </c>
      <c r="B59" s="11">
        <f>SUM(B56:B58)</f>
        <v>277.87542429956204</v>
      </c>
      <c r="C59" s="11">
        <f t="shared" ref="C59:F59" si="26">SUM(C56:C58)</f>
        <v>279.55975490865569</v>
      </c>
      <c r="D59" s="11">
        <f t="shared" si="26"/>
        <v>281.19174031988712</v>
      </c>
      <c r="E59" s="11">
        <f t="shared" si="26"/>
        <v>282.59994053519068</v>
      </c>
      <c r="F59" s="11">
        <f t="shared" si="26"/>
        <v>284.06792661284163</v>
      </c>
      <c r="H59" s="82">
        <f>SUM(B59:F59)</f>
        <v>1405.2947866761372</v>
      </c>
    </row>
    <row r="60" spans="1:8" x14ac:dyDescent="0.25">
      <c r="A60" s="9" t="s">
        <v>179</v>
      </c>
      <c r="B60" s="11">
        <f>'Ergon ARR'!B49</f>
        <v>370.45910027999997</v>
      </c>
      <c r="C60" s="11">
        <f>'Ergon ARR'!C49</f>
        <v>387.19036849999998</v>
      </c>
      <c r="D60" s="11">
        <f>'Ergon ARR'!D49</f>
        <v>405.64773695999997</v>
      </c>
      <c r="E60" s="11">
        <f>'Ergon ARR'!E49</f>
        <v>426.61625420000001</v>
      </c>
      <c r="F60" s="11">
        <f>'Ergon ARR'!F49</f>
        <v>444.78213389999996</v>
      </c>
      <c r="H60" s="82">
        <f>SUM(B60:F60)</f>
        <v>2034.6955938399999</v>
      </c>
    </row>
    <row r="61" spans="1:8" x14ac:dyDescent="0.25">
      <c r="A61" s="9" t="s">
        <v>72</v>
      </c>
      <c r="B61" s="18">
        <f>B59-B60</f>
        <v>-92.583675980437931</v>
      </c>
      <c r="C61" s="18">
        <f t="shared" ref="C61:F61" si="27">C59-C60</f>
        <v>-107.63061359134429</v>
      </c>
      <c r="D61" s="18">
        <f t="shared" si="27"/>
        <v>-124.45599664011286</v>
      </c>
      <c r="E61" s="18">
        <f t="shared" si="27"/>
        <v>-144.01631366480933</v>
      </c>
      <c r="F61" s="18">
        <f t="shared" si="27"/>
        <v>-160.71420728715833</v>
      </c>
      <c r="H61" s="83">
        <f>SUM(B61:F61)</f>
        <v>-629.40080716386274</v>
      </c>
    </row>
    <row r="62" spans="1:8" ht="16.5" thickBot="1" x14ac:dyDescent="0.3">
      <c r="A62" s="9" t="s">
        <v>73</v>
      </c>
      <c r="B62" s="19">
        <f>B61/B60</f>
        <v>-0.24991605256953181</v>
      </c>
      <c r="C62" s="19">
        <f t="shared" ref="C62:F62" si="28">C61/C60</f>
        <v>-0.27797854065511007</v>
      </c>
      <c r="D62" s="19">
        <f t="shared" si="28"/>
        <v>-0.30680806350063572</v>
      </c>
      <c r="E62" s="19">
        <f t="shared" si="28"/>
        <v>-0.33757812143110166</v>
      </c>
      <c r="F62" s="19">
        <f t="shared" si="28"/>
        <v>-0.36133242555846812</v>
      </c>
      <c r="H62" s="89">
        <f>H61/H60</f>
        <v>-0.30933413777931257</v>
      </c>
    </row>
    <row r="63" spans="1:8" x14ac:dyDescent="0.25">
      <c r="B63" s="13"/>
      <c r="C63" s="13"/>
      <c r="D63" s="13"/>
      <c r="E63" s="13"/>
      <c r="F63" s="13"/>
    </row>
    <row r="65" spans="1:6" x14ac:dyDescent="0.25">
      <c r="A65" s="59" t="s">
        <v>210</v>
      </c>
      <c r="B65" s="6"/>
      <c r="C65" s="6"/>
      <c r="D65" s="6"/>
      <c r="E65" s="6"/>
      <c r="F65" s="6"/>
    </row>
    <row r="66" spans="1:6" x14ac:dyDescent="0.25">
      <c r="A66" s="6" t="s">
        <v>29</v>
      </c>
      <c r="B66" s="6">
        <v>154.32</v>
      </c>
      <c r="C66" s="6">
        <v>163.02000000000001</v>
      </c>
      <c r="D66" s="6">
        <v>175.33</v>
      </c>
      <c r="E66" s="6">
        <v>164.78</v>
      </c>
      <c r="F66" s="6">
        <v>171.11</v>
      </c>
    </row>
    <row r="67" spans="1:6" x14ac:dyDescent="0.25">
      <c r="A67" s="6" t="s">
        <v>30</v>
      </c>
      <c r="B67" s="6">
        <v>-38.58</v>
      </c>
      <c r="C67" s="6">
        <v>-40.75</v>
      </c>
      <c r="D67" s="6">
        <v>-43.83</v>
      </c>
      <c r="E67" s="6">
        <v>-41.19</v>
      </c>
      <c r="F67" s="6">
        <v>-42.78</v>
      </c>
    </row>
    <row r="68" spans="1:6" x14ac:dyDescent="0.25">
      <c r="A68" s="6" t="s">
        <v>31</v>
      </c>
      <c r="B68" s="6">
        <f>B66+B67</f>
        <v>115.74</v>
      </c>
      <c r="C68" s="6">
        <f t="shared" ref="C68:F68" si="29">C66+C67</f>
        <v>122.27000000000001</v>
      </c>
      <c r="D68" s="6">
        <f t="shared" si="29"/>
        <v>131.5</v>
      </c>
      <c r="E68" s="6">
        <f t="shared" si="29"/>
        <v>123.59</v>
      </c>
      <c r="F68" s="6">
        <f t="shared" si="29"/>
        <v>128.33000000000001</v>
      </c>
    </row>
    <row r="70" spans="1:6" x14ac:dyDescent="0.25">
      <c r="A70" s="9" t="s">
        <v>211</v>
      </c>
    </row>
    <row r="71" spans="1:6" x14ac:dyDescent="0.25">
      <c r="A71" t="s">
        <v>32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t="s">
        <v>33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t="s">
        <v>34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t="s">
        <v>35</v>
      </c>
      <c r="B74">
        <v>0</v>
      </c>
      <c r="C74">
        <v>0</v>
      </c>
      <c r="D74">
        <v>0</v>
      </c>
      <c r="E74">
        <v>0</v>
      </c>
      <c r="F74">
        <v>0</v>
      </c>
    </row>
    <row r="76" spans="1:6" x14ac:dyDescent="0.25">
      <c r="A76" s="9" t="s">
        <v>212</v>
      </c>
    </row>
    <row r="77" spans="1:6" x14ac:dyDescent="0.25">
      <c r="A77" t="s">
        <v>36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37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38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39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8" x14ac:dyDescent="0.25">
      <c r="A81" t="s">
        <v>40</v>
      </c>
      <c r="B81">
        <v>135.03</v>
      </c>
      <c r="C81">
        <v>124.42</v>
      </c>
      <c r="D81">
        <v>0</v>
      </c>
      <c r="E81">
        <v>0</v>
      </c>
      <c r="F81">
        <v>0</v>
      </c>
    </row>
    <row r="83" spans="1:8" x14ac:dyDescent="0.25">
      <c r="A83" s="9" t="s">
        <v>213</v>
      </c>
      <c r="B83">
        <v>-6.02</v>
      </c>
      <c r="C83">
        <v>-6.18</v>
      </c>
      <c r="D83">
        <v>-6.33</v>
      </c>
      <c r="E83">
        <v>-6.5</v>
      </c>
      <c r="F83">
        <v>-6.66</v>
      </c>
    </row>
    <row r="85" spans="1:8" x14ac:dyDescent="0.25">
      <c r="A85" s="9" t="s">
        <v>214</v>
      </c>
    </row>
    <row r="86" spans="1:8" x14ac:dyDescent="0.25">
      <c r="A86" t="s">
        <v>81</v>
      </c>
      <c r="B86" s="15">
        <f>B9*((0.6*$B$41)+(0.4*$B$38))</f>
        <v>368.10678993600004</v>
      </c>
      <c r="C86" s="15">
        <f>C9*((0.6*$B$41)+(0.4*$B$38))</f>
        <v>390.47611219999999</v>
      </c>
      <c r="D86" s="15">
        <f>D9*((0.6*$B$41)+(0.4*$B$38))</f>
        <v>411.79407155200005</v>
      </c>
      <c r="E86" s="15">
        <f>E9*((0.6*$B$41)+(0.4*$B$38))</f>
        <v>430.66654904000001</v>
      </c>
      <c r="F86" s="15">
        <f>F9*((0.6*$B$41)+(0.4*$B$38))</f>
        <v>451.31805868000004</v>
      </c>
    </row>
    <row r="87" spans="1:8" x14ac:dyDescent="0.25">
      <c r="A87" t="s">
        <v>82</v>
      </c>
      <c r="B87" s="15">
        <f>-B51</f>
        <v>173.532422</v>
      </c>
      <c r="C87" s="15">
        <f>-C51</f>
        <v>191.70002499999998</v>
      </c>
      <c r="D87" s="15">
        <f>-D51</f>
        <v>207.66470399999997</v>
      </c>
      <c r="E87" s="15">
        <f>-E51</f>
        <v>160.77382999999998</v>
      </c>
      <c r="F87" s="15">
        <f>-F51</f>
        <v>170.275735</v>
      </c>
    </row>
    <row r="88" spans="1:8" x14ac:dyDescent="0.25">
      <c r="A88" t="s">
        <v>83</v>
      </c>
      <c r="B88" s="11">
        <f>B59</f>
        <v>277.87542429956204</v>
      </c>
      <c r="C88" s="11">
        <f t="shared" ref="C88:F88" si="30">C59</f>
        <v>279.55975490865569</v>
      </c>
      <c r="D88" s="11">
        <f t="shared" si="30"/>
        <v>281.19174031988712</v>
      </c>
      <c r="E88" s="11">
        <f t="shared" si="30"/>
        <v>282.59994053519068</v>
      </c>
      <c r="F88" s="11">
        <f t="shared" si="30"/>
        <v>284.06792661284163</v>
      </c>
    </row>
    <row r="89" spans="1:8" ht="16.5" thickBot="1" x14ac:dyDescent="0.3">
      <c r="A89" t="s">
        <v>44</v>
      </c>
      <c r="B89" s="15">
        <f>B68</f>
        <v>115.74</v>
      </c>
      <c r="C89" s="15">
        <f t="shared" ref="C89:F89" si="31">C68</f>
        <v>122.27000000000001</v>
      </c>
      <c r="D89" s="15">
        <f t="shared" si="31"/>
        <v>131.5</v>
      </c>
      <c r="E89" s="15">
        <f t="shared" si="31"/>
        <v>123.59</v>
      </c>
      <c r="F89" s="15">
        <f t="shared" si="31"/>
        <v>128.33000000000001</v>
      </c>
    </row>
    <row r="90" spans="1:8" x14ac:dyDescent="0.25">
      <c r="A90" t="s">
        <v>84</v>
      </c>
      <c r="B90" s="11">
        <f>B83+B71+B77</f>
        <v>-6.02</v>
      </c>
      <c r="C90" s="11">
        <f t="shared" ref="C90:F90" si="32">C83+C71+C77</f>
        <v>-6.18</v>
      </c>
      <c r="D90" s="11">
        <f t="shared" si="32"/>
        <v>-6.33</v>
      </c>
      <c r="E90" s="11">
        <f t="shared" si="32"/>
        <v>-6.5</v>
      </c>
      <c r="F90" s="11">
        <f t="shared" si="32"/>
        <v>-6.66</v>
      </c>
      <c r="H90" s="14" t="s">
        <v>68</v>
      </c>
    </row>
    <row r="91" spans="1:8" x14ac:dyDescent="0.25">
      <c r="A91" s="9" t="s">
        <v>55</v>
      </c>
      <c r="B91" s="15">
        <f>SUM(B86:B90)</f>
        <v>929.23463623556211</v>
      </c>
      <c r="C91" s="15">
        <f t="shared" ref="C91:F91" si="33">SUM(C86:C90)</f>
        <v>977.82589210865569</v>
      </c>
      <c r="D91" s="15">
        <f t="shared" si="33"/>
        <v>1025.8205158718872</v>
      </c>
      <c r="E91" s="15">
        <f t="shared" si="33"/>
        <v>991.13031957519058</v>
      </c>
      <c r="F91" s="15">
        <f t="shared" si="33"/>
        <v>1027.3317202928415</v>
      </c>
      <c r="H91" s="82">
        <f>SUM(B91:F91)</f>
        <v>4951.3430840841374</v>
      </c>
    </row>
    <row r="92" spans="1:8" x14ac:dyDescent="0.25">
      <c r="A92" s="9" t="str">
        <f>'Ergon ARR'!A77</f>
        <v>Ergon Building block revenue (unsmoothed</v>
      </c>
      <c r="B92" s="15">
        <f>'Ergon ARR'!B77</f>
        <v>1555.5546918800001</v>
      </c>
      <c r="C92" s="15">
        <f>'Ergon ARR'!C77</f>
        <v>1604.7668135000001</v>
      </c>
      <c r="D92" s="15">
        <f>'Ergon ARR'!D77</f>
        <v>1719.5108281600001</v>
      </c>
      <c r="E92" s="15">
        <f>'Ergon ARR'!E77</f>
        <v>1628.7176281999998</v>
      </c>
      <c r="F92" s="15">
        <f>'Ergon ARR'!F77</f>
        <v>1724.5986169</v>
      </c>
      <c r="H92" s="82">
        <f>SUM(B92:F92)</f>
        <v>8233.1485786400008</v>
      </c>
    </row>
    <row r="93" spans="1:8" x14ac:dyDescent="0.25">
      <c r="A93" s="9" t="s">
        <v>57</v>
      </c>
      <c r="B93" s="71">
        <f>B91-B92</f>
        <v>-626.32005564443796</v>
      </c>
      <c r="C93" s="71">
        <f t="shared" ref="C93:F93" si="34">C91-C92</f>
        <v>-626.94092139134443</v>
      </c>
      <c r="D93" s="71">
        <f t="shared" si="34"/>
        <v>-693.69031228811286</v>
      </c>
      <c r="E93" s="71">
        <f t="shared" si="34"/>
        <v>-637.58730862480922</v>
      </c>
      <c r="F93" s="71">
        <f t="shared" si="34"/>
        <v>-697.26689660715851</v>
      </c>
      <c r="H93" s="83">
        <f>SUM(B93:F93)</f>
        <v>-3281.8054945558633</v>
      </c>
    </row>
    <row r="94" spans="1:8" ht="16.5" thickBot="1" x14ac:dyDescent="0.3">
      <c r="A94" s="9" t="s">
        <v>58</v>
      </c>
      <c r="B94" s="73">
        <f>B93/B92</f>
        <v>-0.40263454503646218</v>
      </c>
      <c r="C94" s="73">
        <f>C93/C92</f>
        <v>-0.39067415659224958</v>
      </c>
      <c r="D94" s="73">
        <f>D93/D92</f>
        <v>-0.40342305551539404</v>
      </c>
      <c r="E94" s="73">
        <f>E93/E92</f>
        <v>-0.39146583642583144</v>
      </c>
      <c r="F94" s="73">
        <f>F93/F92</f>
        <v>-0.40430677015183364</v>
      </c>
      <c r="H94" s="89">
        <f>H93/H92</f>
        <v>-0.39860880235662782</v>
      </c>
    </row>
  </sheetData>
  <mergeCells count="1">
    <mergeCell ref="I5:I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P24"/>
  <sheetViews>
    <sheetView showRuler="0" workbookViewId="0">
      <selection activeCell="L18" sqref="L18:P19"/>
    </sheetView>
  </sheetViews>
  <sheetFormatPr defaultColWidth="11" defaultRowHeight="15.75" x14ac:dyDescent="0.25"/>
  <cols>
    <col min="1" max="1" width="17.625" customWidth="1"/>
    <col min="2" max="16" width="11.5" bestFit="1" customWidth="1"/>
  </cols>
  <sheetData>
    <row r="1" spans="1:16" ht="27" thickBot="1" x14ac:dyDescent="0.45">
      <c r="A1" s="84"/>
    </row>
    <row r="2" spans="1:16" x14ac:dyDescent="0.25">
      <c r="B2" s="53" t="s">
        <v>97</v>
      </c>
      <c r="C2" s="54" t="s">
        <v>98</v>
      </c>
      <c r="D2" s="54" t="s">
        <v>99</v>
      </c>
      <c r="E2" s="54" t="s">
        <v>100</v>
      </c>
      <c r="F2" s="55" t="s">
        <v>101</v>
      </c>
      <c r="G2" s="53" t="s">
        <v>102</v>
      </c>
      <c r="H2" s="54" t="s">
        <v>103</v>
      </c>
      <c r="I2" s="54" t="s">
        <v>104</v>
      </c>
      <c r="J2" s="54" t="s">
        <v>105</v>
      </c>
      <c r="K2" s="55" t="s">
        <v>106</v>
      </c>
      <c r="L2" s="57" t="s">
        <v>0</v>
      </c>
      <c r="M2" s="57" t="s">
        <v>1</v>
      </c>
      <c r="N2" s="57" t="s">
        <v>2</v>
      </c>
      <c r="O2" s="57" t="s">
        <v>3</v>
      </c>
      <c r="P2" s="57" t="s">
        <v>4</v>
      </c>
    </row>
    <row r="3" spans="1:16" x14ac:dyDescent="0.25">
      <c r="A3" s="59" t="s">
        <v>193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</row>
    <row r="4" spans="1:16" x14ac:dyDescent="0.25">
      <c r="A4" s="6" t="s">
        <v>186</v>
      </c>
      <c r="F4">
        <v>2447</v>
      </c>
      <c r="G4" s="15">
        <v>2778</v>
      </c>
      <c r="H4" s="15">
        <v>2907</v>
      </c>
      <c r="I4" s="15">
        <v>3017</v>
      </c>
      <c r="J4" s="15">
        <v>3100</v>
      </c>
      <c r="K4" s="15">
        <v>3171</v>
      </c>
    </row>
    <row r="5" spans="1:16" x14ac:dyDescent="0.25">
      <c r="A5" s="6" t="s">
        <v>187</v>
      </c>
      <c r="B5" s="15">
        <v>2146</v>
      </c>
      <c r="C5" s="15">
        <v>2230</v>
      </c>
      <c r="D5" s="15">
        <v>2383</v>
      </c>
      <c r="E5" s="15">
        <v>2299</v>
      </c>
      <c r="F5" s="15">
        <v>2447</v>
      </c>
      <c r="G5" s="15">
        <v>2281</v>
      </c>
      <c r="H5" s="15">
        <v>2367</v>
      </c>
      <c r="I5" s="15">
        <v>2345</v>
      </c>
      <c r="J5" s="15">
        <v>2472</v>
      </c>
      <c r="L5" s="6"/>
      <c r="M5" s="6"/>
      <c r="N5" s="6"/>
      <c r="O5" s="6"/>
      <c r="P5" s="6"/>
    </row>
    <row r="6" spans="1:16" x14ac:dyDescent="0.25">
      <c r="A6" s="6" t="s">
        <v>188</v>
      </c>
      <c r="K6" s="15">
        <v>2600</v>
      </c>
      <c r="L6" s="25">
        <v>2661.5262805191887</v>
      </c>
      <c r="M6" s="25">
        <v>2656.8869509493088</v>
      </c>
      <c r="N6" s="25">
        <v>2730.8934106318266</v>
      </c>
      <c r="O6" s="25">
        <v>2801.9752565235685</v>
      </c>
      <c r="P6" s="25">
        <v>2906.1382757307001</v>
      </c>
    </row>
    <row r="7" spans="1:16" x14ac:dyDescent="0.25">
      <c r="A7" s="6" t="s">
        <v>189</v>
      </c>
      <c r="D7" s="16"/>
      <c r="E7" s="16"/>
      <c r="F7" s="16"/>
      <c r="G7" s="16"/>
      <c r="H7" s="16"/>
      <c r="I7" s="16"/>
      <c r="J7" s="16"/>
      <c r="K7" s="60"/>
      <c r="L7" s="25">
        <f>9.9353*L3+2311</f>
        <v>2420.2883000000002</v>
      </c>
      <c r="M7" s="25">
        <f t="shared" ref="M7:P7" si="0">9.9353*M3+2311</f>
        <v>2430.2235999999998</v>
      </c>
      <c r="N7" s="25">
        <f t="shared" si="0"/>
        <v>2440.1588999999999</v>
      </c>
      <c r="O7" s="25">
        <f t="shared" si="0"/>
        <v>2450.0942</v>
      </c>
      <c r="P7" s="25">
        <f t="shared" si="0"/>
        <v>2460.0295000000001</v>
      </c>
    </row>
    <row r="8" spans="1:16" x14ac:dyDescent="0.25">
      <c r="A8" s="6"/>
      <c r="L8" s="61"/>
      <c r="M8" s="61"/>
      <c r="N8" s="61"/>
      <c r="O8" s="61"/>
      <c r="P8" s="61"/>
    </row>
    <row r="9" spans="1:16" x14ac:dyDescent="0.25">
      <c r="A9" s="59" t="s">
        <v>63</v>
      </c>
      <c r="L9" s="61"/>
      <c r="M9" s="61"/>
      <c r="N9" s="61"/>
      <c r="O9" s="61"/>
      <c r="P9" s="61"/>
    </row>
    <row r="10" spans="1:16" x14ac:dyDescent="0.25">
      <c r="A10" s="6" t="s">
        <v>186</v>
      </c>
      <c r="F10" s="16">
        <f>F11</f>
        <v>14257</v>
      </c>
      <c r="G10" s="15">
        <v>15871</v>
      </c>
      <c r="H10" s="15">
        <v>16450</v>
      </c>
      <c r="I10" s="15">
        <v>16874</v>
      </c>
      <c r="J10" s="15">
        <v>17433</v>
      </c>
      <c r="K10" s="15">
        <v>17887</v>
      </c>
      <c r="L10" s="61"/>
      <c r="M10" s="61"/>
      <c r="N10" s="61"/>
      <c r="O10" s="61"/>
      <c r="P10" s="61"/>
    </row>
    <row r="11" spans="1:16" x14ac:dyDescent="0.25">
      <c r="A11" s="6" t="s">
        <v>187</v>
      </c>
      <c r="B11" s="15">
        <v>13468</v>
      </c>
      <c r="C11" s="15">
        <v>13576</v>
      </c>
      <c r="D11" s="15">
        <v>13813</v>
      </c>
      <c r="E11" s="15">
        <v>14130</v>
      </c>
      <c r="F11" s="15">
        <v>14257</v>
      </c>
      <c r="G11" s="15">
        <v>13227</v>
      </c>
      <c r="H11" s="15">
        <v>13692</v>
      </c>
      <c r="I11" s="15">
        <v>13496</v>
      </c>
      <c r="J11" s="15">
        <v>13874</v>
      </c>
      <c r="L11" s="61"/>
      <c r="M11" s="61"/>
      <c r="N11" s="61"/>
      <c r="O11" s="61"/>
      <c r="P11" s="61"/>
    </row>
    <row r="12" spans="1:16" x14ac:dyDescent="0.25">
      <c r="A12" s="6" t="s">
        <v>188</v>
      </c>
      <c r="J12" s="16"/>
      <c r="K12" s="15">
        <v>14253</v>
      </c>
      <c r="L12" s="25">
        <v>14366.549727583029</v>
      </c>
      <c r="M12" s="25">
        <v>14510.938309415524</v>
      </c>
      <c r="N12" s="25">
        <v>14662.206987237209</v>
      </c>
      <c r="O12" s="25">
        <v>14807.140275325817</v>
      </c>
      <c r="P12" s="25">
        <v>14955.43911130316</v>
      </c>
    </row>
    <row r="13" spans="1:16" x14ac:dyDescent="0.25">
      <c r="A13" s="6" t="s">
        <v>189</v>
      </c>
      <c r="B13" s="16"/>
      <c r="C13" s="16"/>
      <c r="D13" s="16"/>
      <c r="E13" s="16"/>
      <c r="F13" s="16"/>
      <c r="G13" s="16"/>
      <c r="H13" s="16"/>
      <c r="I13" s="16"/>
      <c r="J13" s="16"/>
      <c r="K13" s="11"/>
      <c r="L13" s="25">
        <f>-88.466*L3+14354</f>
        <v>13380.874</v>
      </c>
      <c r="M13" s="25">
        <f t="shared" ref="M13:P13" si="1">-88.466*M3+14354</f>
        <v>13292.407999999999</v>
      </c>
      <c r="N13" s="25">
        <f t="shared" si="1"/>
        <v>13203.941999999999</v>
      </c>
      <c r="O13" s="25">
        <f t="shared" si="1"/>
        <v>13115.476000000001</v>
      </c>
      <c r="P13" s="25">
        <f t="shared" si="1"/>
        <v>13027.01</v>
      </c>
    </row>
    <row r="14" spans="1:16" x14ac:dyDescent="0.25">
      <c r="L14" s="61"/>
      <c r="M14" s="61"/>
      <c r="N14" s="61"/>
      <c r="O14" s="61"/>
      <c r="P14" s="61"/>
    </row>
    <row r="15" spans="1:16" x14ac:dyDescent="0.25">
      <c r="A15" s="59" t="s">
        <v>192</v>
      </c>
      <c r="L15" s="61"/>
      <c r="M15" s="61"/>
      <c r="N15" s="61"/>
      <c r="O15" s="61"/>
      <c r="P15" s="61"/>
    </row>
    <row r="16" spans="1:16" x14ac:dyDescent="0.25">
      <c r="A16" s="6" t="s">
        <v>186</v>
      </c>
      <c r="G16" s="15">
        <v>684469</v>
      </c>
      <c r="H16" s="15">
        <v>695242</v>
      </c>
      <c r="I16" s="15">
        <v>706204</v>
      </c>
      <c r="J16" s="15">
        <v>717356</v>
      </c>
      <c r="K16" s="15">
        <v>728706</v>
      </c>
      <c r="L16" s="61"/>
      <c r="M16" s="61"/>
      <c r="N16" s="61"/>
      <c r="O16" s="61"/>
      <c r="P16" s="61"/>
    </row>
    <row r="17" spans="1:16" x14ac:dyDescent="0.25">
      <c r="A17" s="6" t="s">
        <v>187</v>
      </c>
      <c r="B17" s="15">
        <v>624130</v>
      </c>
      <c r="C17" s="15">
        <v>635123</v>
      </c>
      <c r="D17" s="15">
        <v>647729</v>
      </c>
      <c r="E17" s="15">
        <v>663216</v>
      </c>
      <c r="F17" s="15">
        <v>676960</v>
      </c>
      <c r="G17" s="15">
        <v>688959</v>
      </c>
      <c r="H17" s="15">
        <v>699264</v>
      </c>
      <c r="I17" s="15">
        <v>710431</v>
      </c>
      <c r="J17" s="15">
        <v>723410</v>
      </c>
      <c r="L17" s="61"/>
      <c r="M17" s="61"/>
      <c r="N17" s="61"/>
      <c r="O17" s="61"/>
      <c r="P17" s="61"/>
    </row>
    <row r="18" spans="1:16" x14ac:dyDescent="0.25">
      <c r="A18" s="6" t="s">
        <v>188</v>
      </c>
      <c r="K18" s="15">
        <v>736372</v>
      </c>
      <c r="L18" s="25">
        <v>747564.52745260624</v>
      </c>
      <c r="M18" s="25">
        <v>759880.48402165389</v>
      </c>
      <c r="N18" s="25">
        <v>772137.56636626227</v>
      </c>
      <c r="O18" s="25">
        <v>784588.96125044744</v>
      </c>
      <c r="P18" s="25">
        <v>797305.99029930646</v>
      </c>
    </row>
    <row r="19" spans="1:16" x14ac:dyDescent="0.25">
      <c r="A19" s="6" t="s">
        <v>189</v>
      </c>
      <c r="E19" s="16"/>
      <c r="F19" s="16"/>
      <c r="G19" s="16"/>
      <c r="H19" s="16"/>
      <c r="I19" s="16"/>
      <c r="J19" s="16"/>
      <c r="L19" s="25">
        <f>11761*L3+617257</f>
        <v>746628</v>
      </c>
      <c r="M19" s="25">
        <f t="shared" ref="M19:P19" si="2">11761*M3+617257</f>
        <v>758389</v>
      </c>
      <c r="N19" s="25">
        <f t="shared" si="2"/>
        <v>770150</v>
      </c>
      <c r="O19" s="25">
        <f t="shared" si="2"/>
        <v>781911</v>
      </c>
      <c r="P19" s="25">
        <f t="shared" si="2"/>
        <v>793672</v>
      </c>
    </row>
    <row r="20" spans="1:16" x14ac:dyDescent="0.25">
      <c r="L20" s="61"/>
      <c r="M20" s="61"/>
      <c r="N20" s="61"/>
      <c r="O20" s="61"/>
      <c r="P20" s="61"/>
    </row>
    <row r="21" spans="1:16" x14ac:dyDescent="0.25">
      <c r="A21" s="9" t="s">
        <v>190</v>
      </c>
    </row>
    <row r="22" spans="1:16" x14ac:dyDescent="0.25">
      <c r="A22" t="s">
        <v>193</v>
      </c>
      <c r="L22" s="22">
        <f>L7</f>
        <v>2420.2883000000002</v>
      </c>
      <c r="M22" s="22">
        <f t="shared" ref="M22:P22" si="3">M7</f>
        <v>2430.2235999999998</v>
      </c>
      <c r="N22" s="22">
        <f t="shared" si="3"/>
        <v>2440.1588999999999</v>
      </c>
      <c r="O22" s="22">
        <f t="shared" si="3"/>
        <v>2450.0942</v>
      </c>
      <c r="P22" s="22">
        <f t="shared" si="3"/>
        <v>2460.0295000000001</v>
      </c>
    </row>
    <row r="23" spans="1:16" x14ac:dyDescent="0.25">
      <c r="A23" t="s">
        <v>126</v>
      </c>
      <c r="L23" s="22">
        <f>L13</f>
        <v>13380.874</v>
      </c>
      <c r="M23" s="22">
        <f t="shared" ref="M23:P23" si="4">M13</f>
        <v>13292.407999999999</v>
      </c>
      <c r="N23" s="22">
        <f t="shared" si="4"/>
        <v>13203.941999999999</v>
      </c>
      <c r="O23" s="22">
        <f t="shared" si="4"/>
        <v>13115.476000000001</v>
      </c>
      <c r="P23" s="22">
        <f t="shared" si="4"/>
        <v>13027.01</v>
      </c>
    </row>
    <row r="24" spans="1:16" x14ac:dyDescent="0.25">
      <c r="A24" t="s">
        <v>192</v>
      </c>
      <c r="L24" s="22">
        <f>L19</f>
        <v>746628</v>
      </c>
      <c r="M24" s="22">
        <f t="shared" ref="M24:P24" si="5">M19</f>
        <v>758389</v>
      </c>
      <c r="N24" s="22">
        <f t="shared" si="5"/>
        <v>770150</v>
      </c>
      <c r="O24" s="22">
        <f t="shared" si="5"/>
        <v>781911</v>
      </c>
      <c r="P24" s="22">
        <f t="shared" si="5"/>
        <v>793672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Q59"/>
  <sheetViews>
    <sheetView showRuler="0" workbookViewId="0"/>
  </sheetViews>
  <sheetFormatPr defaultColWidth="11" defaultRowHeight="15.75" x14ac:dyDescent="0.25"/>
  <sheetData>
    <row r="1" spans="1:17" ht="26.25" x14ac:dyDescent="0.4">
      <c r="A1" s="84"/>
    </row>
    <row r="2" spans="1:17" x14ac:dyDescent="0.25">
      <c r="B2" s="97" t="s">
        <v>113</v>
      </c>
      <c r="C2" s="97"/>
      <c r="D2" s="97"/>
      <c r="E2" s="97"/>
      <c r="F2" s="97"/>
      <c r="G2" s="97"/>
      <c r="H2" s="97"/>
      <c r="I2" s="97"/>
      <c r="J2" s="97"/>
      <c r="K2" s="97"/>
      <c r="L2" s="96" t="s">
        <v>112</v>
      </c>
      <c r="M2" s="96"/>
      <c r="N2" s="96"/>
      <c r="O2" s="96"/>
      <c r="P2" s="96"/>
      <c r="Q2" s="96"/>
    </row>
    <row r="3" spans="1:17" x14ac:dyDescent="0.25">
      <c r="B3" t="s">
        <v>96</v>
      </c>
      <c r="C3" t="s">
        <v>97</v>
      </c>
      <c r="D3" t="s">
        <v>98</v>
      </c>
      <c r="E3" t="s">
        <v>99</v>
      </c>
      <c r="F3" t="s">
        <v>100</v>
      </c>
      <c r="G3" t="s">
        <v>101</v>
      </c>
      <c r="H3" t="s">
        <v>102</v>
      </c>
      <c r="I3" t="s">
        <v>103</v>
      </c>
      <c r="J3" t="s">
        <v>104</v>
      </c>
      <c r="K3" t="s">
        <v>105</v>
      </c>
      <c r="L3" s="21" t="s">
        <v>106</v>
      </c>
      <c r="M3" s="21" t="s">
        <v>0</v>
      </c>
      <c r="N3" s="21" t="s">
        <v>1</v>
      </c>
      <c r="O3" s="21" t="s">
        <v>2</v>
      </c>
      <c r="P3" s="21" t="s">
        <v>3</v>
      </c>
      <c r="Q3" s="21" t="s">
        <v>4</v>
      </c>
    </row>
    <row r="4" spans="1:17" x14ac:dyDescent="0.25"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 s="21">
        <v>11</v>
      </c>
      <c r="M4" s="21">
        <v>12</v>
      </c>
      <c r="N4" s="21">
        <v>13</v>
      </c>
      <c r="O4" s="21">
        <v>14</v>
      </c>
      <c r="P4" s="21">
        <v>15</v>
      </c>
      <c r="Q4" s="21">
        <v>16</v>
      </c>
    </row>
    <row r="5" spans="1:17" x14ac:dyDescent="0.25">
      <c r="A5" s="9" t="s">
        <v>88</v>
      </c>
    </row>
    <row r="6" spans="1:17" x14ac:dyDescent="0.25">
      <c r="A6" s="6" t="s">
        <v>90</v>
      </c>
      <c r="B6" s="11">
        <v>100</v>
      </c>
      <c r="C6" s="11">
        <v>107.90685436126823</v>
      </c>
      <c r="D6" s="11">
        <v>88.001578739639513</v>
      </c>
      <c r="E6" s="11">
        <v>94.684909880278894</v>
      </c>
      <c r="F6" s="11">
        <v>107.85422970661756</v>
      </c>
      <c r="G6" s="15">
        <v>107.95947901591896</v>
      </c>
      <c r="H6" s="15">
        <v>115.99789501381397</v>
      </c>
      <c r="I6" s="15">
        <v>122.95750559136953</v>
      </c>
      <c r="J6" s="15">
        <v>131.56163662675965</v>
      </c>
      <c r="K6" s="15">
        <v>127.72003683725825</v>
      </c>
    </row>
    <row r="7" spans="1:17" x14ac:dyDescent="0.25">
      <c r="A7" s="6" t="s">
        <v>91</v>
      </c>
      <c r="B7" s="11">
        <v>100</v>
      </c>
      <c r="C7" s="11">
        <v>102.74853153053307</v>
      </c>
      <c r="D7" s="11">
        <v>105.07591710074256</v>
      </c>
      <c r="E7" s="11">
        <v>105.30865565776348</v>
      </c>
      <c r="F7" s="11">
        <v>103.28050537515239</v>
      </c>
      <c r="G7" s="15">
        <v>107.34788872880416</v>
      </c>
      <c r="H7" s="15">
        <v>107.00432228748753</v>
      </c>
      <c r="I7" s="15">
        <v>110.91654660312533</v>
      </c>
      <c r="J7" s="15">
        <v>110.82788429568879</v>
      </c>
      <c r="K7" s="15">
        <v>110.38457275850604</v>
      </c>
    </row>
    <row r="8" spans="1:17" x14ac:dyDescent="0.25">
      <c r="A8" s="6" t="s">
        <v>92</v>
      </c>
      <c r="B8" s="11">
        <v>100</v>
      </c>
      <c r="C8" s="11">
        <v>93.447557304931706</v>
      </c>
      <c r="D8" s="11">
        <v>92.444238635486613</v>
      </c>
      <c r="E8" s="11">
        <v>85.868642432661886</v>
      </c>
      <c r="F8" s="11">
        <v>79.007486300841251</v>
      </c>
      <c r="G8" s="15">
        <v>77.795786061588331</v>
      </c>
      <c r="H8" s="15">
        <v>71.660106506135676</v>
      </c>
      <c r="I8" s="15">
        <v>70.625916493015367</v>
      </c>
      <c r="J8" s="15">
        <v>77.178359188083661</v>
      </c>
      <c r="K8" s="15">
        <v>71.096704484062684</v>
      </c>
      <c r="L8" s="24">
        <f>K8*(1+$A$28)</f>
        <v>80.853787070052235</v>
      </c>
      <c r="M8" s="24">
        <f>L8-K8+L8</f>
        <v>90.610869656041785</v>
      </c>
      <c r="N8" s="24">
        <f t="shared" ref="N8:P8" si="0">M8-L8+M8</f>
        <v>100.36795224203134</v>
      </c>
      <c r="O8" s="24">
        <f t="shared" si="0"/>
        <v>110.12503482802089</v>
      </c>
      <c r="P8" s="24">
        <f t="shared" si="0"/>
        <v>119.88211741401044</v>
      </c>
      <c r="Q8" s="24">
        <f>Q13</f>
        <v>129.63920000000002</v>
      </c>
    </row>
    <row r="9" spans="1:17" x14ac:dyDescent="0.25">
      <c r="A9" t="s">
        <v>93</v>
      </c>
      <c r="B9" s="15">
        <v>100</v>
      </c>
      <c r="C9" s="15">
        <v>103.38731610829521</v>
      </c>
      <c r="D9" s="15">
        <v>100.72938558536283</v>
      </c>
      <c r="E9" s="15">
        <v>104.62356286314747</v>
      </c>
      <c r="F9" s="15">
        <v>105.58783533193225</v>
      </c>
      <c r="G9" s="15">
        <v>106.63864507355669</v>
      </c>
      <c r="H9" s="15">
        <v>106.88589442452712</v>
      </c>
      <c r="I9" s="15">
        <v>119.42143651872914</v>
      </c>
      <c r="J9" s="15">
        <v>123.62467548522685</v>
      </c>
      <c r="K9" s="15">
        <v>121.9062924959822</v>
      </c>
      <c r="L9" s="21"/>
      <c r="M9" s="21"/>
      <c r="N9" s="21"/>
      <c r="O9" s="21"/>
    </row>
    <row r="10" spans="1:17" x14ac:dyDescent="0.25">
      <c r="A10" t="s">
        <v>94</v>
      </c>
      <c r="B10" s="15">
        <v>100</v>
      </c>
      <c r="C10" s="15">
        <v>100.3129513721714</v>
      </c>
      <c r="D10" s="15">
        <v>103.17766008666345</v>
      </c>
      <c r="E10" s="15">
        <v>104.18873375060183</v>
      </c>
      <c r="F10" s="15">
        <v>106.54790563312471</v>
      </c>
      <c r="G10" s="15">
        <v>113.44487241213288</v>
      </c>
      <c r="H10" s="15">
        <v>111.86807896003852</v>
      </c>
      <c r="I10" s="15">
        <v>115.23832450649975</v>
      </c>
      <c r="J10" s="15">
        <v>120.3659123736158</v>
      </c>
      <c r="K10" s="15">
        <v>122.5565719788156</v>
      </c>
      <c r="L10" s="21"/>
      <c r="M10" s="21"/>
      <c r="N10" s="21"/>
      <c r="O10" s="21"/>
      <c r="P10" s="21"/>
      <c r="Q10" s="21"/>
    </row>
    <row r="11" spans="1:17" x14ac:dyDescent="0.25">
      <c r="A11" t="s">
        <v>95</v>
      </c>
      <c r="B11" s="15">
        <v>100</v>
      </c>
      <c r="C11" s="15">
        <v>104.2648709315376</v>
      </c>
      <c r="D11" s="15">
        <v>108.06040199979594</v>
      </c>
      <c r="E11" s="15">
        <v>103.7037037037037</v>
      </c>
      <c r="F11" s="15">
        <v>102.57116620752984</v>
      </c>
      <c r="G11" s="15">
        <v>99.204162840526479</v>
      </c>
      <c r="H11" s="15">
        <v>98.622589531680433</v>
      </c>
      <c r="I11" s="15">
        <v>102.88746046321803</v>
      </c>
      <c r="J11" s="15">
        <v>102.03040506070809</v>
      </c>
      <c r="K11" s="15">
        <v>104.06081012141617</v>
      </c>
      <c r="L11" s="21"/>
      <c r="M11" s="21"/>
      <c r="N11" s="21"/>
      <c r="O11" s="21"/>
      <c r="P11" s="21"/>
      <c r="Q11" s="21"/>
    </row>
    <row r="12" spans="1:17" x14ac:dyDescent="0.25">
      <c r="L12" s="21"/>
      <c r="M12" s="21"/>
      <c r="N12" s="21"/>
      <c r="O12" s="21"/>
      <c r="P12" s="21"/>
      <c r="Q12" s="21"/>
    </row>
    <row r="13" spans="1:17" x14ac:dyDescent="0.25">
      <c r="A13" t="s">
        <v>89</v>
      </c>
      <c r="B13" s="15">
        <v>100</v>
      </c>
      <c r="C13" s="15">
        <v>103.65933398720281</v>
      </c>
      <c r="D13" s="15">
        <v>101.53892858810892</v>
      </c>
      <c r="E13" s="15">
        <v>102.70888795478956</v>
      </c>
      <c r="F13" s="15">
        <v>104.99976647517633</v>
      </c>
      <c r="G13" s="15">
        <v>106.64144598570829</v>
      </c>
      <c r="H13" s="15">
        <v>107.60356825930597</v>
      </c>
      <c r="I13" s="15">
        <v>113.66120218579232</v>
      </c>
      <c r="J13" s="15">
        <v>116.76241184437906</v>
      </c>
      <c r="K13" s="15">
        <v>116.55223950305916</v>
      </c>
      <c r="L13" s="22">
        <f>-0.0163*(L4^3)+0.4489*(L4^2)-1.2934*L4+102.18</f>
        <v>120.5742</v>
      </c>
      <c r="M13" s="22">
        <f t="shared" ref="M13:Q13" si="1">-0.0163*(M4^3)+0.4489*(M4^2)-1.2934*M4+102.18</f>
        <v>123.1344</v>
      </c>
      <c r="N13" s="22">
        <f t="shared" si="1"/>
        <v>125.41880000000002</v>
      </c>
      <c r="O13" s="22">
        <f t="shared" si="1"/>
        <v>127.32960000000001</v>
      </c>
      <c r="P13" s="22">
        <f t="shared" si="1"/>
        <v>128.76900000000001</v>
      </c>
      <c r="Q13" s="22">
        <f t="shared" si="1"/>
        <v>129.63920000000002</v>
      </c>
    </row>
    <row r="15" spans="1:17" x14ac:dyDescent="0.25">
      <c r="A15" s="9" t="s">
        <v>109</v>
      </c>
      <c r="L15" s="20"/>
    </row>
    <row r="16" spans="1:17" x14ac:dyDescent="0.25">
      <c r="A16" t="s">
        <v>107</v>
      </c>
      <c r="B16" s="20">
        <f>K13/G13-1</f>
        <v>9.293566329435432E-2</v>
      </c>
    </row>
    <row r="17" spans="1:2" x14ac:dyDescent="0.25">
      <c r="A17" t="s">
        <v>108</v>
      </c>
      <c r="B17" s="20">
        <f>K8/G8-1</f>
        <v>-8.6111111111110916E-2</v>
      </c>
    </row>
    <row r="19" spans="1:2" x14ac:dyDescent="0.25">
      <c r="A19" s="9" t="s">
        <v>110</v>
      </c>
    </row>
    <row r="20" spans="1:2" x14ac:dyDescent="0.25">
      <c r="A20" t="s">
        <v>107</v>
      </c>
      <c r="B20" s="20">
        <f>F13/B13-1</f>
        <v>4.999766475176326E-2</v>
      </c>
    </row>
    <row r="21" spans="1:2" x14ac:dyDescent="0.25">
      <c r="A21" t="s">
        <v>108</v>
      </c>
      <c r="B21" s="20">
        <f>F8/B8-1</f>
        <v>-0.20992513699158755</v>
      </c>
    </row>
    <row r="23" spans="1:2" x14ac:dyDescent="0.25">
      <c r="A23" s="9" t="s">
        <v>111</v>
      </c>
    </row>
    <row r="24" spans="1:2" x14ac:dyDescent="0.25">
      <c r="A24" t="s">
        <v>107</v>
      </c>
      <c r="B24" s="20">
        <f>K13/B13-1</f>
        <v>0.16552239503059152</v>
      </c>
    </row>
    <row r="25" spans="1:2" x14ac:dyDescent="0.25">
      <c r="A25" t="s">
        <v>108</v>
      </c>
      <c r="B25" s="20">
        <f>K8/B8-1</f>
        <v>-0.28903295515937311</v>
      </c>
    </row>
    <row r="27" spans="1:2" x14ac:dyDescent="0.25">
      <c r="A27" s="9" t="s">
        <v>114</v>
      </c>
    </row>
    <row r="28" spans="1:2" x14ac:dyDescent="0.25">
      <c r="A28" s="23">
        <f>(Q8-K8)/(K8*(Q4-K4))</f>
        <v>0.13723677710233026</v>
      </c>
    </row>
    <row r="36" spans="1:17" x14ac:dyDescent="0.25">
      <c r="A36" s="9" t="s">
        <v>115</v>
      </c>
    </row>
    <row r="37" spans="1:17" x14ac:dyDescent="0.25">
      <c r="A37" s="6" t="s">
        <v>90</v>
      </c>
      <c r="B37" s="11">
        <v>100</v>
      </c>
      <c r="C37" s="11">
        <v>100.89654477687115</v>
      </c>
      <c r="D37" s="11">
        <v>85.10123904502872</v>
      </c>
      <c r="E37" s="11">
        <v>89.896242570766589</v>
      </c>
      <c r="F37" s="11">
        <v>104.50287095799335</v>
      </c>
      <c r="G37" s="15">
        <v>102.88103153017025</v>
      </c>
      <c r="H37" s="15">
        <v>104.23088546388637</v>
      </c>
      <c r="I37" s="15">
        <v>103.54588496020953</v>
      </c>
      <c r="J37" s="15">
        <v>100.73536818777073</v>
      </c>
      <c r="K37" s="15">
        <v>101.78301601692354</v>
      </c>
    </row>
    <row r="38" spans="1:17" x14ac:dyDescent="0.25">
      <c r="A38" s="6" t="s">
        <v>91</v>
      </c>
      <c r="B38" s="11">
        <v>100</v>
      </c>
      <c r="C38" s="11">
        <v>92.996203247435176</v>
      </c>
      <c r="D38" s="11">
        <v>90.693917117699314</v>
      </c>
      <c r="E38" s="11">
        <v>89.676064302447685</v>
      </c>
      <c r="F38" s="11">
        <v>83.673963971241619</v>
      </c>
      <c r="G38" s="15">
        <v>83.496243638419898</v>
      </c>
      <c r="H38" s="15">
        <v>82.664189352936418</v>
      </c>
      <c r="I38" s="15">
        <v>82.656111155989976</v>
      </c>
      <c r="J38" s="15">
        <v>80.781969464415539</v>
      </c>
      <c r="K38" s="15">
        <v>80.168026496485979</v>
      </c>
    </row>
    <row r="39" spans="1:17" x14ac:dyDescent="0.25">
      <c r="A39" s="6" t="s">
        <v>92</v>
      </c>
      <c r="B39" s="11">
        <v>100</v>
      </c>
      <c r="C39" s="11">
        <v>97.079197314861105</v>
      </c>
      <c r="D39" s="11">
        <v>92.223095051060483</v>
      </c>
      <c r="E39" s="11">
        <v>85.403127901164027</v>
      </c>
      <c r="F39" s="11">
        <v>83.310719131614647</v>
      </c>
      <c r="G39" s="15">
        <v>79.18303220738413</v>
      </c>
      <c r="H39" s="15">
        <v>76.547882596586447</v>
      </c>
      <c r="I39" s="15">
        <v>73.655645218881673</v>
      </c>
      <c r="J39" s="15">
        <v>71.413268585303143</v>
      </c>
      <c r="K39" s="15">
        <v>68.820966935656642</v>
      </c>
      <c r="L39" s="24">
        <f>K39*(1+$A$59)</f>
        <v>70.859139113047206</v>
      </c>
      <c r="M39" s="24">
        <f>L39-K39+L39</f>
        <v>72.89731129043777</v>
      </c>
      <c r="N39" s="24">
        <f t="shared" ref="N39" si="2">M39-L39+M39</f>
        <v>74.935483467828334</v>
      </c>
      <c r="O39" s="24">
        <f t="shared" ref="O39" si="3">N39-M39+N39</f>
        <v>76.973655645218898</v>
      </c>
      <c r="P39" s="24">
        <f t="shared" ref="P39" si="4">O39-N39+O39</f>
        <v>79.011827822609462</v>
      </c>
      <c r="Q39" s="24">
        <f>Q44</f>
        <v>81.050000000000011</v>
      </c>
    </row>
    <row r="40" spans="1:17" x14ac:dyDescent="0.25">
      <c r="A40" t="s">
        <v>93</v>
      </c>
      <c r="B40" s="15">
        <v>100</v>
      </c>
      <c r="C40" s="15">
        <v>102.87187694496312</v>
      </c>
      <c r="D40" s="15">
        <v>103.39646127856319</v>
      </c>
      <c r="E40" s="15">
        <v>101.85827331732906</v>
      </c>
      <c r="F40" s="15">
        <v>95.972259269138434</v>
      </c>
      <c r="G40" s="15">
        <v>90.735307193029243</v>
      </c>
      <c r="H40" s="15">
        <v>88.619187338845919</v>
      </c>
      <c r="I40" s="15">
        <v>92.051213656975193</v>
      </c>
      <c r="J40" s="15">
        <v>88.912598915266301</v>
      </c>
      <c r="K40" s="15">
        <v>88.734773717435758</v>
      </c>
      <c r="L40" s="21"/>
      <c r="M40" s="21"/>
      <c r="N40" s="21"/>
      <c r="O40" s="21"/>
    </row>
    <row r="41" spans="1:17" x14ac:dyDescent="0.25">
      <c r="A41" t="s">
        <v>94</v>
      </c>
      <c r="B41" s="15">
        <v>100</v>
      </c>
      <c r="C41" s="15">
        <v>94.086117562980164</v>
      </c>
      <c r="D41" s="15">
        <v>93.693049848132929</v>
      </c>
      <c r="E41" s="15">
        <v>91.147043058781492</v>
      </c>
      <c r="F41" s="15">
        <v>89.038770770055393</v>
      </c>
      <c r="G41" s="15">
        <v>87.859567625513662</v>
      </c>
      <c r="H41" s="15">
        <v>86.44809719492585</v>
      </c>
      <c r="I41" s="15">
        <v>87.609433625156328</v>
      </c>
      <c r="J41" s="15">
        <v>89.333571556190819</v>
      </c>
      <c r="K41" s="15">
        <v>88.860103626943015</v>
      </c>
      <c r="L41" s="21"/>
      <c r="M41" s="21"/>
      <c r="N41" s="21"/>
      <c r="O41" s="21"/>
      <c r="P41" s="21"/>
      <c r="Q41" s="21"/>
    </row>
    <row r="42" spans="1:17" x14ac:dyDescent="0.25">
      <c r="A42" t="s">
        <v>95</v>
      </c>
      <c r="B42" s="15">
        <v>100</v>
      </c>
      <c r="C42" s="15">
        <v>97.360857068199635</v>
      </c>
      <c r="D42" s="15">
        <v>94.704294051040847</v>
      </c>
      <c r="E42" s="15">
        <v>90.114101559097634</v>
      </c>
      <c r="F42" s="15">
        <v>85.959411201114875</v>
      </c>
      <c r="G42" s="15">
        <v>83.720930232558146</v>
      </c>
      <c r="H42" s="15">
        <v>84.957756293005843</v>
      </c>
      <c r="I42" s="15">
        <v>87.910460761257738</v>
      </c>
      <c r="J42" s="15">
        <v>87.100426792091284</v>
      </c>
      <c r="K42" s="15">
        <v>86.04651162790698</v>
      </c>
      <c r="L42" s="21"/>
      <c r="M42" s="21"/>
      <c r="N42" s="21"/>
      <c r="O42" s="21"/>
      <c r="P42" s="21"/>
      <c r="Q42" s="21"/>
    </row>
    <row r="43" spans="1:17" x14ac:dyDescent="0.25">
      <c r="L43" s="21"/>
      <c r="M43" s="21"/>
      <c r="N43" s="21"/>
      <c r="O43" s="21"/>
      <c r="P43" s="21"/>
      <c r="Q43" s="21"/>
    </row>
    <row r="44" spans="1:17" x14ac:dyDescent="0.25">
      <c r="A44" t="s">
        <v>89</v>
      </c>
      <c r="B44" s="15">
        <v>100</v>
      </c>
      <c r="C44" s="15">
        <v>97.474567830973896</v>
      </c>
      <c r="D44" s="15">
        <v>93.663299423774617</v>
      </c>
      <c r="E44" s="15">
        <v>92.533968841146731</v>
      </c>
      <c r="F44" s="15">
        <v>91.345948637689403</v>
      </c>
      <c r="G44" s="15">
        <v>89.281141068506784</v>
      </c>
      <c r="H44" s="15">
        <v>88.884541509568166</v>
      </c>
      <c r="I44" s="15">
        <v>90.282421569324868</v>
      </c>
      <c r="J44" s="15">
        <v>88.923667923454502</v>
      </c>
      <c r="K44" s="15">
        <v>88.62844134594863</v>
      </c>
      <c r="L44" s="25">
        <f>-0.0197*(L4^3)+0.5298*(L4^2)-4.9111*L4+104.69</f>
        <v>88.552999999999997</v>
      </c>
      <c r="M44" s="25">
        <f t="shared" ref="M44:Q44" si="5">-0.0197*(M4^3)+0.5298*(M4^2)-4.9111*M4+104.69</f>
        <v>88.006400000000014</v>
      </c>
      <c r="N44" s="25">
        <f t="shared" si="5"/>
        <v>87.100999999999999</v>
      </c>
      <c r="O44" s="25">
        <f t="shared" si="5"/>
        <v>85.718600000000009</v>
      </c>
      <c r="P44" s="25">
        <f t="shared" si="5"/>
        <v>83.741000000000014</v>
      </c>
      <c r="Q44" s="25">
        <f t="shared" si="5"/>
        <v>81.050000000000011</v>
      </c>
    </row>
    <row r="46" spans="1:17" x14ac:dyDescent="0.25">
      <c r="A46" s="9" t="s">
        <v>109</v>
      </c>
      <c r="L46" s="20"/>
    </row>
    <row r="47" spans="1:17" x14ac:dyDescent="0.25">
      <c r="A47" t="s">
        <v>107</v>
      </c>
      <c r="B47" s="20">
        <f>K44/G44-1</f>
        <v>-7.3106113424035168E-3</v>
      </c>
    </row>
    <row r="48" spans="1:17" x14ac:dyDescent="0.25">
      <c r="A48" t="s">
        <v>108</v>
      </c>
      <c r="B48" s="20">
        <f>K39/G39-1</f>
        <v>-0.1308621933621934</v>
      </c>
    </row>
    <row r="50" spans="1:2" x14ac:dyDescent="0.25">
      <c r="A50" s="9" t="s">
        <v>110</v>
      </c>
    </row>
    <row r="51" spans="1:2" x14ac:dyDescent="0.25">
      <c r="A51" t="s">
        <v>107</v>
      </c>
      <c r="B51" s="20">
        <f>F44/B44-1</f>
        <v>-8.6540513623105997E-2</v>
      </c>
    </row>
    <row r="52" spans="1:2" x14ac:dyDescent="0.25">
      <c r="A52" t="s">
        <v>108</v>
      </c>
      <c r="B52" s="20">
        <f>F39/B39-1</f>
        <v>-0.16689280868385348</v>
      </c>
    </row>
    <row r="54" spans="1:2" x14ac:dyDescent="0.25">
      <c r="A54" s="9" t="s">
        <v>111</v>
      </c>
    </row>
    <row r="55" spans="1:2" x14ac:dyDescent="0.25">
      <c r="A55" t="s">
        <v>107</v>
      </c>
      <c r="B55" s="20">
        <f>K44/B44-1</f>
        <v>-0.11371558654051372</v>
      </c>
    </row>
    <row r="56" spans="1:2" x14ac:dyDescent="0.25">
      <c r="A56" t="s">
        <v>108</v>
      </c>
      <c r="B56" s="20">
        <f>K39/B39-1</f>
        <v>-0.31179033064343353</v>
      </c>
    </row>
    <row r="58" spans="1:2" x14ac:dyDescent="0.25">
      <c r="A58" s="9" t="s">
        <v>116</v>
      </c>
    </row>
    <row r="59" spans="1:2" x14ac:dyDescent="0.25">
      <c r="A59" s="23">
        <f>(Q39-K39)/(K39*(Q4-K4))</f>
        <v>2.9615570198194496E-2</v>
      </c>
    </row>
  </sheetData>
  <mergeCells count="2">
    <mergeCell ref="L2:Q2"/>
    <mergeCell ref="B2:K2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AI58"/>
  <sheetViews>
    <sheetView showRuler="0" topLeftCell="A4" workbookViewId="0"/>
  </sheetViews>
  <sheetFormatPr defaultColWidth="11" defaultRowHeight="15.75" x14ac:dyDescent="0.25"/>
  <cols>
    <col min="1" max="1" width="50.875" customWidth="1"/>
    <col min="2" max="11" width="11.5" bestFit="1" customWidth="1"/>
    <col min="12" max="12" width="17.625" bestFit="1" customWidth="1"/>
    <col min="16" max="16" width="11.5" bestFit="1" customWidth="1"/>
  </cols>
  <sheetData>
    <row r="1" spans="1:17" ht="27" thickBot="1" x14ac:dyDescent="0.45">
      <c r="A1" s="84"/>
    </row>
    <row r="2" spans="1:17" x14ac:dyDescent="0.25">
      <c r="A2" s="9" t="s">
        <v>184</v>
      </c>
      <c r="B2" s="53" t="s">
        <v>97</v>
      </c>
      <c r="C2" s="54" t="s">
        <v>98</v>
      </c>
      <c r="D2" s="54" t="s">
        <v>99</v>
      </c>
      <c r="E2" s="54" t="s">
        <v>100</v>
      </c>
      <c r="F2" s="55" t="s">
        <v>101</v>
      </c>
      <c r="G2" s="53" t="s">
        <v>102</v>
      </c>
      <c r="H2" s="54" t="s">
        <v>103</v>
      </c>
      <c r="I2" s="54" t="s">
        <v>104</v>
      </c>
      <c r="J2" s="54" t="s">
        <v>105</v>
      </c>
      <c r="K2" s="55" t="s">
        <v>106</v>
      </c>
      <c r="L2" s="57" t="s">
        <v>0</v>
      </c>
      <c r="M2" s="57" t="s">
        <v>1</v>
      </c>
      <c r="N2" s="57" t="s">
        <v>2</v>
      </c>
      <c r="O2" s="57" t="s">
        <v>3</v>
      </c>
      <c r="P2" s="57" t="s">
        <v>4</v>
      </c>
    </row>
    <row r="3" spans="1:17" x14ac:dyDescent="0.25">
      <c r="A3" s="6" t="s">
        <v>242</v>
      </c>
      <c r="B3" s="23">
        <v>0.45710000000000001</v>
      </c>
      <c r="C3" s="23">
        <v>0.46760000000000002</v>
      </c>
      <c r="D3" s="23">
        <v>0.45129999999999998</v>
      </c>
      <c r="E3" s="23">
        <v>0.47260000000000002</v>
      </c>
      <c r="F3" s="23">
        <v>0.4622</v>
      </c>
      <c r="G3" s="23">
        <v>0.43430000000000002</v>
      </c>
      <c r="H3" s="23">
        <v>0.4219</v>
      </c>
      <c r="I3" s="23">
        <v>0.42759999999999998</v>
      </c>
      <c r="J3" s="23">
        <f>AVERAGE(I3,K3)</f>
        <v>0.40218316441155333</v>
      </c>
      <c r="K3" s="23">
        <v>0.37676632882310668</v>
      </c>
      <c r="L3" s="2">
        <f>L4</f>
        <v>0.36964650299278801</v>
      </c>
    </row>
    <row r="4" spans="1:17" x14ac:dyDescent="0.25">
      <c r="A4" s="6" t="s">
        <v>241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>
        <v>0.36964650299278801</v>
      </c>
      <c r="M4" s="23">
        <v>0.36894720686884197</v>
      </c>
      <c r="N4" s="23">
        <v>0.37522907406030992</v>
      </c>
      <c r="O4" s="23">
        <v>0.37785830067923848</v>
      </c>
      <c r="P4" s="23">
        <v>0.37713109667789174</v>
      </c>
    </row>
    <row r="5" spans="1:17" x14ac:dyDescent="0.25">
      <c r="A5" s="6" t="s">
        <v>191</v>
      </c>
      <c r="B5" s="15">
        <f>'Alliance Forecasts'!B5</f>
        <v>2146</v>
      </c>
      <c r="C5" s="15">
        <f>'Alliance Forecasts'!C5</f>
        <v>2230</v>
      </c>
      <c r="D5" s="15">
        <f>'Alliance Forecasts'!D5</f>
        <v>2383</v>
      </c>
      <c r="E5" s="15">
        <f>'Alliance Forecasts'!E5</f>
        <v>2299</v>
      </c>
      <c r="F5" s="15">
        <f>'Alliance Forecasts'!F5</f>
        <v>2447</v>
      </c>
      <c r="G5" s="15">
        <f>'Alliance Forecasts'!G5</f>
        <v>2281</v>
      </c>
      <c r="H5" s="15">
        <f>'Alliance Forecasts'!H5</f>
        <v>2367</v>
      </c>
      <c r="I5" s="15">
        <f>'Alliance Forecasts'!I5</f>
        <v>2345</v>
      </c>
      <c r="J5" s="15">
        <f>'Alliance Forecasts'!J5</f>
        <v>2472</v>
      </c>
      <c r="K5" s="15">
        <f>'Alliance Forecasts'!K6</f>
        <v>2600</v>
      </c>
    </row>
    <row r="6" spans="1:17" x14ac:dyDescent="0.25">
      <c r="A6" s="6" t="s">
        <v>63</v>
      </c>
      <c r="B6" s="15">
        <f>'Alliance Forecasts'!B11</f>
        <v>13468</v>
      </c>
      <c r="C6" s="15">
        <f>'Alliance Forecasts'!C11</f>
        <v>13576</v>
      </c>
      <c r="D6" s="15">
        <f>'Alliance Forecasts'!D11</f>
        <v>13813</v>
      </c>
      <c r="E6" s="15">
        <f>'Alliance Forecasts'!E11</f>
        <v>14130</v>
      </c>
      <c r="F6" s="15">
        <f>'Alliance Forecasts'!F11</f>
        <v>14257</v>
      </c>
      <c r="G6" s="15">
        <f>'Alliance Forecasts'!G11</f>
        <v>13227</v>
      </c>
      <c r="H6" s="15">
        <f>'Alliance Forecasts'!H11</f>
        <v>13692</v>
      </c>
      <c r="I6" s="15">
        <f>'Alliance Forecasts'!I11</f>
        <v>13496</v>
      </c>
      <c r="J6" s="15">
        <f>'Alliance Forecasts'!J11</f>
        <v>13874</v>
      </c>
      <c r="K6" s="15">
        <f>'Alliance Forecasts'!K12</f>
        <v>14253</v>
      </c>
    </row>
    <row r="7" spans="1:17" x14ac:dyDescent="0.25">
      <c r="A7" s="6" t="s">
        <v>64</v>
      </c>
      <c r="B7" s="15">
        <f>'Alliance Forecasts'!B17</f>
        <v>624130</v>
      </c>
      <c r="C7" s="15">
        <f>'Alliance Forecasts'!C17</f>
        <v>635123</v>
      </c>
      <c r="D7" s="15">
        <f>'Alliance Forecasts'!D17</f>
        <v>647729</v>
      </c>
      <c r="E7" s="15">
        <f>'Alliance Forecasts'!E17</f>
        <v>663216</v>
      </c>
      <c r="F7" s="15">
        <f>'Alliance Forecasts'!F17</f>
        <v>676960</v>
      </c>
      <c r="G7" s="15">
        <f>'Alliance Forecasts'!G17</f>
        <v>688959</v>
      </c>
      <c r="H7" s="15">
        <f>'Alliance Forecasts'!H17</f>
        <v>699264</v>
      </c>
      <c r="I7" s="15">
        <f>'Alliance Forecasts'!I17</f>
        <v>710431</v>
      </c>
      <c r="J7" s="15">
        <f>'Alliance Forecasts'!J17</f>
        <v>723410</v>
      </c>
      <c r="K7" s="15">
        <f>'Alliance Forecasts'!K18</f>
        <v>736372</v>
      </c>
    </row>
    <row r="8" spans="1:17" x14ac:dyDescent="0.25">
      <c r="A8" s="58" t="s">
        <v>185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25"/>
      <c r="M8" s="25"/>
      <c r="N8" s="25"/>
      <c r="O8" s="25"/>
      <c r="P8" s="25"/>
    </row>
    <row r="9" spans="1:17" x14ac:dyDescent="0.25">
      <c r="A9" s="6" t="s">
        <v>67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25">
        <f>'Alliance Forecasts'!L22</f>
        <v>2420.2883000000002</v>
      </c>
      <c r="M9" s="25">
        <f>'Alliance Forecasts'!M22</f>
        <v>2430.2235999999998</v>
      </c>
      <c r="N9" s="25">
        <f>'Alliance Forecasts'!N22</f>
        <v>2440.1588999999999</v>
      </c>
      <c r="O9" s="25">
        <f>'Alliance Forecasts'!O22</f>
        <v>2450.0942</v>
      </c>
      <c r="P9" s="25">
        <f>'Alliance Forecasts'!P22</f>
        <v>2460.0295000000001</v>
      </c>
    </row>
    <row r="10" spans="1:17" x14ac:dyDescent="0.25">
      <c r="A10" s="6" t="s">
        <v>63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25">
        <f>'Alliance Forecasts'!L23</f>
        <v>13380.874</v>
      </c>
      <c r="M10" s="25">
        <f>'Alliance Forecasts'!M23</f>
        <v>13292.407999999999</v>
      </c>
      <c r="N10" s="25">
        <f>'Alliance Forecasts'!N23</f>
        <v>13203.941999999999</v>
      </c>
      <c r="O10" s="25">
        <f>'Alliance Forecasts'!O23</f>
        <v>13115.476000000001</v>
      </c>
      <c r="P10" s="25">
        <f>'Alliance Forecasts'!P23</f>
        <v>13027.01</v>
      </c>
    </row>
    <row r="11" spans="1:17" x14ac:dyDescent="0.25">
      <c r="A11" s="6" t="s">
        <v>64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5">
        <f>'Alliance Forecasts'!L24</f>
        <v>746628</v>
      </c>
      <c r="M11" s="25">
        <f>'Alliance Forecasts'!M24</f>
        <v>758389</v>
      </c>
      <c r="N11" s="25">
        <f>'Alliance Forecasts'!N24</f>
        <v>770150</v>
      </c>
      <c r="O11" s="25">
        <f>'Alliance Forecasts'!O24</f>
        <v>781911</v>
      </c>
      <c r="P11" s="25">
        <f>'Alliance Forecasts'!P24</f>
        <v>793672</v>
      </c>
    </row>
    <row r="12" spans="1:17" x14ac:dyDescent="0.25">
      <c r="A12" s="6"/>
      <c r="B12" s="15"/>
      <c r="C12" s="15"/>
      <c r="D12" s="15"/>
      <c r="E12" s="15"/>
      <c r="F12" s="15"/>
      <c r="G12" s="15"/>
      <c r="H12" s="15"/>
      <c r="I12" s="15"/>
      <c r="J12" s="15"/>
      <c r="K12" s="15" t="s">
        <v>232</v>
      </c>
      <c r="L12" s="25">
        <f>'Alliance Forecasts'!L18:P18</f>
        <v>747564.52745260624</v>
      </c>
      <c r="M12" s="25">
        <f>'Alliance Forecasts'!M18:Q18</f>
        <v>759880.48402165389</v>
      </c>
      <c r="N12" s="25">
        <f>'Alliance Forecasts'!N18:R18</f>
        <v>772137.56636626227</v>
      </c>
      <c r="O12" s="25">
        <f>'Alliance Forecasts'!O18:S18</f>
        <v>784588.96125044744</v>
      </c>
      <c r="P12" s="25">
        <f>'Alliance Forecasts'!P18:T18</f>
        <v>797305.99029930646</v>
      </c>
      <c r="Q12" s="16"/>
    </row>
    <row r="13" spans="1:17" x14ac:dyDescent="0.25">
      <c r="A13" s="59" t="s">
        <v>194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25"/>
      <c r="M13" s="25"/>
      <c r="N13" s="25"/>
      <c r="O13" s="25"/>
      <c r="P13" s="25"/>
    </row>
    <row r="14" spans="1:17" s="10" customFormat="1" x14ac:dyDescent="0.25">
      <c r="A14" s="63" t="s">
        <v>226</v>
      </c>
      <c r="B14" s="15">
        <v>507.3</v>
      </c>
      <c r="C14" s="15">
        <v>559.52</v>
      </c>
      <c r="D14" s="15">
        <v>608.80999999999995</v>
      </c>
      <c r="E14" s="15">
        <v>636.26</v>
      </c>
      <c r="F14" s="15">
        <v>641.01</v>
      </c>
      <c r="G14" s="64">
        <v>1006</v>
      </c>
      <c r="H14" s="64"/>
      <c r="I14" s="64"/>
      <c r="J14" s="64"/>
      <c r="K14" s="64"/>
      <c r="L14" s="65"/>
      <c r="M14" s="65"/>
      <c r="N14" s="65"/>
      <c r="O14" s="65"/>
      <c r="P14" s="65"/>
    </row>
    <row r="15" spans="1:17" x14ac:dyDescent="0.25">
      <c r="A15" s="6" t="s">
        <v>227</v>
      </c>
      <c r="B15" s="64"/>
      <c r="C15" s="64"/>
      <c r="D15" s="64"/>
      <c r="E15" s="64"/>
      <c r="F15" s="64"/>
      <c r="G15" s="15">
        <v>1006.16</v>
      </c>
      <c r="H15" s="15">
        <v>990.59</v>
      </c>
      <c r="I15" s="15">
        <v>1025.43</v>
      </c>
      <c r="J15" s="15">
        <v>1122.52</v>
      </c>
      <c r="K15" s="15">
        <v>1227.3900000000001</v>
      </c>
      <c r="L15" s="65"/>
      <c r="M15" s="65"/>
      <c r="N15" s="65"/>
      <c r="O15" s="65"/>
      <c r="P15" s="65"/>
    </row>
    <row r="16" spans="1:17" x14ac:dyDescent="0.25">
      <c r="A16" s="6" t="s">
        <v>187</v>
      </c>
      <c r="B16" s="15">
        <v>611.90029530000004</v>
      </c>
      <c r="C16" s="15">
        <v>719.73233630000004</v>
      </c>
      <c r="D16" s="15">
        <v>718.99529849999999</v>
      </c>
      <c r="E16" s="15">
        <v>721.27977969999995</v>
      </c>
      <c r="F16" s="15">
        <v>641.06321089999994</v>
      </c>
      <c r="G16" s="15">
        <v>701.17107680000004</v>
      </c>
      <c r="H16" s="15">
        <v>753.19155079999996</v>
      </c>
      <c r="I16" s="15">
        <v>731.1646508</v>
      </c>
      <c r="J16" s="15">
        <v>662.92909540000005</v>
      </c>
      <c r="K16" s="15">
        <v>735.69799999999998</v>
      </c>
      <c r="L16" s="65"/>
      <c r="M16" s="65"/>
      <c r="N16" s="65"/>
      <c r="O16" s="65"/>
      <c r="P16" s="65"/>
    </row>
    <row r="17" spans="1:17" x14ac:dyDescent="0.25">
      <c r="A17" s="6" t="s">
        <v>230</v>
      </c>
      <c r="B17" s="20"/>
      <c r="C17" s="20"/>
      <c r="D17" s="20"/>
      <c r="E17" s="20"/>
      <c r="F17" s="20">
        <f>SUM(B16:F16)/SUM(B14:F14)-1</f>
        <v>0.15580308195333403</v>
      </c>
      <c r="G17" s="15"/>
      <c r="H17" s="15"/>
      <c r="I17" s="15"/>
      <c r="J17" s="15"/>
      <c r="K17" s="20">
        <f>SUM(G16:K16)/SUM(G15:K15)-1</f>
        <v>-0.33281937313038334</v>
      </c>
      <c r="L17" s="15"/>
      <c r="M17" s="15"/>
      <c r="N17" s="15"/>
      <c r="O17" s="15"/>
      <c r="P17" s="15"/>
    </row>
    <row r="18" spans="1:17" x14ac:dyDescent="0.25">
      <c r="A18" s="6" t="s">
        <v>228</v>
      </c>
      <c r="B18" s="64"/>
      <c r="C18" s="64"/>
      <c r="D18" s="64"/>
      <c r="E18" s="64"/>
      <c r="F18" s="64"/>
      <c r="G18" s="64"/>
      <c r="H18" s="64"/>
      <c r="I18" s="64"/>
      <c r="J18" s="64"/>
      <c r="K18" s="64">
        <v>736</v>
      </c>
      <c r="L18" s="15">
        <v>758.87953049999999</v>
      </c>
      <c r="M18" s="15">
        <v>760.83541749999995</v>
      </c>
      <c r="N18" s="15">
        <v>711.57693810000001</v>
      </c>
      <c r="O18" s="15">
        <v>713.40145710000002</v>
      </c>
      <c r="P18" s="15">
        <v>715.24484319999999</v>
      </c>
    </row>
    <row r="19" spans="1:17" x14ac:dyDescent="0.25">
      <c r="A19" s="6" t="s">
        <v>189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36">
        <f>'Alliance ARR'!B28</f>
        <v>505.16023764188816</v>
      </c>
      <c r="M19" s="36">
        <f>'Alliance ARR'!C28</f>
        <v>478.42191378806433</v>
      </c>
      <c r="N19" s="36">
        <f>'Alliance ARR'!D28</f>
        <v>428.72361873588943</v>
      </c>
      <c r="O19" s="36">
        <f>'Alliance ARR'!E28</f>
        <v>401.60012334250678</v>
      </c>
      <c r="P19" s="36">
        <f>'Alliance ARR'!F28</f>
        <v>381.17795246268111</v>
      </c>
    </row>
    <row r="20" spans="1:17" x14ac:dyDescent="0.25">
      <c r="A20" s="6" t="s">
        <v>229</v>
      </c>
      <c r="B20" s="66">
        <f>AVERAGE(B16:F16)</f>
        <v>682.59418413999992</v>
      </c>
      <c r="C20" s="66">
        <f>B20</f>
        <v>682.59418413999992</v>
      </c>
      <c r="D20" s="66">
        <f t="shared" ref="D20:F20" si="0">C20</f>
        <v>682.59418413999992</v>
      </c>
      <c r="E20" s="66">
        <f t="shared" si="0"/>
        <v>682.59418413999992</v>
      </c>
      <c r="F20" s="66">
        <f t="shared" si="0"/>
        <v>682.59418413999992</v>
      </c>
      <c r="G20" s="66">
        <f>AVERAGE(G16:K16)</f>
        <v>716.83087475999992</v>
      </c>
      <c r="H20" s="66">
        <f>G20</f>
        <v>716.83087475999992</v>
      </c>
      <c r="I20" s="66">
        <f t="shared" ref="I20:K20" si="1">H20</f>
        <v>716.83087475999992</v>
      </c>
      <c r="J20" s="66">
        <f t="shared" si="1"/>
        <v>716.83087475999992</v>
      </c>
      <c r="K20" s="66">
        <f t="shared" si="1"/>
        <v>716.83087475999992</v>
      </c>
      <c r="L20" s="65">
        <f>AVERAGE(L18:P18)</f>
        <v>731.98763727999994</v>
      </c>
      <c r="M20" s="65">
        <f>L20</f>
        <v>731.98763727999994</v>
      </c>
      <c r="N20" s="65">
        <f t="shared" ref="N20:P20" si="2">M20</f>
        <v>731.98763727999994</v>
      </c>
      <c r="O20" s="65">
        <f t="shared" si="2"/>
        <v>731.98763727999994</v>
      </c>
      <c r="P20" s="65">
        <f t="shared" si="2"/>
        <v>731.98763727999994</v>
      </c>
    </row>
    <row r="21" spans="1:17" x14ac:dyDescent="0.25">
      <c r="A21" s="6"/>
      <c r="C21" s="66"/>
      <c r="D21" s="66"/>
      <c r="E21" s="66"/>
      <c r="F21" s="66"/>
      <c r="G21" s="66"/>
      <c r="H21" s="66"/>
      <c r="I21" s="66"/>
      <c r="J21" s="66"/>
      <c r="K21" s="66"/>
      <c r="L21" s="65"/>
      <c r="M21" s="65"/>
      <c r="N21" s="65"/>
      <c r="O21" s="65"/>
      <c r="P21" s="65"/>
    </row>
    <row r="22" spans="1:17" x14ac:dyDescent="0.25">
      <c r="A22" s="59" t="s">
        <v>224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5"/>
      <c r="M22" s="65"/>
      <c r="N22" s="65"/>
      <c r="O22" s="65"/>
      <c r="P22" s="65"/>
    </row>
    <row r="23" spans="1:17" x14ac:dyDescent="0.25">
      <c r="A23" s="63" t="s">
        <v>226</v>
      </c>
      <c r="B23" s="15">
        <v>125.1</v>
      </c>
      <c r="C23" s="15">
        <v>137.97</v>
      </c>
      <c r="D23" s="15">
        <v>150.13999999999999</v>
      </c>
      <c r="E23" s="15">
        <v>156.97</v>
      </c>
      <c r="F23" s="15">
        <v>158.06</v>
      </c>
      <c r="G23" s="15">
        <v>176.26769999999999</v>
      </c>
      <c r="H23" s="66"/>
      <c r="I23" s="66"/>
      <c r="J23" s="66"/>
      <c r="K23" s="66"/>
      <c r="L23" s="65"/>
      <c r="M23" s="65"/>
      <c r="N23" s="65"/>
      <c r="O23" s="65"/>
      <c r="P23" s="65"/>
    </row>
    <row r="24" spans="1:17" x14ac:dyDescent="0.25">
      <c r="A24" s="6" t="s">
        <v>227</v>
      </c>
      <c r="B24" s="66"/>
      <c r="C24" s="66"/>
      <c r="D24" s="66"/>
      <c r="E24" s="66"/>
      <c r="F24" s="66"/>
      <c r="G24" s="15">
        <v>176.26769999999999</v>
      </c>
      <c r="H24" s="15">
        <v>212.39646619999999</v>
      </c>
      <c r="I24" s="15">
        <v>247.27673239999999</v>
      </c>
      <c r="J24" s="15">
        <v>282.20175310000002</v>
      </c>
      <c r="K24" s="15">
        <v>311.6669685</v>
      </c>
      <c r="L24" s="65"/>
      <c r="M24" s="65"/>
      <c r="N24" s="65"/>
      <c r="O24" s="65"/>
      <c r="P24" s="65"/>
    </row>
    <row r="25" spans="1:17" x14ac:dyDescent="0.25">
      <c r="A25" s="6" t="s">
        <v>187</v>
      </c>
      <c r="B25" s="15">
        <v>159.41014860000001</v>
      </c>
      <c r="C25" s="15">
        <v>138.434842</v>
      </c>
      <c r="D25" s="15">
        <v>105.71151</v>
      </c>
      <c r="E25" s="15">
        <v>128.910676</v>
      </c>
      <c r="F25" s="15">
        <v>141.86667069999999</v>
      </c>
      <c r="G25" s="15">
        <v>208.40281949999999</v>
      </c>
      <c r="H25" s="15">
        <v>247.19524939999999</v>
      </c>
      <c r="I25" s="15">
        <v>275.23250899999999</v>
      </c>
      <c r="J25" s="15">
        <v>224.77652810000001</v>
      </c>
      <c r="K25" s="15">
        <v>240.71899999999999</v>
      </c>
      <c r="L25" s="15"/>
      <c r="M25" s="15"/>
      <c r="N25" s="15"/>
      <c r="O25" s="15"/>
      <c r="P25" s="15"/>
    </row>
    <row r="26" spans="1:17" x14ac:dyDescent="0.25">
      <c r="A26" s="6" t="s">
        <v>230</v>
      </c>
      <c r="B26" s="20"/>
      <c r="C26" s="20"/>
      <c r="D26" s="20"/>
      <c r="E26" s="20"/>
      <c r="F26" s="20">
        <f>SUM(B25:F25)/SUM(B23:F23)-1</f>
        <v>-7.402251002416782E-2</v>
      </c>
      <c r="G26" s="15"/>
      <c r="H26" s="15"/>
      <c r="I26" s="15"/>
      <c r="J26" s="15"/>
      <c r="K26" s="20">
        <f>SUM(G25:K25)/SUM(G24:K24)-1</f>
        <v>-2.7226583407726657E-2</v>
      </c>
      <c r="L26" s="15"/>
      <c r="M26" s="15"/>
      <c r="N26" s="15"/>
      <c r="O26" s="15"/>
      <c r="P26" s="15"/>
    </row>
    <row r="27" spans="1:17" x14ac:dyDescent="0.25">
      <c r="A27" s="6" t="s">
        <v>229</v>
      </c>
      <c r="B27" s="77">
        <f>AVERAGE(B25:F25)</f>
        <v>134.86676946</v>
      </c>
      <c r="C27" s="77">
        <f>B27</f>
        <v>134.86676946</v>
      </c>
      <c r="D27" s="77">
        <f t="shared" ref="D27:F27" si="3">C27</f>
        <v>134.86676946</v>
      </c>
      <c r="E27" s="77">
        <f t="shared" si="3"/>
        <v>134.86676946</v>
      </c>
      <c r="F27" s="77">
        <f t="shared" si="3"/>
        <v>134.86676946</v>
      </c>
      <c r="G27" s="77">
        <f>AVERAGE(G25:K25)</f>
        <v>239.26522119999998</v>
      </c>
      <c r="H27" s="77">
        <f>G27</f>
        <v>239.26522119999998</v>
      </c>
      <c r="I27" s="77">
        <f t="shared" ref="I27:K27" si="4">H27</f>
        <v>239.26522119999998</v>
      </c>
      <c r="J27" s="77">
        <f t="shared" si="4"/>
        <v>239.26522119999998</v>
      </c>
      <c r="K27" s="77">
        <f t="shared" si="4"/>
        <v>239.26522119999998</v>
      </c>
      <c r="L27" s="77">
        <f>AVERAGE(L28:P28)</f>
        <v>271.60000000000002</v>
      </c>
      <c r="M27" s="77">
        <f>L27</f>
        <v>271.60000000000002</v>
      </c>
      <c r="N27" s="77">
        <f t="shared" ref="N27:P27" si="5">M27</f>
        <v>271.60000000000002</v>
      </c>
      <c r="O27" s="77">
        <f t="shared" si="5"/>
        <v>271.60000000000002</v>
      </c>
      <c r="P27" s="77">
        <f t="shared" si="5"/>
        <v>271.60000000000002</v>
      </c>
      <c r="Q27" s="92">
        <f t="shared" ref="Q27:Q29" si="6">SUM(L27:P27)</f>
        <v>1358</v>
      </c>
    </row>
    <row r="28" spans="1:17" x14ac:dyDescent="0.25">
      <c r="A28" s="6" t="s">
        <v>228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>
        <v>256</v>
      </c>
      <c r="M28" s="11">
        <v>286</v>
      </c>
      <c r="N28" s="11">
        <v>256</v>
      </c>
      <c r="O28" s="11">
        <v>282</v>
      </c>
      <c r="P28" s="11">
        <v>278</v>
      </c>
      <c r="Q28" s="92">
        <f t="shared" si="6"/>
        <v>1358</v>
      </c>
    </row>
    <row r="29" spans="1:17" x14ac:dyDescent="0.25">
      <c r="A29" s="6" t="s">
        <v>189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7">
        <f>AVERAGE(B25:F25)</f>
        <v>134.86676946</v>
      </c>
      <c r="M29" s="67">
        <f>L29</f>
        <v>134.86676946</v>
      </c>
      <c r="N29" s="67">
        <f t="shared" ref="N29:P29" si="7">M29</f>
        <v>134.86676946</v>
      </c>
      <c r="O29" s="67">
        <f t="shared" si="7"/>
        <v>134.86676946</v>
      </c>
      <c r="P29" s="67">
        <f t="shared" si="7"/>
        <v>134.86676946</v>
      </c>
      <c r="Q29" s="92">
        <f t="shared" si="6"/>
        <v>674.3338473</v>
      </c>
    </row>
    <row r="30" spans="1:17" s="6" customFormat="1" x14ac:dyDescent="0.25">
      <c r="A30" s="6" t="s">
        <v>234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65">
        <f>L29-L28</f>
        <v>-121.13323054</v>
      </c>
      <c r="M30" s="65">
        <f t="shared" ref="M30:P30" si="8">M29-M28</f>
        <v>-151.13323054</v>
      </c>
      <c r="N30" s="65">
        <f t="shared" si="8"/>
        <v>-121.13323054</v>
      </c>
      <c r="O30" s="65">
        <f t="shared" si="8"/>
        <v>-147.13323054</v>
      </c>
      <c r="P30" s="65">
        <f t="shared" si="8"/>
        <v>-143.13323054</v>
      </c>
      <c r="Q30" s="92">
        <f>SUM(L30:P30)</f>
        <v>-683.6661527</v>
      </c>
    </row>
    <row r="31" spans="1:17" s="6" customFormat="1" x14ac:dyDescent="0.25">
      <c r="A31" s="6" t="s">
        <v>233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9">
        <f>L30/L28</f>
        <v>-0.473176681796875</v>
      </c>
      <c r="M31" s="79">
        <f t="shared" ref="M31:P31" si="9">M30/M28</f>
        <v>-0.528437869020979</v>
      </c>
      <c r="N31" s="79">
        <f t="shared" si="9"/>
        <v>-0.473176681796875</v>
      </c>
      <c r="O31" s="79">
        <f t="shared" si="9"/>
        <v>-0.52174904446808512</v>
      </c>
      <c r="P31" s="79">
        <f t="shared" si="9"/>
        <v>-0.51486773575539568</v>
      </c>
      <c r="Q31" s="93">
        <f>Q30/Q28</f>
        <v>-0.50343604764359351</v>
      </c>
    </row>
    <row r="32" spans="1:17" s="6" customFormat="1" x14ac:dyDescent="0.25"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65"/>
      <c r="M32" s="65"/>
      <c r="N32" s="65"/>
      <c r="O32" s="65"/>
      <c r="P32" s="65"/>
    </row>
    <row r="33" spans="1:17" x14ac:dyDescent="0.25">
      <c r="A33" s="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77"/>
      <c r="M33" s="77"/>
      <c r="N33" s="77"/>
      <c r="O33" s="77"/>
      <c r="P33" s="77"/>
    </row>
    <row r="34" spans="1:17" x14ac:dyDescent="0.25">
      <c r="A34" s="59" t="s">
        <v>218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5"/>
      <c r="M34" s="65"/>
      <c r="N34" s="65"/>
      <c r="O34" s="65"/>
      <c r="P34" s="65"/>
    </row>
    <row r="35" spans="1:17" x14ac:dyDescent="0.25">
      <c r="A35" s="63" t="s">
        <v>226</v>
      </c>
      <c r="B35" s="15">
        <v>132.4</v>
      </c>
      <c r="C35" s="15">
        <v>146.0385</v>
      </c>
      <c r="D35" s="15">
        <v>158.82075</v>
      </c>
      <c r="E35" s="15">
        <v>166.02994150000001</v>
      </c>
      <c r="F35" s="15">
        <v>167.27859280000001</v>
      </c>
      <c r="G35" s="66">
        <v>261</v>
      </c>
      <c r="H35" s="66"/>
      <c r="I35" s="66"/>
      <c r="J35" s="66"/>
      <c r="K35" s="66"/>
      <c r="L35" s="65"/>
      <c r="M35" s="65"/>
      <c r="N35" s="65"/>
      <c r="O35" s="65"/>
      <c r="P35" s="65"/>
    </row>
    <row r="36" spans="1:17" x14ac:dyDescent="0.25">
      <c r="A36" s="6" t="s">
        <v>227</v>
      </c>
      <c r="B36" s="66"/>
      <c r="C36" s="66"/>
      <c r="D36" s="66"/>
      <c r="E36" s="66"/>
      <c r="F36" s="66"/>
      <c r="G36" s="15">
        <v>261.0573</v>
      </c>
      <c r="H36" s="15">
        <v>265.18200530000001</v>
      </c>
      <c r="I36" s="15">
        <v>330.09515270000003</v>
      </c>
      <c r="J36" s="15">
        <v>397.66296269999998</v>
      </c>
      <c r="K36" s="15">
        <v>451.82689690000001</v>
      </c>
      <c r="L36" s="66"/>
      <c r="M36" s="66"/>
      <c r="N36" s="66"/>
      <c r="O36" s="66"/>
      <c r="P36" s="66"/>
    </row>
    <row r="37" spans="1:17" x14ac:dyDescent="0.25">
      <c r="A37" s="6" t="s">
        <v>187</v>
      </c>
      <c r="B37" s="15">
        <v>118.24176300000001</v>
      </c>
      <c r="C37" s="15">
        <v>178.42074289999999</v>
      </c>
      <c r="D37" s="15">
        <v>244.82037320000001</v>
      </c>
      <c r="E37" s="15">
        <v>253.7132671</v>
      </c>
      <c r="F37" s="15">
        <v>197.43631959999999</v>
      </c>
      <c r="G37" s="15">
        <v>135.2645823</v>
      </c>
      <c r="H37" s="15">
        <v>162.3106698</v>
      </c>
      <c r="I37" s="15">
        <v>144.5880209</v>
      </c>
      <c r="J37" s="15">
        <v>162.23765280000001</v>
      </c>
      <c r="K37" s="15">
        <v>167.49700000000001</v>
      </c>
      <c r="L37" s="15"/>
      <c r="M37" s="15"/>
      <c r="N37" s="15"/>
      <c r="O37" s="15"/>
      <c r="P37" s="15"/>
    </row>
    <row r="38" spans="1:17" x14ac:dyDescent="0.25">
      <c r="A38" s="6" t="s">
        <v>230</v>
      </c>
      <c r="B38" s="20"/>
      <c r="C38" s="20"/>
      <c r="D38" s="20"/>
      <c r="E38" s="20"/>
      <c r="F38" s="20">
        <f>SUM(B37:F37)/SUM(B35:F35)-1</f>
        <v>0.28818318910351026</v>
      </c>
      <c r="G38" s="15"/>
      <c r="H38" s="15"/>
      <c r="I38" s="15"/>
      <c r="J38" s="15"/>
      <c r="K38" s="20">
        <f>SUM(G37:K37)/SUM(G36:K36)-1</f>
        <v>-0.54749271783977305</v>
      </c>
      <c r="L38" s="15"/>
      <c r="M38" s="15"/>
      <c r="N38" s="15"/>
      <c r="O38" s="15"/>
      <c r="P38" s="15"/>
    </row>
    <row r="39" spans="1:17" x14ac:dyDescent="0.25">
      <c r="A39" s="6" t="s">
        <v>229</v>
      </c>
      <c r="B39" s="77">
        <f>AVERAGE(B37:F37)</f>
        <v>198.52649315999997</v>
      </c>
      <c r="C39" s="77">
        <f>B39</f>
        <v>198.52649315999997</v>
      </c>
      <c r="D39" s="77">
        <f t="shared" ref="D39:F39" si="10">C39</f>
        <v>198.52649315999997</v>
      </c>
      <c r="E39" s="77">
        <f t="shared" si="10"/>
        <v>198.52649315999997</v>
      </c>
      <c r="F39" s="77">
        <f t="shared" si="10"/>
        <v>198.52649315999997</v>
      </c>
      <c r="G39" s="77">
        <f>AVERAGE(G37:K37)</f>
        <v>154.37958515999998</v>
      </c>
      <c r="H39" s="77">
        <f>G39</f>
        <v>154.37958515999998</v>
      </c>
      <c r="I39" s="77">
        <f t="shared" ref="I39:K39" si="11">H39</f>
        <v>154.37958515999998</v>
      </c>
      <c r="J39" s="77">
        <f t="shared" si="11"/>
        <v>154.37958515999998</v>
      </c>
      <c r="K39" s="77">
        <f t="shared" si="11"/>
        <v>154.37958515999998</v>
      </c>
      <c r="L39" s="77">
        <f>AVERAGE(L40:P40)</f>
        <v>170.08728910000002</v>
      </c>
      <c r="M39" s="77">
        <f>L39</f>
        <v>170.08728910000002</v>
      </c>
      <c r="N39" s="77">
        <f t="shared" ref="N39:P39" si="12">M39</f>
        <v>170.08728910000002</v>
      </c>
      <c r="O39" s="77">
        <f t="shared" si="12"/>
        <v>170.08728910000002</v>
      </c>
      <c r="P39" s="77">
        <f t="shared" si="12"/>
        <v>170.08728910000002</v>
      </c>
      <c r="Q39" s="92">
        <f t="shared" ref="Q39:Q41" si="13">SUM(L39:P39)</f>
        <v>850.4364455000001</v>
      </c>
    </row>
    <row r="40" spans="1:17" x14ac:dyDescent="0.25">
      <c r="A40" s="6" t="s">
        <v>228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>
        <v>175.7690805</v>
      </c>
      <c r="M40" s="15">
        <v>183.01118249999999</v>
      </c>
      <c r="N40" s="15">
        <v>191.59500790000001</v>
      </c>
      <c r="O40" s="15">
        <v>146.36626089999999</v>
      </c>
      <c r="P40" s="15">
        <v>153.6949137</v>
      </c>
      <c r="Q40" s="92">
        <f t="shared" si="13"/>
        <v>850.4364455000001</v>
      </c>
    </row>
    <row r="41" spans="1:17" ht="18" customHeight="1" x14ac:dyDescent="0.25">
      <c r="A41" s="6" t="s">
        <v>189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78">
        <f>L40+(L40*$K$38)</f>
        <v>79.536788904857147</v>
      </c>
      <c r="M41" s="78">
        <f t="shared" ref="M41:P41" si="14">M40+(M40*$K$38)</f>
        <v>82.813892798004289</v>
      </c>
      <c r="N41" s="78">
        <f t="shared" si="14"/>
        <v>86.698136300296213</v>
      </c>
      <c r="O41" s="78">
        <f t="shared" si="14"/>
        <v>66.231798919813684</v>
      </c>
      <c r="P41" s="78">
        <f t="shared" si="14"/>
        <v>69.548067680237637</v>
      </c>
      <c r="Q41" s="92">
        <f t="shared" si="13"/>
        <v>384.82868460320896</v>
      </c>
    </row>
    <row r="42" spans="1:17" s="6" customFormat="1" x14ac:dyDescent="0.25">
      <c r="A42" s="6" t="s">
        <v>234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65">
        <f>L41-L40</f>
        <v>-96.232291595142854</v>
      </c>
      <c r="M42" s="65">
        <f t="shared" ref="M42" si="15">M41-M40</f>
        <v>-100.1972897019957</v>
      </c>
      <c r="N42" s="65">
        <f t="shared" ref="N42" si="16">N41-N40</f>
        <v>-104.8968715997038</v>
      </c>
      <c r="O42" s="65">
        <f t="shared" ref="O42" si="17">O41-O40</f>
        <v>-80.134461980186302</v>
      </c>
      <c r="P42" s="65">
        <f t="shared" ref="P42" si="18">P41-P40</f>
        <v>-84.146846019762364</v>
      </c>
      <c r="Q42" s="92">
        <f>SUM(L42:P42)</f>
        <v>-465.60776089679098</v>
      </c>
    </row>
    <row r="43" spans="1:17" s="6" customFormat="1" x14ac:dyDescent="0.25">
      <c r="A43" s="6" t="s">
        <v>233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9">
        <f>L42/L40</f>
        <v>-0.54749271783977305</v>
      </c>
      <c r="M43" s="79">
        <f t="shared" ref="M43" si="19">M42/M40</f>
        <v>-0.54749271783977305</v>
      </c>
      <c r="N43" s="79">
        <f t="shared" ref="N43" si="20">N42/N40</f>
        <v>-0.54749271783977305</v>
      </c>
      <c r="O43" s="79">
        <f t="shared" ref="O43" si="21">O42/O40</f>
        <v>-0.54749271783977305</v>
      </c>
      <c r="P43" s="79">
        <f t="shared" ref="P43" si="22">P42/P40</f>
        <v>-0.54749271783977305</v>
      </c>
      <c r="Q43" s="93">
        <f>Q42/Q40</f>
        <v>-0.54749271783977294</v>
      </c>
    </row>
    <row r="44" spans="1:17" s="6" customFormat="1" x14ac:dyDescent="0.25"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80"/>
      <c r="M44" s="80"/>
      <c r="N44" s="80"/>
      <c r="O44" s="80"/>
      <c r="P44" s="80"/>
    </row>
    <row r="45" spans="1:17" x14ac:dyDescent="0.25">
      <c r="A45" s="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5"/>
      <c r="M45" s="65"/>
      <c r="N45" s="65"/>
      <c r="O45" s="65"/>
      <c r="P45" s="65"/>
    </row>
    <row r="46" spans="1:17" x14ac:dyDescent="0.25">
      <c r="A46" s="59" t="s">
        <v>225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5"/>
      <c r="M46" s="65"/>
      <c r="N46" s="65"/>
      <c r="O46" s="65"/>
      <c r="P46" s="65"/>
    </row>
    <row r="47" spans="1:17" x14ac:dyDescent="0.25">
      <c r="A47" s="63" t="s">
        <v>226</v>
      </c>
      <c r="B47" s="15">
        <v>132.19999999999999</v>
      </c>
      <c r="C47" s="15">
        <v>145.83000000000001</v>
      </c>
      <c r="D47" s="15">
        <v>158.61000000000001</v>
      </c>
      <c r="E47" s="15">
        <v>165.81</v>
      </c>
      <c r="F47" s="15">
        <v>167.05</v>
      </c>
      <c r="G47" s="66">
        <v>298</v>
      </c>
      <c r="H47" s="66"/>
      <c r="I47" s="66"/>
      <c r="J47" s="66"/>
      <c r="K47" s="66"/>
      <c r="L47" s="65"/>
      <c r="M47" s="65"/>
      <c r="N47" s="65"/>
      <c r="O47" s="65"/>
      <c r="P47" s="65"/>
    </row>
    <row r="48" spans="1:17" x14ac:dyDescent="0.25">
      <c r="A48" s="6" t="s">
        <v>235</v>
      </c>
      <c r="B48" s="66"/>
      <c r="C48" s="66"/>
      <c r="D48" s="66"/>
      <c r="E48" s="66"/>
      <c r="F48" s="66"/>
      <c r="G48" s="15">
        <v>298.2</v>
      </c>
      <c r="H48" s="15">
        <v>304.69</v>
      </c>
      <c r="I48" s="15">
        <v>392.77</v>
      </c>
      <c r="J48" s="15">
        <v>318.58999999999997</v>
      </c>
      <c r="K48" s="15">
        <v>325.42</v>
      </c>
      <c r="L48" s="65"/>
      <c r="M48" s="65"/>
      <c r="N48" s="65"/>
      <c r="O48" s="65"/>
      <c r="P48" s="65"/>
    </row>
    <row r="49" spans="1:35" x14ac:dyDescent="0.25">
      <c r="A49" s="6" t="s">
        <v>236</v>
      </c>
      <c r="B49" s="15">
        <v>196.79349769999999</v>
      </c>
      <c r="C49" s="15">
        <v>285.08356020000002</v>
      </c>
      <c r="D49" s="15">
        <v>276.7301142</v>
      </c>
      <c r="E49" s="15">
        <v>282.26057689999999</v>
      </c>
      <c r="F49" s="15">
        <v>239.5853572</v>
      </c>
      <c r="G49" s="15">
        <v>186.37629749999999</v>
      </c>
      <c r="H49" s="15">
        <v>183.34479630000001</v>
      </c>
      <c r="I49" s="15">
        <v>199.14595270000001</v>
      </c>
      <c r="J49" s="15">
        <v>202.70611249999999</v>
      </c>
      <c r="K49" s="15">
        <v>227.00399999999999</v>
      </c>
      <c r="L49" s="15"/>
      <c r="M49" s="15"/>
      <c r="N49" s="15"/>
      <c r="O49" s="15"/>
      <c r="P49" s="15"/>
    </row>
    <row r="50" spans="1:35" x14ac:dyDescent="0.25">
      <c r="A50" s="6" t="s">
        <v>230</v>
      </c>
      <c r="B50" s="20"/>
      <c r="C50" s="20"/>
      <c r="D50" s="20"/>
      <c r="E50" s="20"/>
      <c r="F50" s="20">
        <f>SUM(B49:F49)/SUM(B47:F47)-1</f>
        <v>0.66400663573749208</v>
      </c>
      <c r="G50" s="15"/>
      <c r="H50" s="15"/>
      <c r="I50" s="15"/>
      <c r="J50" s="15"/>
      <c r="K50" s="20">
        <f>SUM(G49:K49)/SUM(G48:K48)-1</f>
        <v>-0.39098894350692515</v>
      </c>
      <c r="L50" s="15"/>
      <c r="M50" s="15"/>
      <c r="N50" s="15"/>
      <c r="O50" s="15"/>
      <c r="P50" s="15"/>
    </row>
    <row r="51" spans="1:35" x14ac:dyDescent="0.25">
      <c r="A51" s="6" t="s">
        <v>231</v>
      </c>
      <c r="B51" s="15">
        <f t="shared" ref="B51:D51" si="23">C51</f>
        <v>24237.234643195156</v>
      </c>
      <c r="C51" s="15">
        <f t="shared" si="23"/>
        <v>24237.234643195156</v>
      </c>
      <c r="D51" s="15">
        <f t="shared" si="23"/>
        <v>24237.234643195156</v>
      </c>
      <c r="E51" s="15">
        <f>F51</f>
        <v>24237.234643195156</v>
      </c>
      <c r="F51" s="68">
        <f>SUM(B49:F49)/(F7-B7)*1000000</f>
        <v>24237.234643195156</v>
      </c>
      <c r="G51" s="15">
        <f t="shared" ref="G51:I51" si="24">H51</f>
        <v>21061.252378039779</v>
      </c>
      <c r="H51" s="15">
        <f t="shared" si="24"/>
        <v>21061.252378039779</v>
      </c>
      <c r="I51" s="15">
        <f t="shared" si="24"/>
        <v>21061.252378039779</v>
      </c>
      <c r="J51" s="15">
        <f>K51</f>
        <v>21061.252378039779</v>
      </c>
      <c r="K51" s="15">
        <f>SUM(G49:K49)/(K7-G7)*1000000</f>
        <v>21061.252378039779</v>
      </c>
      <c r="L51" s="15">
        <f t="shared" ref="L51:N51" si="25">M51</f>
        <v>25862.150306368392</v>
      </c>
      <c r="M51" s="15">
        <f t="shared" si="25"/>
        <v>25862.150306368392</v>
      </c>
      <c r="N51" s="15">
        <f t="shared" si="25"/>
        <v>25862.150306368392</v>
      </c>
      <c r="O51" s="15">
        <f>P51</f>
        <v>25862.150306368392</v>
      </c>
      <c r="P51" s="15">
        <f>(SUM(L52:P52)/(P12-L12))*1000000</f>
        <v>25862.150306368392</v>
      </c>
      <c r="Q51" s="92"/>
    </row>
    <row r="52" spans="1:35" x14ac:dyDescent="0.25">
      <c r="A52" s="6" t="s">
        <v>237</v>
      </c>
      <c r="C52" s="15"/>
      <c r="D52" s="15"/>
      <c r="E52" s="15"/>
      <c r="G52" s="15"/>
      <c r="H52" s="15"/>
      <c r="I52" s="15"/>
      <c r="J52" s="15"/>
      <c r="L52" s="15">
        <v>224.71240739999999</v>
      </c>
      <c r="M52" s="15">
        <v>237.7646187</v>
      </c>
      <c r="N52" s="15">
        <v>258.35343319999998</v>
      </c>
      <c r="O52" s="15">
        <v>275.76590520000002</v>
      </c>
      <c r="P52" s="15">
        <v>289.8248241</v>
      </c>
      <c r="Q52" s="92">
        <f t="shared" ref="Q52:Q53" si="26">SUM(L52:P52)</f>
        <v>1286.4211886000001</v>
      </c>
    </row>
    <row r="53" spans="1:35" x14ac:dyDescent="0.25">
      <c r="A53" s="6" t="s">
        <v>238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7">
        <f>(L11-K7)*(G51/1000000)</f>
        <v>216.00420438917598</v>
      </c>
      <c r="M53" s="67">
        <f>(M11-L11)*(H51/1000000)</f>
        <v>247.70138921812585</v>
      </c>
      <c r="N53" s="67">
        <f>(N11-M11)*(I51/1000000)</f>
        <v>247.70138921812585</v>
      </c>
      <c r="O53" s="67">
        <f>(O11-N11)*(J51/1000000)</f>
        <v>247.70138921812585</v>
      </c>
      <c r="P53" s="67">
        <f>(P11-O11)*(K51/1000000)</f>
        <v>247.70138921812585</v>
      </c>
      <c r="Q53" s="92">
        <f t="shared" si="26"/>
        <v>1206.8097612616793</v>
      </c>
      <c r="AI53" s="21"/>
    </row>
    <row r="54" spans="1:35" s="6" customFormat="1" x14ac:dyDescent="0.25">
      <c r="A54" s="6" t="s">
        <v>234</v>
      </c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65">
        <f>L53-L52</f>
        <v>-8.7082030108240076</v>
      </c>
      <c r="M54" s="65">
        <f t="shared" ref="M54:P54" si="27">M53-M52</f>
        <v>9.9367705181258543</v>
      </c>
      <c r="N54" s="65">
        <f t="shared" si="27"/>
        <v>-10.652043981874129</v>
      </c>
      <c r="O54" s="65">
        <f t="shared" si="27"/>
        <v>-28.064515981874166</v>
      </c>
      <c r="P54" s="65">
        <f t="shared" si="27"/>
        <v>-42.123434881874147</v>
      </c>
      <c r="Q54" s="92">
        <f>SUM(L54:P54)</f>
        <v>-79.611427338320595</v>
      </c>
    </row>
    <row r="55" spans="1:35" s="6" customFormat="1" x14ac:dyDescent="0.25">
      <c r="A55" s="6" t="s">
        <v>233</v>
      </c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81">
        <f>L54/L51</f>
        <v>-3.3671612405251807E-4</v>
      </c>
      <c r="M55" s="81">
        <f t="shared" ref="M55:P55" si="28">M54/M51</f>
        <v>3.8422058492479594E-4</v>
      </c>
      <c r="N55" s="81">
        <f t="shared" si="28"/>
        <v>-4.1187773853634785E-4</v>
      </c>
      <c r="O55" s="81">
        <f t="shared" si="28"/>
        <v>-1.0851578716160912E-3</v>
      </c>
      <c r="P55" s="81">
        <f t="shared" si="28"/>
        <v>-1.628767692665583E-3</v>
      </c>
      <c r="Q55" s="91">
        <f>Q54/Q52</f>
        <v>-6.1885973306270672E-2</v>
      </c>
    </row>
    <row r="56" spans="1:35" s="2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35" x14ac:dyDescent="0.25">
      <c r="U57" s="2"/>
    </row>
    <row r="58" spans="1:35" x14ac:dyDescent="0.25">
      <c r="U58" s="2"/>
    </row>
  </sheetData>
  <dataValidations count="1">
    <dataValidation type="decimal" operator="greaterThanOrEqual" allowBlank="1" showInputMessage="1" showErrorMessage="1" errorTitle="Utilisation" error="Must be a number" promptTitle="Utilisation" prompt="Enter value as a percentage" sqref="K3:K4 L4:P4">
      <formula1>0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I234"/>
  <sheetViews>
    <sheetView showRuler="0" topLeftCell="A28" workbookViewId="0">
      <selection activeCell="H40" sqref="H40"/>
    </sheetView>
  </sheetViews>
  <sheetFormatPr defaultColWidth="11" defaultRowHeight="15.75" x14ac:dyDescent="0.25"/>
  <cols>
    <col min="2" max="2" width="24.5" customWidth="1"/>
  </cols>
  <sheetData>
    <row r="1" spans="2:9" ht="26.25" x14ac:dyDescent="0.4">
      <c r="B1" s="84"/>
    </row>
    <row r="2" spans="2:9" x14ac:dyDescent="0.25">
      <c r="B2" s="9" t="s">
        <v>149</v>
      </c>
      <c r="C2" t="s">
        <v>70</v>
      </c>
      <c r="D2" t="s">
        <v>69</v>
      </c>
    </row>
    <row r="3" spans="2:9" x14ac:dyDescent="0.25">
      <c r="B3" t="s">
        <v>150</v>
      </c>
      <c r="C3" s="1">
        <v>0.3</v>
      </c>
      <c r="D3" s="20">
        <f>30%</f>
        <v>0.3</v>
      </c>
    </row>
    <row r="4" spans="2:9" x14ac:dyDescent="0.25">
      <c r="B4" t="s">
        <v>16</v>
      </c>
      <c r="C4" s="2">
        <f>'Ergon ARR'!B30</f>
        <v>2.5700000000000001E-2</v>
      </c>
      <c r="D4" s="2">
        <f>C4</f>
        <v>2.5700000000000001E-2</v>
      </c>
    </row>
    <row r="5" spans="2:9" x14ac:dyDescent="0.25">
      <c r="B5" t="s">
        <v>152</v>
      </c>
      <c r="C5" s="1">
        <f>'Ergon ARR'!B33</f>
        <v>0.6</v>
      </c>
      <c r="D5" s="1">
        <f>C5</f>
        <v>0.6</v>
      </c>
    </row>
    <row r="6" spans="2:9" x14ac:dyDescent="0.25">
      <c r="B6" t="s">
        <v>153</v>
      </c>
      <c r="C6" s="1">
        <f>'Ergon ARR'!B32</f>
        <v>0.25</v>
      </c>
      <c r="D6" s="1">
        <f>C6</f>
        <v>0.25</v>
      </c>
    </row>
    <row r="7" spans="2:9" x14ac:dyDescent="0.25">
      <c r="B7" t="s">
        <v>154</v>
      </c>
      <c r="C7" s="40">
        <f>'Ergon ARR'!B35</f>
        <v>1.97E-3</v>
      </c>
      <c r="D7" s="3">
        <f>C7</f>
        <v>1.97E-3</v>
      </c>
    </row>
    <row r="8" spans="2:9" x14ac:dyDescent="0.25">
      <c r="C8" s="40"/>
      <c r="D8" s="3"/>
    </row>
    <row r="9" spans="2:9" x14ac:dyDescent="0.25">
      <c r="B9" t="s">
        <v>17</v>
      </c>
      <c r="C9" s="23">
        <f>'Ergon ARR'!B31</f>
        <v>0.1052</v>
      </c>
      <c r="D9" s="2">
        <f>D31</f>
        <v>3.6895999999999998E-2</v>
      </c>
    </row>
    <row r="10" spans="2:9" x14ac:dyDescent="0.25">
      <c r="B10" t="s">
        <v>20</v>
      </c>
      <c r="C10" s="23">
        <f>'Ergon ARR'!B34</f>
        <v>6.3600000000000004E-2</v>
      </c>
      <c r="D10" s="88">
        <f>E161</f>
        <v>3.6499999999999998E-2</v>
      </c>
    </row>
    <row r="11" spans="2:9" x14ac:dyDescent="0.25">
      <c r="B11" t="s">
        <v>155</v>
      </c>
      <c r="C11" s="2">
        <f>C10*C5+(1-C5)*C9</f>
        <v>8.0240000000000006E-2</v>
      </c>
      <c r="D11" s="91">
        <f>D10*D5+(1-D5)*D9</f>
        <v>3.6658400000000001E-2</v>
      </c>
    </row>
    <row r="13" spans="2:9" x14ac:dyDescent="0.25">
      <c r="B13" s="9"/>
      <c r="C13" t="s">
        <v>101</v>
      </c>
      <c r="D13" t="s">
        <v>102</v>
      </c>
      <c r="E13" t="s">
        <v>103</v>
      </c>
      <c r="F13" t="s">
        <v>104</v>
      </c>
      <c r="G13" t="s">
        <v>105</v>
      </c>
      <c r="I13" t="s">
        <v>156</v>
      </c>
    </row>
    <row r="14" spans="2:9" x14ac:dyDescent="0.25">
      <c r="B14" s="9" t="s">
        <v>140</v>
      </c>
    </row>
    <row r="15" spans="2:9" x14ac:dyDescent="0.25">
      <c r="B15" t="s">
        <v>148</v>
      </c>
      <c r="C15" s="23">
        <v>6.4000000000000001E-2</v>
      </c>
      <c r="D15" s="23">
        <v>0.108</v>
      </c>
      <c r="E15" s="23">
        <v>9.7000000000000003E-2</v>
      </c>
      <c r="F15" s="23">
        <v>0.121</v>
      </c>
      <c r="G15" s="23">
        <v>0.112</v>
      </c>
      <c r="H15" s="2"/>
      <c r="I15" s="2">
        <f>AVERAGE(C15:G15)</f>
        <v>0.1004</v>
      </c>
    </row>
    <row r="16" spans="2:9" x14ac:dyDescent="0.25">
      <c r="B16" t="s">
        <v>141</v>
      </c>
      <c r="C16" s="37">
        <v>7.5999999999999998E-2</v>
      </c>
      <c r="D16" s="37">
        <v>7.0000000000000007E-2</v>
      </c>
      <c r="E16" s="37">
        <v>-4.4900000000000002E-2</v>
      </c>
      <c r="F16" s="38">
        <v>5.57E-2</v>
      </c>
      <c r="G16" s="37">
        <v>0.14019999999999999</v>
      </c>
      <c r="H16" s="2"/>
      <c r="I16" s="2">
        <f t="shared" ref="I16:I24" si="0">AVERAGE(C16:G16)</f>
        <v>5.9400000000000008E-2</v>
      </c>
    </row>
    <row r="17" spans="2:9" x14ac:dyDescent="0.25">
      <c r="B17" t="s">
        <v>142</v>
      </c>
      <c r="C17" s="37">
        <v>0.183</v>
      </c>
      <c r="D17" s="37">
        <v>-1.9E-2</v>
      </c>
      <c r="E17" s="37">
        <v>7.4999999999999997E-2</v>
      </c>
      <c r="F17" s="37">
        <v>6.0000000000000001E-3</v>
      </c>
      <c r="G17" s="37">
        <v>9.7000000000000003E-2</v>
      </c>
      <c r="H17" s="2"/>
      <c r="I17" s="2">
        <f t="shared" si="0"/>
        <v>6.8399999999999989E-2</v>
      </c>
    </row>
    <row r="18" spans="2:9" x14ac:dyDescent="0.25">
      <c r="B18" t="s">
        <v>143</v>
      </c>
      <c r="C18" s="37">
        <v>6.0000000000000001E-3</v>
      </c>
      <c r="D18" s="37">
        <v>-0.377</v>
      </c>
      <c r="E18" s="37">
        <v>4.0000000000000001E-3</v>
      </c>
      <c r="F18" s="37">
        <v>-4.0000000000000001E-3</v>
      </c>
      <c r="G18" s="37" t="s">
        <v>157</v>
      </c>
      <c r="H18" s="2"/>
      <c r="I18" s="2">
        <f>AVERAGE(C18:F18)</f>
        <v>-9.2749999999999999E-2</v>
      </c>
    </row>
    <row r="19" spans="2:9" x14ac:dyDescent="0.25">
      <c r="B19" t="s">
        <v>144</v>
      </c>
      <c r="C19" s="39">
        <v>3.15E-2</v>
      </c>
      <c r="D19" s="39">
        <v>-4.8999999999999998E-3</v>
      </c>
      <c r="E19" s="39">
        <v>-6.9800000000000001E-2</v>
      </c>
      <c r="F19" s="37">
        <v>2.4799999999999999E-2</v>
      </c>
      <c r="G19" s="37">
        <v>2.9700000000000001E-2</v>
      </c>
      <c r="H19" s="2"/>
      <c r="I19" s="2">
        <f t="shared" si="0"/>
        <v>2.2599999999999994E-3</v>
      </c>
    </row>
    <row r="20" spans="2:9" x14ac:dyDescent="0.25">
      <c r="B20" t="s">
        <v>145</v>
      </c>
      <c r="C20" s="39">
        <v>5.5E-2</v>
      </c>
      <c r="D20" s="39">
        <v>6.7000000000000004E-2</v>
      </c>
      <c r="E20" s="39">
        <v>8.3000000000000004E-2</v>
      </c>
      <c r="F20" s="37">
        <v>8.4000000000000005E-2</v>
      </c>
      <c r="G20" s="39">
        <v>0.10300000000000001</v>
      </c>
      <c r="H20" s="2"/>
      <c r="I20" s="2">
        <f t="shared" si="0"/>
        <v>7.8399999999999997E-2</v>
      </c>
    </row>
    <row r="21" spans="2:9" x14ac:dyDescent="0.25">
      <c r="B21" t="s">
        <v>146</v>
      </c>
      <c r="C21" s="39">
        <v>2.12E-2</v>
      </c>
      <c r="D21" s="39">
        <v>3.0499999999999999E-2</v>
      </c>
      <c r="E21" s="39">
        <v>1E-3</v>
      </c>
      <c r="F21" s="37">
        <v>8.8999999999999996E-2</v>
      </c>
      <c r="G21" s="37">
        <v>8.6999999999999994E-2</v>
      </c>
      <c r="H21" s="2"/>
      <c r="I21" s="2">
        <f t="shared" si="0"/>
        <v>4.5739999999999996E-2</v>
      </c>
    </row>
    <row r="22" spans="2:9" x14ac:dyDescent="0.25">
      <c r="B22" t="s">
        <v>147</v>
      </c>
      <c r="C22" s="39">
        <v>0.12920000000000001</v>
      </c>
      <c r="D22" s="39">
        <v>3.8800000000000001E-2</v>
      </c>
      <c r="E22" s="39">
        <v>8.0299999999999996E-2</v>
      </c>
      <c r="F22" s="37">
        <v>6.3899999999999998E-2</v>
      </c>
      <c r="G22" s="37">
        <v>4.4299999999999999E-2</v>
      </c>
      <c r="H22" s="2"/>
      <c r="I22" s="2">
        <f t="shared" si="0"/>
        <v>7.1300000000000002E-2</v>
      </c>
    </row>
    <row r="23" spans="2:9" x14ac:dyDescent="0.25">
      <c r="C23" s="39"/>
      <c r="D23" s="39"/>
      <c r="E23" s="39"/>
      <c r="F23" s="37"/>
      <c r="G23" s="37"/>
      <c r="I23" s="2"/>
    </row>
    <row r="24" spans="2:9" x14ac:dyDescent="0.25">
      <c r="B24" t="s">
        <v>240</v>
      </c>
      <c r="C24" s="2">
        <f>AVERAGE(C16:C22)</f>
        <v>7.17E-2</v>
      </c>
      <c r="D24" s="2">
        <f>AVERAGE(D16:D22)</f>
        <v>-2.7800000000000002E-2</v>
      </c>
      <c r="E24" s="2">
        <f t="shared" ref="E24:G24" si="1">AVERAGE(E16:E22)</f>
        <v>1.837142857142857E-2</v>
      </c>
      <c r="F24" s="2">
        <f t="shared" si="1"/>
        <v>4.5628571428571428E-2</v>
      </c>
      <c r="G24" s="2">
        <f t="shared" si="1"/>
        <v>8.3533333333333334E-2</v>
      </c>
      <c r="I24" s="2">
        <f t="shared" si="0"/>
        <v>3.828666666666667E-2</v>
      </c>
    </row>
    <row r="26" spans="2:9" x14ac:dyDescent="0.25">
      <c r="B26" s="9" t="s">
        <v>161</v>
      </c>
      <c r="C26" t="s">
        <v>70</v>
      </c>
      <c r="D26" t="s">
        <v>69</v>
      </c>
    </row>
    <row r="27" spans="2:9" x14ac:dyDescent="0.25">
      <c r="B27" t="s">
        <v>160</v>
      </c>
      <c r="C27" s="23">
        <f>C29+C28</f>
        <v>0.112</v>
      </c>
      <c r="D27" s="2">
        <f>I24</f>
        <v>3.828666666666667E-2</v>
      </c>
    </row>
    <row r="28" spans="2:9" x14ac:dyDescent="0.25">
      <c r="B28" t="s">
        <v>151</v>
      </c>
      <c r="C28" s="2">
        <f>'Ergon ARR'!B29</f>
        <v>3.6299999999999999E-2</v>
      </c>
      <c r="D28" s="2">
        <f>C28</f>
        <v>3.6299999999999999E-2</v>
      </c>
    </row>
    <row r="29" spans="2:9" x14ac:dyDescent="0.25">
      <c r="B29" t="s">
        <v>158</v>
      </c>
      <c r="C29" s="2">
        <v>7.5700000000000003E-2</v>
      </c>
      <c r="D29" s="2">
        <f>D27-D28</f>
        <v>1.9866666666666713E-3</v>
      </c>
    </row>
    <row r="30" spans="2:9" x14ac:dyDescent="0.25">
      <c r="B30" t="s">
        <v>159</v>
      </c>
      <c r="C30">
        <v>0.82</v>
      </c>
      <c r="D30">
        <v>0.3</v>
      </c>
    </row>
    <row r="31" spans="2:9" x14ac:dyDescent="0.25">
      <c r="B31" s="10" t="s">
        <v>162</v>
      </c>
      <c r="C31" s="41">
        <f>C28+C30*C29</f>
        <v>9.8373999999999989E-2</v>
      </c>
      <c r="D31" s="41">
        <f>D28+D30*D29</f>
        <v>3.6895999999999998E-2</v>
      </c>
    </row>
    <row r="33" spans="1:6" x14ac:dyDescent="0.25">
      <c r="B33" s="9" t="s">
        <v>163</v>
      </c>
      <c r="C33" t="s">
        <v>70</v>
      </c>
      <c r="D33" t="s">
        <v>167</v>
      </c>
      <c r="E33" t="s">
        <v>69</v>
      </c>
      <c r="F33" t="s">
        <v>169</v>
      </c>
    </row>
    <row r="34" spans="1:6" x14ac:dyDescent="0.25">
      <c r="B34" t="s">
        <v>164</v>
      </c>
      <c r="C34" t="s">
        <v>165</v>
      </c>
      <c r="D34" t="s">
        <v>168</v>
      </c>
      <c r="E34" t="s">
        <v>166</v>
      </c>
      <c r="F34" t="s">
        <v>170</v>
      </c>
    </row>
    <row r="36" spans="1:6" x14ac:dyDescent="0.25">
      <c r="B36" s="42" t="s">
        <v>243</v>
      </c>
    </row>
    <row r="37" spans="1:6" x14ac:dyDescent="0.25">
      <c r="A37">
        <v>1</v>
      </c>
      <c r="B37" s="43">
        <v>38383</v>
      </c>
      <c r="C37" s="90">
        <v>6.41</v>
      </c>
      <c r="D37" s="98" t="s">
        <v>244</v>
      </c>
      <c r="E37" s="98"/>
      <c r="F37" s="98"/>
    </row>
    <row r="38" spans="1:6" x14ac:dyDescent="0.25">
      <c r="A38">
        <v>2</v>
      </c>
      <c r="B38" s="43">
        <v>38411</v>
      </c>
      <c r="C38" s="90">
        <v>6.51</v>
      </c>
      <c r="D38" s="98"/>
      <c r="E38" s="98"/>
      <c r="F38" s="98"/>
    </row>
    <row r="39" spans="1:6" x14ac:dyDescent="0.25">
      <c r="A39">
        <v>3</v>
      </c>
      <c r="B39" s="43">
        <v>38442</v>
      </c>
      <c r="C39" s="90">
        <v>6.66</v>
      </c>
      <c r="D39" s="98"/>
      <c r="E39" s="98"/>
      <c r="F39" s="98"/>
    </row>
    <row r="40" spans="1:6" x14ac:dyDescent="0.25">
      <c r="A40">
        <v>4</v>
      </c>
      <c r="B40" s="43">
        <v>38472</v>
      </c>
      <c r="C40" s="90">
        <v>6.35</v>
      </c>
      <c r="D40" s="98"/>
      <c r="E40" s="98"/>
      <c r="F40" s="98"/>
    </row>
    <row r="41" spans="1:6" x14ac:dyDescent="0.25">
      <c r="A41">
        <v>5</v>
      </c>
      <c r="B41" s="43">
        <v>38503</v>
      </c>
      <c r="C41" s="90">
        <v>6.15</v>
      </c>
      <c r="D41" s="98"/>
      <c r="E41" s="98"/>
      <c r="F41" s="98"/>
    </row>
    <row r="42" spans="1:6" x14ac:dyDescent="0.25">
      <c r="A42">
        <v>6</v>
      </c>
      <c r="B42" s="43">
        <v>38533</v>
      </c>
      <c r="C42" s="90">
        <v>6.07</v>
      </c>
      <c r="D42" s="98"/>
      <c r="E42" s="98"/>
      <c r="F42" s="98"/>
    </row>
    <row r="43" spans="1:6" x14ac:dyDescent="0.25">
      <c r="A43">
        <v>7</v>
      </c>
      <c r="B43" s="43">
        <v>38564</v>
      </c>
      <c r="C43" s="90">
        <v>6.05</v>
      </c>
      <c r="D43" s="98"/>
      <c r="E43" s="98"/>
      <c r="F43" s="98"/>
    </row>
    <row r="44" spans="1:6" x14ac:dyDescent="0.25">
      <c r="A44">
        <v>8</v>
      </c>
      <c r="B44" s="43">
        <v>38595</v>
      </c>
      <c r="C44" s="90">
        <v>5.97</v>
      </c>
      <c r="D44" s="98"/>
      <c r="E44" s="98"/>
      <c r="F44" s="98"/>
    </row>
    <row r="45" spans="1:6" x14ac:dyDescent="0.25">
      <c r="A45">
        <v>9</v>
      </c>
      <c r="B45" s="43">
        <v>38625</v>
      </c>
      <c r="C45" s="90">
        <v>6.39</v>
      </c>
      <c r="D45" s="98"/>
      <c r="E45" s="98"/>
      <c r="F45" s="98"/>
    </row>
    <row r="46" spans="1:6" x14ac:dyDescent="0.25">
      <c r="A46">
        <v>10</v>
      </c>
      <c r="B46" s="43">
        <v>38656</v>
      </c>
      <c r="C46" s="90">
        <v>6.5</v>
      </c>
      <c r="D46" s="98"/>
      <c r="E46" s="98"/>
      <c r="F46" s="98"/>
    </row>
    <row r="47" spans="1:6" x14ac:dyDescent="0.25">
      <c r="A47">
        <v>11</v>
      </c>
      <c r="B47" s="43">
        <v>38686</v>
      </c>
      <c r="C47" s="90">
        <v>6.43</v>
      </c>
      <c r="D47" s="98"/>
      <c r="E47" s="98"/>
      <c r="F47" s="98"/>
    </row>
    <row r="48" spans="1:6" x14ac:dyDescent="0.25">
      <c r="A48">
        <v>12</v>
      </c>
      <c r="B48" s="43">
        <v>38717</v>
      </c>
      <c r="C48" s="90">
        <v>6.24</v>
      </c>
      <c r="D48" s="98"/>
      <c r="E48" s="98"/>
      <c r="F48" s="98"/>
    </row>
    <row r="49" spans="1:6" x14ac:dyDescent="0.25">
      <c r="A49">
        <v>13</v>
      </c>
      <c r="B49" s="43">
        <v>38748</v>
      </c>
      <c r="C49" s="90">
        <v>6.35</v>
      </c>
      <c r="D49" s="98"/>
      <c r="E49" s="98"/>
      <c r="F49" s="98"/>
    </row>
    <row r="50" spans="1:6" x14ac:dyDescent="0.25">
      <c r="A50">
        <v>14</v>
      </c>
      <c r="B50" s="43">
        <v>38776</v>
      </c>
      <c r="C50" s="90">
        <v>6.31</v>
      </c>
      <c r="D50" s="98"/>
      <c r="E50" s="98"/>
      <c r="F50" s="98"/>
    </row>
    <row r="51" spans="1:6" x14ac:dyDescent="0.25">
      <c r="A51">
        <v>15</v>
      </c>
      <c r="B51" s="43">
        <v>38807</v>
      </c>
      <c r="C51" s="90">
        <v>6.41</v>
      </c>
      <c r="D51" s="98"/>
      <c r="E51" s="98"/>
      <c r="F51" s="98"/>
    </row>
    <row r="52" spans="1:6" x14ac:dyDescent="0.25">
      <c r="A52">
        <v>16</v>
      </c>
      <c r="B52" s="43">
        <v>38837</v>
      </c>
      <c r="C52" s="90">
        <v>6.96</v>
      </c>
      <c r="D52" s="98"/>
      <c r="E52" s="98"/>
      <c r="F52" s="98"/>
    </row>
    <row r="53" spans="1:6" x14ac:dyDescent="0.25">
      <c r="A53">
        <v>17</v>
      </c>
      <c r="B53" s="43">
        <v>38868</v>
      </c>
      <c r="C53" s="90">
        <v>6.96</v>
      </c>
      <c r="D53" s="98"/>
      <c r="E53" s="98"/>
      <c r="F53" s="98"/>
    </row>
    <row r="54" spans="1:6" x14ac:dyDescent="0.25">
      <c r="A54">
        <v>18</v>
      </c>
      <c r="B54" s="43">
        <v>38898</v>
      </c>
      <c r="C54" s="90">
        <v>7.03</v>
      </c>
      <c r="D54" s="98"/>
      <c r="E54" s="98"/>
      <c r="F54" s="98"/>
    </row>
    <row r="55" spans="1:6" x14ac:dyDescent="0.25">
      <c r="A55">
        <v>19</v>
      </c>
      <c r="B55" s="43">
        <v>38929</v>
      </c>
      <c r="C55" s="90">
        <v>7.12</v>
      </c>
      <c r="D55" s="98"/>
      <c r="E55" s="98"/>
      <c r="F55" s="98"/>
    </row>
    <row r="56" spans="1:6" x14ac:dyDescent="0.25">
      <c r="A56">
        <v>20</v>
      </c>
      <c r="B56" s="43">
        <v>38960</v>
      </c>
      <c r="C56" s="90">
        <v>6.96</v>
      </c>
      <c r="D56" s="98"/>
      <c r="E56" s="98"/>
      <c r="F56" s="98"/>
    </row>
    <row r="57" spans="1:6" x14ac:dyDescent="0.25">
      <c r="A57">
        <v>21</v>
      </c>
      <c r="B57" s="43">
        <v>38990</v>
      </c>
      <c r="C57" s="90">
        <v>6.61</v>
      </c>
      <c r="D57" s="98"/>
      <c r="E57" s="98"/>
      <c r="F57" s="98"/>
    </row>
    <row r="58" spans="1:6" x14ac:dyDescent="0.25">
      <c r="A58">
        <v>22</v>
      </c>
      <c r="B58" s="43">
        <v>39021</v>
      </c>
      <c r="C58" s="90">
        <v>7.01</v>
      </c>
      <c r="D58" s="98"/>
      <c r="E58" s="98"/>
      <c r="F58" s="98"/>
    </row>
    <row r="59" spans="1:6" x14ac:dyDescent="0.25">
      <c r="A59">
        <v>23</v>
      </c>
      <c r="B59" s="43">
        <v>39051</v>
      </c>
      <c r="C59" s="90">
        <v>6.76</v>
      </c>
      <c r="D59" s="98"/>
      <c r="E59" s="98"/>
      <c r="F59" s="98"/>
    </row>
    <row r="60" spans="1:6" x14ac:dyDescent="0.25">
      <c r="A60">
        <v>24</v>
      </c>
      <c r="B60" s="43">
        <v>39082</v>
      </c>
      <c r="C60" s="90">
        <v>7.02</v>
      </c>
      <c r="D60" s="98"/>
      <c r="E60" s="98"/>
      <c r="F60" s="98"/>
    </row>
    <row r="61" spans="1:6" x14ac:dyDescent="0.25">
      <c r="A61">
        <v>25</v>
      </c>
      <c r="B61" s="43">
        <v>39113</v>
      </c>
      <c r="C61" s="90">
        <v>8.5299999999999994</v>
      </c>
      <c r="D61" s="98"/>
      <c r="E61" s="98"/>
      <c r="F61" s="98"/>
    </row>
    <row r="62" spans="1:6" x14ac:dyDescent="0.25">
      <c r="A62">
        <v>26</v>
      </c>
      <c r="B62" s="43">
        <v>39141</v>
      </c>
      <c r="C62" s="90">
        <v>7.35</v>
      </c>
      <c r="D62" s="98"/>
      <c r="E62" s="98"/>
      <c r="F62" s="98"/>
    </row>
    <row r="63" spans="1:6" x14ac:dyDescent="0.25">
      <c r="A63">
        <v>27</v>
      </c>
      <c r="B63" s="43">
        <v>39172</v>
      </c>
      <c r="C63" s="90">
        <v>7.16</v>
      </c>
      <c r="D63" s="98"/>
      <c r="E63" s="98"/>
      <c r="F63" s="98"/>
    </row>
    <row r="64" spans="1:6" x14ac:dyDescent="0.25">
      <c r="A64">
        <v>28</v>
      </c>
      <c r="B64" s="43">
        <v>39202</v>
      </c>
      <c r="C64" s="90">
        <v>7.12</v>
      </c>
      <c r="D64" s="98"/>
      <c r="E64" s="98"/>
      <c r="F64" s="98"/>
    </row>
    <row r="65" spans="1:6" x14ac:dyDescent="0.25">
      <c r="A65">
        <v>29</v>
      </c>
      <c r="B65" s="43">
        <v>39233</v>
      </c>
      <c r="C65" s="90">
        <v>7.24</v>
      </c>
      <c r="D65" s="98"/>
      <c r="E65" s="98"/>
      <c r="F65" s="98"/>
    </row>
    <row r="66" spans="1:6" x14ac:dyDescent="0.25">
      <c r="A66">
        <v>30</v>
      </c>
      <c r="B66" s="43">
        <v>39263</v>
      </c>
      <c r="C66" s="90">
        <v>7.59</v>
      </c>
      <c r="D66" s="98"/>
      <c r="E66" s="98"/>
      <c r="F66" s="98"/>
    </row>
    <row r="67" spans="1:6" x14ac:dyDescent="0.25">
      <c r="A67">
        <v>31</v>
      </c>
      <c r="B67" s="43">
        <v>39294</v>
      </c>
      <c r="C67" s="90">
        <v>7.64</v>
      </c>
      <c r="D67" s="98"/>
      <c r="E67" s="98"/>
      <c r="F67" s="98"/>
    </row>
    <row r="68" spans="1:6" x14ac:dyDescent="0.25">
      <c r="A68">
        <v>32</v>
      </c>
      <c r="B68" s="43">
        <v>39325</v>
      </c>
      <c r="C68" s="90">
        <v>7.6</v>
      </c>
      <c r="D68" s="98"/>
      <c r="E68" s="98"/>
      <c r="F68" s="98"/>
    </row>
    <row r="69" spans="1:6" x14ac:dyDescent="0.25">
      <c r="A69">
        <v>33</v>
      </c>
      <c r="B69" s="43">
        <v>39355</v>
      </c>
      <c r="C69" s="90">
        <v>7.92</v>
      </c>
      <c r="D69" s="98"/>
      <c r="E69" s="98"/>
      <c r="F69" s="98"/>
    </row>
    <row r="70" spans="1:6" x14ac:dyDescent="0.25">
      <c r="A70">
        <v>34</v>
      </c>
      <c r="B70" s="43">
        <v>39386</v>
      </c>
      <c r="C70" s="90">
        <v>7.96</v>
      </c>
      <c r="D70" s="98"/>
      <c r="E70" s="98"/>
      <c r="F70" s="98"/>
    </row>
    <row r="71" spans="1:6" x14ac:dyDescent="0.25">
      <c r="A71">
        <v>35</v>
      </c>
      <c r="B71" s="43">
        <v>39416</v>
      </c>
      <c r="C71" s="90">
        <v>8.01</v>
      </c>
      <c r="D71" s="98"/>
      <c r="E71" s="98"/>
      <c r="F71" s="98"/>
    </row>
    <row r="72" spans="1:6" x14ac:dyDescent="0.25">
      <c r="A72">
        <v>36</v>
      </c>
      <c r="B72" s="43">
        <v>39447</v>
      </c>
      <c r="C72" s="90">
        <v>8.56</v>
      </c>
      <c r="D72" s="98"/>
      <c r="E72" s="98"/>
      <c r="F72" s="98"/>
    </row>
    <row r="73" spans="1:6" x14ac:dyDescent="0.25">
      <c r="A73">
        <v>37</v>
      </c>
      <c r="B73" s="43">
        <v>39478</v>
      </c>
      <c r="C73" s="90">
        <v>8.36</v>
      </c>
      <c r="D73" s="98"/>
      <c r="E73" s="98"/>
      <c r="F73" s="98"/>
    </row>
    <row r="74" spans="1:6" x14ac:dyDescent="0.25">
      <c r="A74">
        <v>38</v>
      </c>
      <c r="B74" s="43">
        <v>39507</v>
      </c>
      <c r="C74" s="90">
        <v>8.98</v>
      </c>
      <c r="D74" s="98"/>
      <c r="E74" s="98"/>
      <c r="F74" s="98"/>
    </row>
    <row r="75" spans="1:6" x14ac:dyDescent="0.25">
      <c r="A75">
        <v>39</v>
      </c>
      <c r="B75" s="43">
        <v>39538</v>
      </c>
      <c r="C75" s="90">
        <v>9.2200000000000006</v>
      </c>
      <c r="D75" s="98"/>
      <c r="E75" s="98"/>
      <c r="F75" s="98"/>
    </row>
    <row r="76" spans="1:6" x14ac:dyDescent="0.25">
      <c r="A76">
        <v>40</v>
      </c>
      <c r="B76" s="43">
        <v>39568</v>
      </c>
      <c r="C76" s="90">
        <v>9.23</v>
      </c>
      <c r="D76" s="98"/>
      <c r="E76" s="98"/>
      <c r="F76" s="98"/>
    </row>
    <row r="77" spans="1:6" x14ac:dyDescent="0.25">
      <c r="A77">
        <v>41</v>
      </c>
      <c r="B77" s="43">
        <v>39599</v>
      </c>
      <c r="C77" s="90">
        <v>9.15</v>
      </c>
      <c r="D77" s="98"/>
      <c r="E77" s="98"/>
      <c r="F77" s="98"/>
    </row>
    <row r="78" spans="1:6" x14ac:dyDescent="0.25">
      <c r="A78">
        <v>42</v>
      </c>
      <c r="B78" s="43">
        <v>39629</v>
      </c>
      <c r="C78" s="90">
        <v>9.7100000000000009</v>
      </c>
      <c r="D78" s="98"/>
      <c r="E78" s="98"/>
      <c r="F78" s="98"/>
    </row>
    <row r="79" spans="1:6" x14ac:dyDescent="0.25">
      <c r="A79">
        <v>43</v>
      </c>
      <c r="B79" s="43">
        <v>39660</v>
      </c>
      <c r="C79" s="90">
        <v>9.27</v>
      </c>
      <c r="D79" s="98"/>
      <c r="E79" s="98"/>
      <c r="F79" s="98"/>
    </row>
    <row r="80" spans="1:6" x14ac:dyDescent="0.25">
      <c r="A80">
        <v>44</v>
      </c>
      <c r="B80" s="43">
        <v>39691</v>
      </c>
      <c r="C80" s="90">
        <v>8.84</v>
      </c>
      <c r="D80" s="98"/>
      <c r="E80" s="98"/>
      <c r="F80" s="98"/>
    </row>
    <row r="81" spans="1:6" x14ac:dyDescent="0.25">
      <c r="A81">
        <v>45</v>
      </c>
      <c r="B81" s="43">
        <v>39721</v>
      </c>
      <c r="C81" s="90">
        <v>9.0299999999999994</v>
      </c>
      <c r="D81" s="98"/>
      <c r="E81" s="98"/>
      <c r="F81" s="98"/>
    </row>
    <row r="82" spans="1:6" x14ac:dyDescent="0.25">
      <c r="A82">
        <v>46</v>
      </c>
      <c r="B82" s="43">
        <v>39752</v>
      </c>
      <c r="C82" s="90">
        <v>10.92</v>
      </c>
      <c r="D82" s="98"/>
      <c r="E82" s="98"/>
      <c r="F82" s="98"/>
    </row>
    <row r="83" spans="1:6" x14ac:dyDescent="0.25">
      <c r="A83">
        <v>47</v>
      </c>
      <c r="B83" s="43">
        <v>39782</v>
      </c>
      <c r="C83" s="90">
        <v>12.87</v>
      </c>
      <c r="D83" s="98"/>
      <c r="E83" s="98"/>
      <c r="F83" s="98"/>
    </row>
    <row r="84" spans="1:6" x14ac:dyDescent="0.25">
      <c r="A84">
        <v>48</v>
      </c>
      <c r="B84" s="43">
        <v>39813</v>
      </c>
      <c r="C84" s="90">
        <v>13.3</v>
      </c>
      <c r="D84" s="98"/>
      <c r="E84" s="98"/>
      <c r="F84" s="98"/>
    </row>
    <row r="85" spans="1:6" x14ac:dyDescent="0.25">
      <c r="A85">
        <v>49</v>
      </c>
      <c r="B85" s="43">
        <v>39844</v>
      </c>
      <c r="C85" s="90">
        <v>11.52</v>
      </c>
      <c r="D85" s="98"/>
      <c r="E85" s="98"/>
      <c r="F85" s="98"/>
    </row>
    <row r="86" spans="1:6" x14ac:dyDescent="0.25">
      <c r="A86">
        <v>50</v>
      </c>
      <c r="B86" s="43">
        <v>39872</v>
      </c>
      <c r="C86" s="90">
        <v>10.39</v>
      </c>
      <c r="D86" s="98"/>
      <c r="E86" s="98"/>
      <c r="F86" s="98"/>
    </row>
    <row r="87" spans="1:6" x14ac:dyDescent="0.25">
      <c r="A87">
        <v>51</v>
      </c>
      <c r="B87" s="43">
        <v>39903</v>
      </c>
      <c r="C87" s="90">
        <v>11.37</v>
      </c>
      <c r="D87" s="98"/>
      <c r="E87" s="98"/>
      <c r="F87" s="98"/>
    </row>
    <row r="88" spans="1:6" x14ac:dyDescent="0.25">
      <c r="A88">
        <v>52</v>
      </c>
      <c r="B88" s="43">
        <v>39933</v>
      </c>
      <c r="C88" s="90">
        <v>11.01</v>
      </c>
      <c r="D88" s="98"/>
      <c r="E88" s="98"/>
      <c r="F88" s="98"/>
    </row>
    <row r="89" spans="1:6" x14ac:dyDescent="0.25">
      <c r="A89">
        <v>53</v>
      </c>
      <c r="B89" s="43">
        <v>39964</v>
      </c>
      <c r="C89" s="90">
        <v>10.02</v>
      </c>
      <c r="D89" s="98"/>
      <c r="E89" s="98"/>
      <c r="F89" s="98"/>
    </row>
    <row r="90" spans="1:6" x14ac:dyDescent="0.25">
      <c r="A90">
        <v>54</v>
      </c>
      <c r="B90" s="43">
        <v>39994</v>
      </c>
      <c r="C90" s="90">
        <v>9.83</v>
      </c>
      <c r="D90" s="98"/>
      <c r="E90" s="98"/>
      <c r="F90" s="98"/>
    </row>
    <row r="91" spans="1:6" x14ac:dyDescent="0.25">
      <c r="A91">
        <v>55</v>
      </c>
      <c r="B91" s="43">
        <v>40025</v>
      </c>
      <c r="C91" s="90">
        <v>9.09</v>
      </c>
      <c r="D91" s="98"/>
      <c r="E91" s="98"/>
      <c r="F91" s="98"/>
    </row>
    <row r="92" spans="1:6" x14ac:dyDescent="0.25">
      <c r="A92">
        <v>56</v>
      </c>
      <c r="B92" s="43">
        <v>40056</v>
      </c>
      <c r="C92" s="90">
        <v>8.86</v>
      </c>
      <c r="D92" s="98"/>
      <c r="E92" s="98"/>
      <c r="F92" s="98"/>
    </row>
    <row r="93" spans="1:6" x14ac:dyDescent="0.25">
      <c r="A93">
        <v>57</v>
      </c>
      <c r="B93" s="43">
        <v>40086</v>
      </c>
      <c r="C93" s="90">
        <v>8.7899999999999991</v>
      </c>
      <c r="D93" s="98"/>
      <c r="E93" s="98"/>
      <c r="F93" s="98"/>
    </row>
    <row r="94" spans="1:6" x14ac:dyDescent="0.25">
      <c r="A94">
        <v>58</v>
      </c>
      <c r="B94" s="43">
        <v>40117</v>
      </c>
      <c r="C94" s="90">
        <v>8.94</v>
      </c>
      <c r="D94" s="98"/>
      <c r="E94" s="98"/>
      <c r="F94" s="98"/>
    </row>
    <row r="95" spans="1:6" x14ac:dyDescent="0.25">
      <c r="A95">
        <v>59</v>
      </c>
      <c r="B95" s="43">
        <v>40147</v>
      </c>
      <c r="C95" s="90">
        <v>8.6199999999999992</v>
      </c>
      <c r="D95" s="98"/>
      <c r="E95" s="98"/>
      <c r="F95" s="98"/>
    </row>
    <row r="96" spans="1:6" x14ac:dyDescent="0.25">
      <c r="A96">
        <v>60</v>
      </c>
      <c r="B96" s="43">
        <v>40178</v>
      </c>
      <c r="C96" s="90">
        <v>8.26</v>
      </c>
      <c r="D96" s="98"/>
      <c r="E96" s="98"/>
      <c r="F96" s="98"/>
    </row>
    <row r="97" spans="1:6" x14ac:dyDescent="0.25">
      <c r="A97">
        <v>61</v>
      </c>
      <c r="B97" s="43">
        <v>40209</v>
      </c>
      <c r="C97" s="90">
        <v>8.23</v>
      </c>
      <c r="D97" s="98"/>
      <c r="E97" s="98"/>
      <c r="F97" s="98"/>
    </row>
    <row r="98" spans="1:6" x14ac:dyDescent="0.25">
      <c r="A98">
        <v>62</v>
      </c>
      <c r="B98" s="43">
        <v>40237</v>
      </c>
      <c r="C98" s="90">
        <v>8.11</v>
      </c>
      <c r="D98" s="98"/>
      <c r="E98" s="98"/>
      <c r="F98" s="98"/>
    </row>
    <row r="99" spans="1:6" x14ac:dyDescent="0.25">
      <c r="A99">
        <v>63</v>
      </c>
      <c r="B99" s="43">
        <v>40268</v>
      </c>
      <c r="C99" s="90">
        <v>8.0399999999999991</v>
      </c>
      <c r="D99" s="98"/>
      <c r="E99" s="98"/>
      <c r="F99" s="98"/>
    </row>
    <row r="100" spans="1:6" x14ac:dyDescent="0.25">
      <c r="A100">
        <v>64</v>
      </c>
      <c r="B100" s="43">
        <v>40298</v>
      </c>
      <c r="C100" s="90">
        <v>7.97</v>
      </c>
      <c r="D100" s="98"/>
      <c r="E100" s="98"/>
      <c r="F100" s="98"/>
    </row>
    <row r="101" spans="1:6" x14ac:dyDescent="0.25">
      <c r="A101">
        <v>65</v>
      </c>
      <c r="B101" s="43">
        <v>40329</v>
      </c>
      <c r="C101" s="90">
        <v>8.42</v>
      </c>
      <c r="D101" s="98"/>
      <c r="E101" s="98"/>
      <c r="F101" s="98"/>
    </row>
    <row r="102" spans="1:6" x14ac:dyDescent="0.25">
      <c r="A102">
        <v>66</v>
      </c>
      <c r="B102" s="43">
        <v>40359</v>
      </c>
      <c r="C102" s="90">
        <v>7.98</v>
      </c>
      <c r="D102" s="98"/>
      <c r="E102" s="98"/>
      <c r="F102" s="98"/>
    </row>
    <row r="103" spans="1:6" x14ac:dyDescent="0.25">
      <c r="A103">
        <v>67</v>
      </c>
      <c r="B103" s="43">
        <v>40390</v>
      </c>
      <c r="C103" s="90">
        <v>7.78</v>
      </c>
      <c r="D103" s="98"/>
      <c r="E103" s="98"/>
      <c r="F103" s="98"/>
    </row>
    <row r="104" spans="1:6" x14ac:dyDescent="0.25">
      <c r="A104">
        <v>68</v>
      </c>
      <c r="B104" s="43">
        <v>40421</v>
      </c>
      <c r="C104" s="90">
        <v>7.26</v>
      </c>
      <c r="D104" s="98"/>
      <c r="E104" s="98"/>
      <c r="F104" s="98"/>
    </row>
    <row r="105" spans="1:6" x14ac:dyDescent="0.25">
      <c r="A105">
        <v>69</v>
      </c>
      <c r="B105" s="43">
        <v>40451</v>
      </c>
      <c r="C105" s="90">
        <v>7.55</v>
      </c>
      <c r="D105" s="98"/>
      <c r="E105" s="98"/>
      <c r="F105" s="98"/>
    </row>
    <row r="106" spans="1:6" x14ac:dyDescent="0.25">
      <c r="A106">
        <v>70</v>
      </c>
      <c r="B106" s="43">
        <v>40482</v>
      </c>
      <c r="C106" s="90">
        <v>7.7</v>
      </c>
      <c r="D106" s="98"/>
      <c r="E106" s="98"/>
      <c r="F106" s="98"/>
    </row>
    <row r="107" spans="1:6" x14ac:dyDescent="0.25">
      <c r="A107">
        <v>71</v>
      </c>
      <c r="B107" s="43">
        <v>40512</v>
      </c>
      <c r="C107" s="90">
        <v>7.85</v>
      </c>
      <c r="D107" s="98"/>
      <c r="E107" s="98"/>
      <c r="F107" s="98"/>
    </row>
    <row r="108" spans="1:6" x14ac:dyDescent="0.25">
      <c r="A108">
        <v>72</v>
      </c>
      <c r="B108" s="43">
        <v>40543</v>
      </c>
      <c r="C108" s="90">
        <v>7.92</v>
      </c>
      <c r="D108" s="98"/>
      <c r="E108" s="98"/>
      <c r="F108" s="98"/>
    </row>
    <row r="109" spans="1:6" x14ac:dyDescent="0.25">
      <c r="A109">
        <v>73</v>
      </c>
      <c r="B109" s="43">
        <v>40574</v>
      </c>
      <c r="C109" s="90">
        <v>7.83</v>
      </c>
      <c r="D109" s="98"/>
      <c r="E109" s="98"/>
      <c r="F109" s="98"/>
    </row>
    <row r="110" spans="1:6" x14ac:dyDescent="0.25">
      <c r="A110">
        <v>74</v>
      </c>
      <c r="B110" s="43">
        <v>40602</v>
      </c>
      <c r="C110" s="90">
        <v>7.74</v>
      </c>
      <c r="D110" s="98"/>
      <c r="E110" s="98"/>
      <c r="F110" s="98"/>
    </row>
    <row r="111" spans="1:6" x14ac:dyDescent="0.25">
      <c r="A111">
        <v>75</v>
      </c>
      <c r="B111" s="43">
        <v>40633</v>
      </c>
      <c r="C111" s="90">
        <v>7.72</v>
      </c>
      <c r="D111" s="98"/>
      <c r="E111" s="98"/>
      <c r="F111" s="98"/>
    </row>
    <row r="112" spans="1:6" x14ac:dyDescent="0.25">
      <c r="A112">
        <v>76</v>
      </c>
      <c r="B112" s="43">
        <v>40663</v>
      </c>
      <c r="C112" s="90">
        <v>8.0299999999999994</v>
      </c>
      <c r="D112" s="98"/>
      <c r="E112" s="98"/>
      <c r="F112" s="98"/>
    </row>
    <row r="113" spans="1:6" x14ac:dyDescent="0.25">
      <c r="A113">
        <v>77</v>
      </c>
      <c r="B113" s="43">
        <v>40694</v>
      </c>
      <c r="C113" s="90">
        <v>7.67</v>
      </c>
      <c r="D113" s="98"/>
      <c r="E113" s="98"/>
      <c r="F113" s="98"/>
    </row>
    <row r="114" spans="1:6" x14ac:dyDescent="0.25">
      <c r="A114">
        <v>78</v>
      </c>
      <c r="B114" s="43">
        <v>40724</v>
      </c>
      <c r="C114" s="90">
        <v>7.93</v>
      </c>
      <c r="D114" s="98"/>
      <c r="E114" s="98"/>
      <c r="F114" s="98"/>
    </row>
    <row r="115" spans="1:6" x14ac:dyDescent="0.25">
      <c r="A115">
        <v>79</v>
      </c>
      <c r="B115" s="43">
        <v>40755</v>
      </c>
      <c r="C115" s="90">
        <v>7.65</v>
      </c>
      <c r="D115" s="98"/>
      <c r="E115" s="98"/>
      <c r="F115" s="98"/>
    </row>
    <row r="116" spans="1:6" x14ac:dyDescent="0.25">
      <c r="A116">
        <v>80</v>
      </c>
      <c r="B116" s="43">
        <v>40786</v>
      </c>
      <c r="C116" s="90">
        <v>7.68</v>
      </c>
      <c r="D116" s="98"/>
      <c r="E116" s="98"/>
      <c r="F116" s="98"/>
    </row>
    <row r="117" spans="1:6" x14ac:dyDescent="0.25">
      <c r="A117">
        <v>81</v>
      </c>
      <c r="B117" s="43">
        <v>40816</v>
      </c>
      <c r="C117" s="90">
        <v>7.69</v>
      </c>
      <c r="D117" s="98"/>
      <c r="E117" s="98"/>
      <c r="F117" s="98"/>
    </row>
    <row r="118" spans="1:6" x14ac:dyDescent="0.25">
      <c r="A118">
        <v>82</v>
      </c>
      <c r="B118" s="43">
        <v>40847</v>
      </c>
      <c r="C118" s="90">
        <v>8.19</v>
      </c>
      <c r="D118" s="98"/>
      <c r="E118" s="98"/>
      <c r="F118" s="98"/>
    </row>
    <row r="119" spans="1:6" x14ac:dyDescent="0.25">
      <c r="A119">
        <v>83</v>
      </c>
      <c r="B119" s="43">
        <v>40877</v>
      </c>
      <c r="C119" s="90">
        <v>7.82</v>
      </c>
      <c r="D119" s="98"/>
      <c r="E119" s="98"/>
      <c r="F119" s="98"/>
    </row>
    <row r="120" spans="1:6" x14ac:dyDescent="0.25">
      <c r="A120">
        <v>84</v>
      </c>
      <c r="B120" s="43">
        <v>40908</v>
      </c>
      <c r="C120" s="90">
        <v>7.77</v>
      </c>
      <c r="D120" s="98"/>
      <c r="E120" s="98"/>
      <c r="F120" s="98"/>
    </row>
    <row r="121" spans="1:6" x14ac:dyDescent="0.25">
      <c r="A121">
        <v>85</v>
      </c>
      <c r="B121" s="43">
        <v>40939</v>
      </c>
      <c r="C121" s="90">
        <v>7.85</v>
      </c>
      <c r="D121" s="98"/>
      <c r="E121" s="98"/>
      <c r="F121" s="98"/>
    </row>
    <row r="122" spans="1:6" x14ac:dyDescent="0.25">
      <c r="A122">
        <v>86</v>
      </c>
      <c r="B122" s="43">
        <v>40968</v>
      </c>
      <c r="C122" s="90">
        <v>7.92</v>
      </c>
      <c r="D122" s="98"/>
      <c r="E122" s="98"/>
      <c r="F122" s="98"/>
    </row>
    <row r="123" spans="1:6" x14ac:dyDescent="0.25">
      <c r="A123">
        <v>87</v>
      </c>
      <c r="B123" s="43">
        <v>40999</v>
      </c>
      <c r="C123" s="90">
        <v>7.66</v>
      </c>
      <c r="D123" s="98"/>
      <c r="E123" s="98"/>
      <c r="F123" s="98"/>
    </row>
    <row r="124" spans="1:6" x14ac:dyDescent="0.25">
      <c r="A124">
        <v>88</v>
      </c>
      <c r="B124" s="43">
        <v>41029</v>
      </c>
      <c r="C124" s="90">
        <v>7.39</v>
      </c>
      <c r="D124" s="98"/>
      <c r="E124" s="98"/>
      <c r="F124" s="98"/>
    </row>
    <row r="125" spans="1:6" x14ac:dyDescent="0.25">
      <c r="A125">
        <v>89</v>
      </c>
      <c r="B125" s="43">
        <v>41060</v>
      </c>
      <c r="C125" s="90">
        <v>6.78</v>
      </c>
      <c r="D125" s="98"/>
      <c r="E125" s="98"/>
      <c r="F125" s="98"/>
    </row>
    <row r="126" spans="1:6" x14ac:dyDescent="0.25">
      <c r="A126">
        <v>90</v>
      </c>
      <c r="B126" s="43">
        <v>41090</v>
      </c>
      <c r="C126" s="90">
        <v>7.11</v>
      </c>
      <c r="D126" s="98"/>
      <c r="E126" s="98"/>
      <c r="F126" s="98"/>
    </row>
    <row r="127" spans="1:6" x14ac:dyDescent="0.25">
      <c r="A127">
        <v>91</v>
      </c>
      <c r="B127" s="43">
        <v>41121</v>
      </c>
      <c r="C127" s="90">
        <v>6.94</v>
      </c>
      <c r="D127" s="98"/>
      <c r="E127" s="98"/>
      <c r="F127" s="98"/>
    </row>
    <row r="128" spans="1:6" x14ac:dyDescent="0.25">
      <c r="A128">
        <v>92</v>
      </c>
      <c r="B128" s="43">
        <v>41152</v>
      </c>
      <c r="C128" s="90">
        <v>6.89</v>
      </c>
      <c r="D128" s="98"/>
      <c r="E128" s="98"/>
      <c r="F128" s="98"/>
    </row>
    <row r="129" spans="1:6" x14ac:dyDescent="0.25">
      <c r="A129">
        <v>93</v>
      </c>
      <c r="B129" s="43">
        <v>41182</v>
      </c>
      <c r="C129" s="90">
        <v>6.6</v>
      </c>
      <c r="D129" s="98"/>
      <c r="E129" s="98"/>
      <c r="F129" s="98"/>
    </row>
    <row r="130" spans="1:6" x14ac:dyDescent="0.25">
      <c r="A130">
        <v>94</v>
      </c>
      <c r="B130" s="43">
        <v>41213</v>
      </c>
      <c r="C130" s="90">
        <v>6.44</v>
      </c>
      <c r="D130" s="98"/>
      <c r="E130" s="98"/>
      <c r="F130" s="98"/>
    </row>
    <row r="131" spans="1:6" x14ac:dyDescent="0.25">
      <c r="A131">
        <v>95</v>
      </c>
      <c r="B131" s="43">
        <v>41243</v>
      </c>
      <c r="C131" s="90">
        <v>6.62</v>
      </c>
      <c r="D131" s="98"/>
      <c r="E131" s="98"/>
      <c r="F131" s="98"/>
    </row>
    <row r="132" spans="1:6" x14ac:dyDescent="0.25">
      <c r="A132">
        <v>96</v>
      </c>
      <c r="B132" s="43">
        <v>41274</v>
      </c>
      <c r="C132" s="90">
        <v>6.58</v>
      </c>
      <c r="D132" s="98"/>
      <c r="E132" s="98"/>
      <c r="F132" s="98"/>
    </row>
    <row r="133" spans="1:6" x14ac:dyDescent="0.25">
      <c r="A133">
        <v>97</v>
      </c>
      <c r="B133" s="43">
        <v>41305</v>
      </c>
      <c r="C133" s="90">
        <v>6.62</v>
      </c>
      <c r="D133" s="98"/>
      <c r="E133" s="98"/>
      <c r="F133" s="98"/>
    </row>
    <row r="134" spans="1:6" x14ac:dyDescent="0.25">
      <c r="A134">
        <v>98</v>
      </c>
      <c r="B134" s="43">
        <v>41333</v>
      </c>
      <c r="C134" s="90">
        <v>6.62</v>
      </c>
      <c r="D134" s="98"/>
      <c r="E134" s="98"/>
      <c r="F134" s="98"/>
    </row>
    <row r="135" spans="1:6" x14ac:dyDescent="0.25">
      <c r="A135">
        <v>99</v>
      </c>
      <c r="B135" s="43">
        <v>41364</v>
      </c>
      <c r="C135" s="90">
        <v>6.64</v>
      </c>
      <c r="D135" s="98"/>
      <c r="E135" s="98"/>
      <c r="F135" s="98"/>
    </row>
    <row r="136" spans="1:6" x14ac:dyDescent="0.25">
      <c r="A136">
        <v>100</v>
      </c>
      <c r="B136" s="43">
        <v>41394</v>
      </c>
      <c r="C136" s="90">
        <v>6.35</v>
      </c>
      <c r="D136" s="98"/>
      <c r="E136" s="98"/>
      <c r="F136" s="98"/>
    </row>
    <row r="137" spans="1:6" x14ac:dyDescent="0.25">
      <c r="A137">
        <v>101</v>
      </c>
      <c r="B137" s="43">
        <v>41425</v>
      </c>
      <c r="C137" s="90">
        <v>6.37</v>
      </c>
      <c r="D137" s="98"/>
      <c r="E137" s="98"/>
      <c r="F137" s="98"/>
    </row>
    <row r="138" spans="1:6" x14ac:dyDescent="0.25">
      <c r="A138">
        <v>102</v>
      </c>
      <c r="B138" s="43">
        <v>41455</v>
      </c>
      <c r="C138" s="90">
        <v>7.25</v>
      </c>
      <c r="D138" s="98"/>
      <c r="E138" s="98"/>
      <c r="F138" s="98"/>
    </row>
    <row r="139" spans="1:6" x14ac:dyDescent="0.25">
      <c r="A139">
        <v>103</v>
      </c>
      <c r="B139" s="43">
        <v>41486</v>
      </c>
      <c r="C139" s="90">
        <v>7.06</v>
      </c>
      <c r="D139" s="98"/>
      <c r="E139" s="98"/>
      <c r="F139" s="98"/>
    </row>
    <row r="140" spans="1:6" x14ac:dyDescent="0.25">
      <c r="A140">
        <v>104</v>
      </c>
      <c r="B140" s="43">
        <v>41517</v>
      </c>
      <c r="C140" s="90">
        <v>7.3</v>
      </c>
      <c r="D140" s="98"/>
      <c r="E140" s="98"/>
      <c r="F140" s="98"/>
    </row>
    <row r="141" spans="1:6" x14ac:dyDescent="0.25">
      <c r="A141">
        <v>105</v>
      </c>
      <c r="B141" s="43">
        <v>41547</v>
      </c>
      <c r="C141" s="90">
        <v>7.33</v>
      </c>
      <c r="D141" s="98"/>
      <c r="E141" s="98"/>
      <c r="F141" s="98"/>
    </row>
    <row r="142" spans="1:6" x14ac:dyDescent="0.25">
      <c r="A142">
        <v>106</v>
      </c>
      <c r="B142" s="43">
        <v>41578</v>
      </c>
      <c r="C142" s="90">
        <v>7.27</v>
      </c>
      <c r="D142" s="98"/>
      <c r="E142" s="98"/>
      <c r="F142" s="98"/>
    </row>
    <row r="143" spans="1:6" x14ac:dyDescent="0.25">
      <c r="A143">
        <v>107</v>
      </c>
      <c r="B143" s="43">
        <v>41608</v>
      </c>
      <c r="C143" s="90">
        <v>7.44</v>
      </c>
      <c r="D143" s="98"/>
      <c r="E143" s="98"/>
      <c r="F143" s="98"/>
    </row>
    <row r="144" spans="1:6" x14ac:dyDescent="0.25">
      <c r="A144">
        <v>108</v>
      </c>
      <c r="B144" s="43">
        <v>41639</v>
      </c>
      <c r="C144" s="90">
        <v>7.49</v>
      </c>
      <c r="D144" s="98"/>
      <c r="E144" s="98"/>
      <c r="F144" s="98"/>
    </row>
    <row r="145" spans="1:6" x14ac:dyDescent="0.25">
      <c r="A145">
        <v>109</v>
      </c>
      <c r="B145" s="43">
        <v>41670</v>
      </c>
      <c r="C145" s="90">
        <v>7.15</v>
      </c>
      <c r="D145" s="98"/>
      <c r="E145" s="98"/>
      <c r="F145" s="98"/>
    </row>
    <row r="146" spans="1:6" x14ac:dyDescent="0.25">
      <c r="A146">
        <v>110</v>
      </c>
      <c r="B146" s="43">
        <v>41698</v>
      </c>
      <c r="C146" s="90">
        <v>6.94</v>
      </c>
      <c r="D146" s="98"/>
      <c r="E146" s="98"/>
      <c r="F146" s="98"/>
    </row>
    <row r="147" spans="1:6" x14ac:dyDescent="0.25">
      <c r="A147">
        <v>111</v>
      </c>
      <c r="B147" s="43">
        <v>41729</v>
      </c>
      <c r="C147" s="90">
        <v>6.86</v>
      </c>
      <c r="D147" s="98"/>
      <c r="E147" s="98"/>
      <c r="F147" s="98"/>
    </row>
    <row r="148" spans="1:6" x14ac:dyDescent="0.25">
      <c r="A148">
        <v>112</v>
      </c>
      <c r="B148" s="43">
        <v>41759</v>
      </c>
      <c r="C148" s="90">
        <v>6.37</v>
      </c>
      <c r="D148" s="98"/>
      <c r="E148" s="98"/>
      <c r="F148" s="98"/>
    </row>
    <row r="149" spans="1:6" x14ac:dyDescent="0.25">
      <c r="A149">
        <v>113</v>
      </c>
      <c r="B149" s="43">
        <v>41790</v>
      </c>
      <c r="C149" s="90">
        <v>5.99</v>
      </c>
      <c r="D149" s="98"/>
      <c r="E149" s="98"/>
      <c r="F149" s="98"/>
    </row>
    <row r="150" spans="1:6" x14ac:dyDescent="0.25">
      <c r="A150">
        <v>114</v>
      </c>
      <c r="B150" s="43">
        <v>41820</v>
      </c>
      <c r="C150" s="90">
        <v>5.64</v>
      </c>
      <c r="D150" s="98"/>
      <c r="E150" s="98"/>
      <c r="F150" s="98"/>
    </row>
    <row r="151" spans="1:6" x14ac:dyDescent="0.25">
      <c r="A151">
        <v>115</v>
      </c>
      <c r="B151" s="43">
        <v>41851</v>
      </c>
      <c r="C151" s="90">
        <v>5.51</v>
      </c>
      <c r="D151" s="98"/>
      <c r="E151" s="98"/>
      <c r="F151" s="98"/>
    </row>
    <row r="152" spans="1:6" x14ac:dyDescent="0.25">
      <c r="A152">
        <v>116</v>
      </c>
      <c r="B152" s="43">
        <v>41882</v>
      </c>
      <c r="C152" s="90">
        <v>5.33</v>
      </c>
      <c r="D152" s="98"/>
      <c r="E152" s="98"/>
      <c r="F152" s="98"/>
    </row>
    <row r="153" spans="1:6" x14ac:dyDescent="0.25">
      <c r="A153">
        <v>117</v>
      </c>
      <c r="B153" s="43">
        <v>41912</v>
      </c>
      <c r="C153" s="90">
        <v>5.56</v>
      </c>
      <c r="D153" s="98"/>
      <c r="E153" s="98"/>
      <c r="F153" s="98"/>
    </row>
    <row r="154" spans="1:6" x14ac:dyDescent="0.25">
      <c r="A154">
        <v>118</v>
      </c>
      <c r="B154" s="43">
        <v>41943</v>
      </c>
      <c r="C154" s="90">
        <v>5.51</v>
      </c>
      <c r="D154" s="98"/>
      <c r="E154" s="98"/>
      <c r="F154" s="98"/>
    </row>
    <row r="155" spans="1:6" x14ac:dyDescent="0.25">
      <c r="A155">
        <v>119</v>
      </c>
      <c r="B155" s="43">
        <v>41973</v>
      </c>
      <c r="C155" s="90">
        <v>5.37</v>
      </c>
      <c r="D155" s="98"/>
      <c r="E155" s="98"/>
      <c r="F155" s="98"/>
    </row>
    <row r="156" spans="1:6" x14ac:dyDescent="0.25">
      <c r="A156">
        <v>120</v>
      </c>
      <c r="B156" s="43">
        <v>42004</v>
      </c>
      <c r="C156" s="90">
        <v>4.91</v>
      </c>
      <c r="D156" s="98"/>
      <c r="E156" s="98"/>
      <c r="F156" s="98"/>
    </row>
    <row r="158" spans="1:6" x14ac:dyDescent="0.25">
      <c r="B158" s="9" t="s">
        <v>171</v>
      </c>
    </row>
    <row r="159" spans="1:6" x14ac:dyDescent="0.25">
      <c r="B159" t="s">
        <v>172</v>
      </c>
      <c r="C159" s="91">
        <f>'Ergon ARR'!B34</f>
        <v>6.3600000000000004E-2</v>
      </c>
    </row>
    <row r="160" spans="1:6" x14ac:dyDescent="0.25">
      <c r="B160" t="s">
        <v>167</v>
      </c>
      <c r="D160" s="72" t="e">
        <f>AVERAGE(D97:D156)</f>
        <v>#DIV/0!</v>
      </c>
    </row>
    <row r="161" spans="2:9" x14ac:dyDescent="0.25">
      <c r="B161" t="s">
        <v>69</v>
      </c>
      <c r="E161" s="94">
        <v>3.6499999999999998E-2</v>
      </c>
    </row>
    <row r="163" spans="2:9" x14ac:dyDescent="0.25">
      <c r="B163" s="42" t="s">
        <v>173</v>
      </c>
      <c r="C163" s="85"/>
      <c r="D163" s="85"/>
      <c r="E163" s="85"/>
      <c r="F163" s="85"/>
      <c r="G163" s="85"/>
      <c r="H163" s="85"/>
      <c r="I163" s="85"/>
    </row>
    <row r="164" spans="2:9" x14ac:dyDescent="0.25">
      <c r="B164" s="85" t="s">
        <v>172</v>
      </c>
      <c r="C164" s="86">
        <f>'Ergon ARR'!B29</f>
        <v>3.6299999999999999E-2</v>
      </c>
      <c r="D164" s="85"/>
      <c r="E164" s="85"/>
      <c r="F164" s="85"/>
      <c r="G164" s="85"/>
      <c r="H164" s="85"/>
      <c r="I164" s="85"/>
    </row>
    <row r="165" spans="2:9" x14ac:dyDescent="0.25">
      <c r="B165" s="85" t="s">
        <v>69</v>
      </c>
      <c r="C165" s="85"/>
      <c r="D165" s="85"/>
      <c r="E165" s="85"/>
      <c r="F165" s="87" t="e">
        <f>AVERAGE(F97:F156)</f>
        <v>#DIV/0!</v>
      </c>
      <c r="G165" s="85"/>
      <c r="H165" s="85"/>
      <c r="I165" s="85"/>
    </row>
    <row r="166" spans="2:9" x14ac:dyDescent="0.25">
      <c r="B166" s="85"/>
      <c r="C166" s="85"/>
      <c r="D166" s="85"/>
      <c r="E166" s="85"/>
      <c r="F166" s="85"/>
      <c r="G166" s="85"/>
      <c r="H166" s="85"/>
      <c r="I166" s="85"/>
    </row>
    <row r="167" spans="2:9" x14ac:dyDescent="0.25">
      <c r="B167" s="85"/>
      <c r="C167" s="85"/>
      <c r="D167" s="85"/>
      <c r="E167" s="85"/>
      <c r="F167" s="85"/>
      <c r="G167" s="85"/>
      <c r="H167" s="85"/>
      <c r="I167" s="85"/>
    </row>
    <row r="168" spans="2:9" x14ac:dyDescent="0.25">
      <c r="B168" s="85"/>
      <c r="C168" s="85"/>
      <c r="D168" s="85"/>
      <c r="E168" s="85"/>
      <c r="F168" s="85"/>
      <c r="G168" s="85"/>
      <c r="H168" s="85"/>
      <c r="I168" s="85"/>
    </row>
    <row r="169" spans="2:9" x14ac:dyDescent="0.25">
      <c r="B169" s="85"/>
      <c r="C169" s="85"/>
      <c r="D169" s="85"/>
      <c r="E169" s="85"/>
      <c r="F169" s="85"/>
      <c r="G169" s="85"/>
      <c r="H169" s="85"/>
      <c r="I169" s="85"/>
    </row>
    <row r="170" spans="2:9" x14ac:dyDescent="0.25">
      <c r="B170" s="85"/>
      <c r="C170" s="85"/>
      <c r="D170" s="85"/>
      <c r="E170" s="85"/>
      <c r="F170" s="85"/>
      <c r="G170" s="85"/>
      <c r="H170" s="85"/>
      <c r="I170" s="85"/>
    </row>
    <row r="171" spans="2:9" x14ac:dyDescent="0.25">
      <c r="B171" s="85"/>
      <c r="C171" s="85"/>
      <c r="D171" s="85"/>
      <c r="E171" s="85"/>
      <c r="F171" s="85"/>
      <c r="G171" s="85"/>
      <c r="H171" s="85"/>
      <c r="I171" s="85"/>
    </row>
    <row r="172" spans="2:9" x14ac:dyDescent="0.25">
      <c r="B172" s="85"/>
      <c r="C172" s="85"/>
      <c r="D172" s="85"/>
      <c r="E172" s="85"/>
      <c r="F172" s="85"/>
      <c r="G172" s="85"/>
      <c r="H172" s="85"/>
      <c r="I172" s="85"/>
    </row>
    <row r="173" spans="2:9" x14ac:dyDescent="0.25">
      <c r="B173" s="85"/>
      <c r="C173" s="85"/>
      <c r="D173" s="85"/>
      <c r="E173" s="85"/>
      <c r="F173" s="85"/>
      <c r="G173" s="85"/>
      <c r="H173" s="85"/>
      <c r="I173" s="85"/>
    </row>
    <row r="174" spans="2:9" x14ac:dyDescent="0.25">
      <c r="B174" s="85"/>
      <c r="C174" s="85"/>
      <c r="D174" s="85"/>
      <c r="E174" s="85"/>
      <c r="F174" s="85"/>
      <c r="G174" s="85"/>
      <c r="H174" s="85"/>
      <c r="I174" s="85"/>
    </row>
    <row r="175" spans="2:9" x14ac:dyDescent="0.25">
      <c r="B175" s="85"/>
      <c r="C175" s="85"/>
      <c r="D175" s="85"/>
      <c r="E175" s="85"/>
      <c r="F175" s="85"/>
      <c r="G175" s="85"/>
      <c r="H175" s="85"/>
      <c r="I175" s="85"/>
    </row>
    <row r="176" spans="2:9" x14ac:dyDescent="0.25">
      <c r="B176" s="85"/>
      <c r="C176" s="85"/>
      <c r="D176" s="85"/>
      <c r="E176" s="85"/>
      <c r="F176" s="85"/>
      <c r="G176" s="85"/>
      <c r="H176" s="85"/>
      <c r="I176" s="85"/>
    </row>
    <row r="177" spans="2:9" x14ac:dyDescent="0.25">
      <c r="B177" s="85"/>
      <c r="C177" s="85"/>
      <c r="D177" s="85"/>
      <c r="E177" s="85"/>
      <c r="F177" s="85"/>
      <c r="G177" s="85"/>
      <c r="H177" s="85"/>
      <c r="I177" s="85"/>
    </row>
    <row r="178" spans="2:9" x14ac:dyDescent="0.25">
      <c r="B178" s="85"/>
      <c r="C178" s="85"/>
      <c r="D178" s="85"/>
      <c r="E178" s="85"/>
      <c r="F178" s="85"/>
      <c r="G178" s="85"/>
      <c r="H178" s="85"/>
      <c r="I178" s="85"/>
    </row>
    <row r="179" spans="2:9" x14ac:dyDescent="0.25">
      <c r="B179" s="85"/>
      <c r="C179" s="85"/>
      <c r="D179" s="85"/>
      <c r="E179" s="85"/>
      <c r="F179" s="85"/>
      <c r="G179" s="85"/>
      <c r="H179" s="85"/>
      <c r="I179" s="85"/>
    </row>
    <row r="180" spans="2:9" x14ac:dyDescent="0.25">
      <c r="B180" s="85"/>
      <c r="C180" s="85"/>
      <c r="D180" s="85"/>
      <c r="E180" s="85"/>
      <c r="F180" s="85"/>
      <c r="G180" s="85"/>
      <c r="H180" s="85"/>
      <c r="I180" s="85"/>
    </row>
    <row r="181" spans="2:9" x14ac:dyDescent="0.25">
      <c r="B181" s="85"/>
      <c r="C181" s="85"/>
      <c r="D181" s="85"/>
      <c r="E181" s="85"/>
      <c r="F181" s="85"/>
      <c r="G181" s="85"/>
      <c r="H181" s="85"/>
      <c r="I181" s="85"/>
    </row>
    <row r="182" spans="2:9" x14ac:dyDescent="0.25">
      <c r="B182" s="85"/>
      <c r="C182" s="85"/>
      <c r="D182" s="85"/>
      <c r="E182" s="85"/>
      <c r="F182" s="85"/>
      <c r="G182" s="85"/>
      <c r="H182" s="85"/>
      <c r="I182" s="85"/>
    </row>
    <row r="183" spans="2:9" x14ac:dyDescent="0.25">
      <c r="B183" s="85"/>
      <c r="C183" s="85"/>
      <c r="D183" s="85"/>
      <c r="E183" s="85"/>
      <c r="F183" s="85"/>
      <c r="G183" s="85"/>
      <c r="H183" s="85"/>
      <c r="I183" s="85"/>
    </row>
    <row r="184" spans="2:9" x14ac:dyDescent="0.25">
      <c r="B184" s="85"/>
      <c r="C184" s="85"/>
      <c r="D184" s="85"/>
      <c r="E184" s="85"/>
      <c r="F184" s="85"/>
      <c r="G184" s="85"/>
      <c r="H184" s="85"/>
      <c r="I184" s="85"/>
    </row>
    <row r="185" spans="2:9" x14ac:dyDescent="0.25">
      <c r="B185" s="85"/>
      <c r="C185" s="85"/>
      <c r="D185" s="85"/>
      <c r="E185" s="85"/>
      <c r="F185" s="85"/>
      <c r="G185" s="85"/>
      <c r="H185" s="85"/>
      <c r="I185" s="85"/>
    </row>
    <row r="186" spans="2:9" x14ac:dyDescent="0.25">
      <c r="B186" s="85"/>
      <c r="C186" s="85"/>
      <c r="D186" s="85"/>
      <c r="E186" s="85"/>
      <c r="F186" s="85"/>
      <c r="G186" s="85"/>
      <c r="H186" s="85"/>
      <c r="I186" s="85"/>
    </row>
    <row r="187" spans="2:9" x14ac:dyDescent="0.25">
      <c r="B187" s="85"/>
      <c r="C187" s="85"/>
      <c r="D187" s="85"/>
      <c r="E187" s="85"/>
      <c r="F187" s="85"/>
      <c r="G187" s="85"/>
      <c r="H187" s="85"/>
      <c r="I187" s="85"/>
    </row>
    <row r="188" spans="2:9" x14ac:dyDescent="0.25">
      <c r="B188" s="85"/>
      <c r="C188" s="85"/>
      <c r="D188" s="85"/>
      <c r="E188" s="85"/>
      <c r="F188" s="85"/>
      <c r="G188" s="85"/>
      <c r="H188" s="85"/>
      <c r="I188" s="85"/>
    </row>
    <row r="189" spans="2:9" x14ac:dyDescent="0.25">
      <c r="B189" s="85"/>
      <c r="C189" s="85"/>
      <c r="D189" s="85"/>
      <c r="E189" s="85"/>
      <c r="F189" s="85"/>
      <c r="G189" s="85"/>
      <c r="H189" s="85"/>
      <c r="I189" s="85"/>
    </row>
    <row r="190" spans="2:9" x14ac:dyDescent="0.25">
      <c r="B190" s="85"/>
      <c r="C190" s="85"/>
      <c r="D190" s="85"/>
      <c r="E190" s="85"/>
      <c r="F190" s="85"/>
      <c r="G190" s="85"/>
      <c r="H190" s="85"/>
      <c r="I190" s="85"/>
    </row>
    <row r="191" spans="2:9" x14ac:dyDescent="0.25">
      <c r="B191" s="85"/>
      <c r="C191" s="85"/>
      <c r="D191" s="85"/>
      <c r="E191" s="85"/>
      <c r="F191" s="85"/>
      <c r="G191" s="85"/>
      <c r="H191" s="85"/>
      <c r="I191" s="85"/>
    </row>
    <row r="192" spans="2:9" x14ac:dyDescent="0.25">
      <c r="B192" s="85"/>
      <c r="C192" s="85"/>
      <c r="D192" s="85"/>
      <c r="E192" s="85"/>
      <c r="F192" s="85"/>
      <c r="G192" s="85"/>
      <c r="H192" s="85"/>
      <c r="I192" s="85"/>
    </row>
    <row r="193" spans="2:9" x14ac:dyDescent="0.25">
      <c r="B193" s="85"/>
      <c r="C193" s="85"/>
      <c r="D193" s="85"/>
      <c r="E193" s="85"/>
      <c r="F193" s="85"/>
      <c r="G193" s="85"/>
      <c r="H193" s="85"/>
      <c r="I193" s="85"/>
    </row>
    <row r="194" spans="2:9" x14ac:dyDescent="0.25">
      <c r="B194" s="85"/>
      <c r="C194" s="85"/>
      <c r="D194" s="85"/>
      <c r="E194" s="85"/>
      <c r="F194" s="85"/>
      <c r="G194" s="85"/>
      <c r="H194" s="85"/>
      <c r="I194" s="85"/>
    </row>
    <row r="195" spans="2:9" x14ac:dyDescent="0.25">
      <c r="B195" s="85"/>
      <c r="C195" s="85"/>
      <c r="D195" s="85"/>
      <c r="E195" s="85"/>
      <c r="F195" s="85"/>
      <c r="G195" s="85"/>
      <c r="H195" s="85"/>
      <c r="I195" s="85"/>
    </row>
    <row r="196" spans="2:9" x14ac:dyDescent="0.25">
      <c r="B196" s="85"/>
      <c r="C196" s="85"/>
      <c r="D196" s="85"/>
      <c r="E196" s="85"/>
      <c r="F196" s="85"/>
      <c r="G196" s="85"/>
      <c r="H196" s="85"/>
      <c r="I196" s="85"/>
    </row>
    <row r="197" spans="2:9" x14ac:dyDescent="0.25">
      <c r="B197" s="85"/>
      <c r="C197" s="85"/>
      <c r="D197" s="85"/>
      <c r="E197" s="85"/>
      <c r="F197" s="85"/>
      <c r="G197" s="85"/>
      <c r="H197" s="85"/>
      <c r="I197" s="85"/>
    </row>
    <row r="198" spans="2:9" x14ac:dyDescent="0.25">
      <c r="B198" s="85"/>
      <c r="C198" s="85"/>
      <c r="D198" s="85"/>
      <c r="E198" s="85"/>
      <c r="F198" s="85"/>
      <c r="G198" s="85"/>
      <c r="H198" s="85"/>
      <c r="I198" s="85"/>
    </row>
    <row r="199" spans="2:9" x14ac:dyDescent="0.25">
      <c r="B199" s="85"/>
      <c r="C199" s="85"/>
      <c r="D199" s="85"/>
      <c r="E199" s="85"/>
      <c r="F199" s="85"/>
      <c r="G199" s="85"/>
      <c r="H199" s="85"/>
      <c r="I199" s="85"/>
    </row>
    <row r="200" spans="2:9" x14ac:dyDescent="0.25">
      <c r="B200" s="85"/>
      <c r="C200" s="85"/>
      <c r="D200" s="85"/>
      <c r="E200" s="85"/>
      <c r="F200" s="85"/>
      <c r="G200" s="85"/>
      <c r="H200" s="85"/>
      <c r="I200" s="85"/>
    </row>
    <row r="201" spans="2:9" x14ac:dyDescent="0.25">
      <c r="B201" s="85"/>
      <c r="C201" s="85"/>
      <c r="D201" s="85"/>
      <c r="E201" s="85"/>
      <c r="F201" s="85"/>
      <c r="G201" s="85"/>
      <c r="H201" s="85"/>
      <c r="I201" s="85"/>
    </row>
    <row r="202" spans="2:9" x14ac:dyDescent="0.25">
      <c r="B202" s="85"/>
      <c r="C202" s="85"/>
      <c r="D202" s="85"/>
      <c r="E202" s="85"/>
      <c r="F202" s="85"/>
      <c r="G202" s="85"/>
      <c r="H202" s="85"/>
      <c r="I202" s="85"/>
    </row>
    <row r="203" spans="2:9" x14ac:dyDescent="0.25">
      <c r="B203" s="85"/>
      <c r="C203" s="85"/>
      <c r="D203" s="85"/>
      <c r="E203" s="85"/>
      <c r="F203" s="85"/>
      <c r="G203" s="85"/>
      <c r="H203" s="85"/>
      <c r="I203" s="85"/>
    </row>
    <row r="204" spans="2:9" x14ac:dyDescent="0.25">
      <c r="B204" s="85"/>
      <c r="C204" s="85"/>
      <c r="D204" s="85"/>
      <c r="E204" s="85"/>
      <c r="F204" s="85"/>
      <c r="G204" s="85"/>
      <c r="H204" s="85"/>
      <c r="I204" s="85"/>
    </row>
    <row r="205" spans="2:9" x14ac:dyDescent="0.25">
      <c r="B205" s="85"/>
      <c r="C205" s="85"/>
      <c r="D205" s="85"/>
      <c r="E205" s="85"/>
      <c r="F205" s="85"/>
      <c r="G205" s="85"/>
      <c r="H205" s="85"/>
      <c r="I205" s="85"/>
    </row>
    <row r="206" spans="2:9" x14ac:dyDescent="0.25">
      <c r="B206" s="85"/>
      <c r="C206" s="85"/>
      <c r="D206" s="85"/>
      <c r="E206" s="85"/>
      <c r="F206" s="85"/>
      <c r="G206" s="85"/>
      <c r="H206" s="85"/>
      <c r="I206" s="85"/>
    </row>
    <row r="207" spans="2:9" x14ac:dyDescent="0.25">
      <c r="B207" s="85"/>
      <c r="C207" s="85"/>
      <c r="D207" s="85"/>
      <c r="E207" s="85"/>
      <c r="F207" s="85"/>
      <c r="G207" s="85"/>
      <c r="H207" s="85"/>
      <c r="I207" s="85"/>
    </row>
    <row r="208" spans="2:9" x14ac:dyDescent="0.25">
      <c r="B208" s="85"/>
      <c r="C208" s="85"/>
      <c r="D208" s="85"/>
      <c r="E208" s="85"/>
      <c r="F208" s="85"/>
      <c r="G208" s="85"/>
      <c r="H208" s="85"/>
      <c r="I208" s="85"/>
    </row>
    <row r="209" spans="2:9" x14ac:dyDescent="0.25">
      <c r="B209" s="85"/>
      <c r="C209" s="85"/>
      <c r="D209" s="85"/>
      <c r="E209" s="85"/>
      <c r="F209" s="85"/>
      <c r="G209" s="85"/>
      <c r="H209" s="85"/>
      <c r="I209" s="85"/>
    </row>
    <row r="210" spans="2:9" x14ac:dyDescent="0.25">
      <c r="B210" s="85"/>
      <c r="C210" s="85"/>
      <c r="D210" s="85"/>
      <c r="E210" s="85"/>
      <c r="F210" s="85"/>
      <c r="G210" s="85"/>
      <c r="H210" s="85"/>
      <c r="I210" s="85"/>
    </row>
    <row r="211" spans="2:9" x14ac:dyDescent="0.25">
      <c r="B211" s="85"/>
      <c r="C211" s="85"/>
      <c r="D211" s="85"/>
      <c r="E211" s="85"/>
      <c r="F211" s="85"/>
      <c r="G211" s="85"/>
      <c r="H211" s="85"/>
      <c r="I211" s="85"/>
    </row>
    <row r="212" spans="2:9" x14ac:dyDescent="0.25">
      <c r="B212" s="85"/>
      <c r="C212" s="85"/>
      <c r="D212" s="85"/>
      <c r="E212" s="85"/>
      <c r="F212" s="85"/>
      <c r="G212" s="85"/>
      <c r="H212" s="85"/>
      <c r="I212" s="85"/>
    </row>
    <row r="213" spans="2:9" x14ac:dyDescent="0.25">
      <c r="B213" s="85"/>
      <c r="C213" s="85"/>
      <c r="D213" s="85"/>
      <c r="E213" s="85"/>
      <c r="F213" s="85"/>
      <c r="G213" s="85"/>
      <c r="H213" s="85"/>
      <c r="I213" s="85"/>
    </row>
    <row r="214" spans="2:9" x14ac:dyDescent="0.25">
      <c r="B214" s="85"/>
      <c r="C214" s="85"/>
      <c r="D214" s="85"/>
      <c r="E214" s="85"/>
      <c r="F214" s="85"/>
      <c r="G214" s="85"/>
      <c r="H214" s="85"/>
      <c r="I214" s="85"/>
    </row>
    <row r="215" spans="2:9" x14ac:dyDescent="0.25">
      <c r="B215" s="85"/>
      <c r="C215" s="85"/>
      <c r="D215" s="85"/>
      <c r="E215" s="85"/>
      <c r="F215" s="85"/>
      <c r="G215" s="85"/>
      <c r="H215" s="85"/>
      <c r="I215" s="85"/>
    </row>
    <row r="216" spans="2:9" x14ac:dyDescent="0.25">
      <c r="B216" s="85"/>
      <c r="C216" s="85"/>
      <c r="D216" s="85"/>
      <c r="E216" s="85"/>
      <c r="F216" s="85"/>
      <c r="G216" s="85"/>
      <c r="H216" s="85"/>
      <c r="I216" s="85"/>
    </row>
    <row r="217" spans="2:9" x14ac:dyDescent="0.25">
      <c r="B217" s="85"/>
      <c r="C217" s="85"/>
      <c r="D217" s="85"/>
      <c r="E217" s="85"/>
      <c r="F217" s="85"/>
      <c r="G217" s="85"/>
      <c r="H217" s="85"/>
      <c r="I217" s="85"/>
    </row>
    <row r="218" spans="2:9" x14ac:dyDescent="0.25">
      <c r="B218" s="85"/>
      <c r="C218" s="85"/>
      <c r="D218" s="85"/>
      <c r="E218" s="85"/>
      <c r="F218" s="85"/>
      <c r="G218" s="85"/>
      <c r="H218" s="85"/>
      <c r="I218" s="85"/>
    </row>
    <row r="219" spans="2:9" x14ac:dyDescent="0.25">
      <c r="B219" s="85"/>
      <c r="C219" s="85"/>
      <c r="D219" s="85"/>
      <c r="E219" s="85"/>
      <c r="F219" s="85"/>
      <c r="G219" s="85"/>
      <c r="H219" s="85"/>
      <c r="I219" s="85"/>
    </row>
    <row r="220" spans="2:9" x14ac:dyDescent="0.25">
      <c r="B220" s="85"/>
      <c r="C220" s="85"/>
      <c r="D220" s="85"/>
      <c r="E220" s="85"/>
      <c r="F220" s="85"/>
      <c r="G220" s="85"/>
      <c r="H220" s="85"/>
      <c r="I220" s="85"/>
    </row>
    <row r="221" spans="2:9" x14ac:dyDescent="0.25">
      <c r="B221" s="85"/>
      <c r="C221" s="85"/>
      <c r="D221" s="85"/>
      <c r="E221" s="85"/>
      <c r="F221" s="85"/>
      <c r="G221" s="85"/>
      <c r="H221" s="85"/>
      <c r="I221" s="85"/>
    </row>
    <row r="222" spans="2:9" x14ac:dyDescent="0.25">
      <c r="B222" s="85"/>
      <c r="C222" s="85"/>
      <c r="D222" s="85"/>
      <c r="E222" s="85"/>
      <c r="F222" s="85"/>
      <c r="G222" s="85"/>
      <c r="H222" s="85"/>
      <c r="I222" s="85"/>
    </row>
    <row r="223" spans="2:9" x14ac:dyDescent="0.25">
      <c r="B223" s="85"/>
      <c r="C223" s="85"/>
      <c r="D223" s="85"/>
      <c r="E223" s="85"/>
      <c r="F223" s="85"/>
      <c r="G223" s="85"/>
      <c r="H223" s="85"/>
      <c r="I223" s="85"/>
    </row>
    <row r="224" spans="2:9" x14ac:dyDescent="0.25">
      <c r="B224" s="85"/>
      <c r="C224" s="85"/>
      <c r="D224" s="85"/>
      <c r="E224" s="85"/>
      <c r="F224" s="85"/>
      <c r="G224" s="85"/>
      <c r="H224" s="85"/>
      <c r="I224" s="85"/>
    </row>
    <row r="225" spans="2:9" x14ac:dyDescent="0.25">
      <c r="B225" s="85"/>
      <c r="C225" s="85"/>
      <c r="D225" s="85"/>
      <c r="E225" s="85"/>
      <c r="F225" s="85"/>
      <c r="G225" s="85"/>
      <c r="H225" s="85"/>
      <c r="I225" s="85"/>
    </row>
    <row r="226" spans="2:9" x14ac:dyDescent="0.25">
      <c r="B226" s="85"/>
      <c r="C226" s="85"/>
      <c r="D226" s="85"/>
      <c r="E226" s="85"/>
      <c r="F226" s="85"/>
      <c r="G226" s="85"/>
      <c r="H226" s="85"/>
      <c r="I226" s="85"/>
    </row>
    <row r="227" spans="2:9" x14ac:dyDescent="0.25">
      <c r="B227" s="85"/>
      <c r="C227" s="85"/>
      <c r="D227" s="85"/>
      <c r="E227" s="85"/>
      <c r="F227" s="85"/>
      <c r="G227" s="85"/>
      <c r="H227" s="85"/>
      <c r="I227" s="85"/>
    </row>
    <row r="228" spans="2:9" x14ac:dyDescent="0.25">
      <c r="B228" s="85"/>
      <c r="C228" s="85"/>
      <c r="D228" s="85"/>
      <c r="E228" s="85"/>
      <c r="F228" s="85"/>
      <c r="G228" s="85"/>
      <c r="H228" s="85"/>
      <c r="I228" s="85"/>
    </row>
    <row r="229" spans="2:9" x14ac:dyDescent="0.25">
      <c r="B229" s="85"/>
      <c r="C229" s="85"/>
      <c r="D229" s="85"/>
      <c r="E229" s="85"/>
      <c r="F229" s="85"/>
      <c r="G229" s="85"/>
      <c r="H229" s="85"/>
      <c r="I229" s="85"/>
    </row>
    <row r="230" spans="2:9" x14ac:dyDescent="0.25">
      <c r="B230" s="85"/>
      <c r="C230" s="85"/>
      <c r="D230" s="85"/>
      <c r="E230" s="85"/>
      <c r="F230" s="85"/>
      <c r="G230" s="85"/>
      <c r="H230" s="85"/>
      <c r="I230" s="85"/>
    </row>
    <row r="231" spans="2:9" x14ac:dyDescent="0.25">
      <c r="B231" s="85"/>
      <c r="C231" s="85"/>
      <c r="D231" s="85"/>
      <c r="E231" s="85"/>
      <c r="F231" s="85"/>
      <c r="G231" s="85"/>
      <c r="H231" s="85"/>
      <c r="I231" s="85"/>
    </row>
    <row r="232" spans="2:9" x14ac:dyDescent="0.25">
      <c r="B232" s="85"/>
      <c r="C232" s="85"/>
      <c r="D232" s="85"/>
      <c r="E232" s="85"/>
      <c r="F232" s="85"/>
      <c r="G232" s="85"/>
      <c r="H232" s="85"/>
      <c r="I232" s="85"/>
    </row>
    <row r="233" spans="2:9" x14ac:dyDescent="0.25">
      <c r="B233" s="85"/>
      <c r="C233" s="85"/>
      <c r="D233" s="85"/>
      <c r="E233" s="85"/>
      <c r="F233" s="85"/>
      <c r="G233" s="85"/>
      <c r="H233" s="85"/>
      <c r="I233" s="85"/>
    </row>
    <row r="234" spans="2:9" x14ac:dyDescent="0.25">
      <c r="B234" s="85"/>
      <c r="C234" s="85"/>
      <c r="D234" s="85"/>
      <c r="E234" s="85"/>
      <c r="F234" s="85"/>
      <c r="G234" s="85"/>
      <c r="H234" s="85"/>
      <c r="I234" s="85"/>
    </row>
  </sheetData>
  <mergeCells count="1">
    <mergeCell ref="D37:F156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P109"/>
  <sheetViews>
    <sheetView showRuler="0" workbookViewId="0"/>
  </sheetViews>
  <sheetFormatPr defaultColWidth="11" defaultRowHeight="15.75" x14ac:dyDescent="0.25"/>
  <cols>
    <col min="2" max="11" width="13.125" bestFit="1" customWidth="1"/>
    <col min="12" max="16" width="13.125" style="21" bestFit="1" customWidth="1"/>
  </cols>
  <sheetData>
    <row r="1" spans="1:16" ht="26.25" x14ac:dyDescent="0.4">
      <c r="A1" s="84"/>
    </row>
    <row r="2" spans="1:16" ht="16.5" thickBot="1" x14ac:dyDescent="0.3">
      <c r="A2" t="s">
        <v>124</v>
      </c>
      <c r="B2" s="26" t="s">
        <v>97</v>
      </c>
      <c r="C2" s="27" t="s">
        <v>98</v>
      </c>
      <c r="D2" s="27" t="s">
        <v>99</v>
      </c>
      <c r="E2" s="27" t="s">
        <v>100</v>
      </c>
      <c r="F2" s="28" t="s">
        <v>101</v>
      </c>
      <c r="G2" s="26" t="s">
        <v>102</v>
      </c>
      <c r="H2" s="27" t="s">
        <v>103</v>
      </c>
      <c r="I2" s="27" t="s">
        <v>104</v>
      </c>
      <c r="J2" s="27" t="s">
        <v>105</v>
      </c>
      <c r="K2" s="29" t="s">
        <v>106</v>
      </c>
      <c r="L2" s="44" t="s">
        <v>0</v>
      </c>
      <c r="M2" s="45" t="s">
        <v>1</v>
      </c>
      <c r="N2" s="45" t="s">
        <v>2</v>
      </c>
      <c r="O2" s="45" t="s">
        <v>3</v>
      </c>
      <c r="P2" s="46" t="s">
        <v>4</v>
      </c>
    </row>
    <row r="4" spans="1:16" x14ac:dyDescent="0.25">
      <c r="A4" s="9" t="s">
        <v>123</v>
      </c>
    </row>
    <row r="5" spans="1:16" x14ac:dyDescent="0.25">
      <c r="A5" t="s">
        <v>117</v>
      </c>
      <c r="B5" s="15">
        <v>257.09893670000002</v>
      </c>
      <c r="C5" s="15">
        <v>245.7331696</v>
      </c>
      <c r="D5" s="15">
        <v>275.65245540000001</v>
      </c>
      <c r="E5" s="15">
        <v>278.55849030000002</v>
      </c>
      <c r="F5" s="15">
        <v>286.40707639999999</v>
      </c>
      <c r="G5" s="15">
        <v>362.25330689999998</v>
      </c>
      <c r="H5" s="15">
        <v>386.55725489999998</v>
      </c>
      <c r="I5" s="15">
        <v>323.67400859999998</v>
      </c>
      <c r="J5" s="15">
        <v>330.80353009999999</v>
      </c>
      <c r="K5" s="15">
        <v>319.3230532</v>
      </c>
      <c r="L5" s="22">
        <f>'Ergon ARR'!B49</f>
        <v>370.45910027999997</v>
      </c>
      <c r="M5" s="22">
        <f>'Ergon ARR'!C49</f>
        <v>387.19036849999998</v>
      </c>
      <c r="N5" s="22">
        <f>'Ergon ARR'!D49</f>
        <v>405.64773695999997</v>
      </c>
      <c r="O5" s="22">
        <f>'Ergon ARR'!E49</f>
        <v>426.61625420000001</v>
      </c>
      <c r="P5" s="22">
        <f>'Ergon ARR'!F49</f>
        <v>444.78213389999996</v>
      </c>
    </row>
    <row r="6" spans="1:16" x14ac:dyDescent="0.25">
      <c r="A6" t="s">
        <v>118</v>
      </c>
      <c r="B6" s="15">
        <v>185.66164140000001</v>
      </c>
      <c r="C6" s="15">
        <v>223.74332050000001</v>
      </c>
      <c r="D6" s="15">
        <v>245.7934104</v>
      </c>
      <c r="E6" s="15">
        <v>260.58576440000002</v>
      </c>
      <c r="F6" s="15">
        <v>262.85995279999997</v>
      </c>
      <c r="G6" s="15">
        <v>309.85418199999998</v>
      </c>
      <c r="H6" s="15">
        <v>344.28023469999999</v>
      </c>
      <c r="I6" s="15">
        <v>372.33060849999998</v>
      </c>
      <c r="J6" s="15">
        <v>356.21527959999997</v>
      </c>
      <c r="K6" s="15">
        <v>347.31620450000003</v>
      </c>
      <c r="L6" s="22">
        <v>365.41673350000002</v>
      </c>
      <c r="M6" s="22">
        <v>366.37182139999999</v>
      </c>
      <c r="N6" s="22">
        <v>381.04575729999999</v>
      </c>
      <c r="O6" s="22">
        <v>403.21923140000001</v>
      </c>
      <c r="P6" s="22">
        <v>416.11473380000001</v>
      </c>
    </row>
    <row r="7" spans="1:16" x14ac:dyDescent="0.25">
      <c r="A7" t="s">
        <v>119</v>
      </c>
      <c r="B7" s="15">
        <v>216.82850479999999</v>
      </c>
      <c r="C7" s="15">
        <v>274.22838830000001</v>
      </c>
      <c r="D7" s="15">
        <v>322.50325980000002</v>
      </c>
      <c r="E7" s="15">
        <v>335.2816388</v>
      </c>
      <c r="F7" s="15">
        <v>367.07159639999998</v>
      </c>
      <c r="G7" s="15">
        <v>387.84797950000001</v>
      </c>
      <c r="H7" s="15">
        <v>483.20219329999998</v>
      </c>
      <c r="I7" s="15">
        <v>461.04258829999998</v>
      </c>
      <c r="J7" s="15">
        <v>369.17129410000001</v>
      </c>
      <c r="K7" s="15">
        <v>277.3</v>
      </c>
      <c r="L7" s="22">
        <v>279.89999999999998</v>
      </c>
      <c r="M7" s="22">
        <v>283.3</v>
      </c>
      <c r="N7" s="22">
        <v>287.3</v>
      </c>
      <c r="O7" s="22">
        <v>291.10000000000002</v>
      </c>
      <c r="P7" s="22"/>
    </row>
    <row r="8" spans="1:16" x14ac:dyDescent="0.25">
      <c r="A8" t="s">
        <v>120</v>
      </c>
      <c r="B8" s="15">
        <v>189.80279400000001</v>
      </c>
      <c r="C8" s="15">
        <v>214.02842870000001</v>
      </c>
      <c r="D8" s="15">
        <v>271.5976349</v>
      </c>
      <c r="E8" s="15">
        <v>259.32801999999998</v>
      </c>
      <c r="F8" s="15">
        <v>256.26400000000001</v>
      </c>
      <c r="G8" s="15">
        <v>274.74736300000001</v>
      </c>
      <c r="H8" s="15">
        <v>288.75985800000001</v>
      </c>
      <c r="I8" s="15">
        <v>271.58627369999999</v>
      </c>
      <c r="J8" s="15">
        <v>241.84313689999999</v>
      </c>
      <c r="K8" s="15">
        <v>212.1</v>
      </c>
      <c r="L8" s="22">
        <v>220.5</v>
      </c>
      <c r="M8" s="22">
        <v>230.1</v>
      </c>
      <c r="N8" s="22">
        <v>240.5</v>
      </c>
      <c r="O8" s="22">
        <v>251.7</v>
      </c>
      <c r="P8" s="22"/>
    </row>
    <row r="9" spans="1:16" x14ac:dyDescent="0.25">
      <c r="A9" t="s">
        <v>121</v>
      </c>
      <c r="B9" s="15">
        <v>113.002647</v>
      </c>
      <c r="C9" s="15">
        <v>109.98794700000001</v>
      </c>
      <c r="D9" s="15">
        <v>128.057389</v>
      </c>
      <c r="E9" s="15">
        <v>146.78416799999999</v>
      </c>
      <c r="F9" s="15">
        <v>149.40732</v>
      </c>
      <c r="G9" s="15">
        <v>193.49235899999999</v>
      </c>
      <c r="H9" s="15">
        <v>206.71667099999999</v>
      </c>
      <c r="I9" s="15">
        <v>225.44520600000001</v>
      </c>
      <c r="J9" s="15">
        <v>239.51295110000001</v>
      </c>
      <c r="K9" s="15">
        <v>253.58069620000001</v>
      </c>
      <c r="L9" s="22">
        <v>285.66157020000003</v>
      </c>
      <c r="M9" s="22">
        <v>298.90220620000002</v>
      </c>
      <c r="N9" s="22">
        <v>315.90735719999998</v>
      </c>
      <c r="O9" s="22">
        <v>324.53264660000002</v>
      </c>
      <c r="P9" s="22">
        <v>329.0896616</v>
      </c>
    </row>
    <row r="10" spans="1:16" x14ac:dyDescent="0.25">
      <c r="A10" t="s">
        <v>122</v>
      </c>
      <c r="B10" s="15">
        <v>48.65372756</v>
      </c>
      <c r="C10" s="15">
        <v>50.855280239999999</v>
      </c>
      <c r="D10" s="15">
        <v>53.355825780000004</v>
      </c>
      <c r="E10" s="15">
        <v>62.068118130000002</v>
      </c>
      <c r="F10" s="15">
        <v>75.121536489999997</v>
      </c>
      <c r="G10" s="15">
        <v>74.982701250000005</v>
      </c>
      <c r="H10" s="15">
        <v>84.472607359999998</v>
      </c>
      <c r="I10" s="15">
        <v>75.19</v>
      </c>
      <c r="J10" s="15">
        <v>76.09</v>
      </c>
      <c r="K10" s="15">
        <v>78.92</v>
      </c>
      <c r="L10" s="22">
        <v>80.81</v>
      </c>
      <c r="M10" s="22">
        <v>82.24</v>
      </c>
      <c r="N10" s="22"/>
      <c r="O10" s="22"/>
      <c r="P10" s="22"/>
    </row>
    <row r="11" spans="1:16" x14ac:dyDescent="0.25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22"/>
      <c r="M11" s="22"/>
      <c r="N11" s="22"/>
      <c r="O11" s="22"/>
      <c r="P11" s="22"/>
    </row>
    <row r="12" spans="1:16" x14ac:dyDescent="0.25">
      <c r="A12" s="9" t="s">
        <v>125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22"/>
      <c r="M12" s="22"/>
      <c r="N12" s="22"/>
      <c r="O12" s="22"/>
      <c r="P12" s="22"/>
    </row>
    <row r="13" spans="1:16" s="9" customFormat="1" x14ac:dyDescent="0.25">
      <c r="A13" s="9" t="s">
        <v>139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62">
        <f>'Alliance Forecasts'!L24</f>
        <v>746628</v>
      </c>
      <c r="M13" s="62">
        <f>'Alliance Forecasts'!M24</f>
        <v>758389</v>
      </c>
      <c r="N13" s="62">
        <f>'Alliance Forecasts'!N24</f>
        <v>770150</v>
      </c>
      <c r="O13" s="62">
        <f>'Alliance Forecasts'!O24</f>
        <v>781911</v>
      </c>
      <c r="P13" s="62">
        <f>'Alliance Forecasts'!P24</f>
        <v>793672</v>
      </c>
    </row>
    <row r="14" spans="1:16" x14ac:dyDescent="0.25">
      <c r="A14" t="s">
        <v>117</v>
      </c>
      <c r="B14" s="15">
        <v>624130</v>
      </c>
      <c r="C14" s="15">
        <v>635123</v>
      </c>
      <c r="D14" s="15">
        <v>647729</v>
      </c>
      <c r="E14" s="15">
        <v>663216</v>
      </c>
      <c r="F14" s="15">
        <v>676960</v>
      </c>
      <c r="G14" s="15">
        <v>688959</v>
      </c>
      <c r="H14" s="15">
        <v>699264</v>
      </c>
      <c r="I14" s="15">
        <v>710431</v>
      </c>
      <c r="J14" s="15">
        <v>723401.462231035</v>
      </c>
      <c r="K14" s="15">
        <v>736371.92446206999</v>
      </c>
      <c r="L14" s="22">
        <v>747564.52745260624</v>
      </c>
      <c r="M14" s="22">
        <v>759880.48402165389</v>
      </c>
      <c r="N14" s="22">
        <v>772137.56636626227</v>
      </c>
      <c r="O14" s="22">
        <v>784588.96125044744</v>
      </c>
      <c r="P14" s="22">
        <v>797305.99029930646</v>
      </c>
    </row>
    <row r="15" spans="1:16" x14ac:dyDescent="0.25">
      <c r="A15" t="s">
        <v>118</v>
      </c>
      <c r="B15" s="15">
        <v>1212063.5623809525</v>
      </c>
      <c r="C15" s="15">
        <v>1236100.9766666668</v>
      </c>
      <c r="D15" s="15">
        <v>1263762.9433333334</v>
      </c>
      <c r="E15" s="15">
        <v>1287435.6833333333</v>
      </c>
      <c r="F15" s="15">
        <v>1307554.3333333333</v>
      </c>
      <c r="G15" s="15">
        <v>1326563.5</v>
      </c>
      <c r="H15" s="15">
        <v>1343864.5</v>
      </c>
      <c r="I15" s="15">
        <v>1359711.5</v>
      </c>
      <c r="J15" s="15">
        <v>1378546.25</v>
      </c>
      <c r="K15" s="15">
        <v>1397381</v>
      </c>
      <c r="L15" s="22">
        <v>1416045</v>
      </c>
      <c r="M15" s="22">
        <v>1433673</v>
      </c>
      <c r="N15" s="22">
        <v>1451219</v>
      </c>
      <c r="O15" s="22">
        <v>1468801</v>
      </c>
      <c r="P15" s="22">
        <v>1486510</v>
      </c>
    </row>
    <row r="16" spans="1:16" x14ac:dyDescent="0.25">
      <c r="A16" t="s">
        <v>119</v>
      </c>
      <c r="B16" s="15">
        <v>799028</v>
      </c>
      <c r="C16" s="15">
        <v>805190</v>
      </c>
      <c r="D16" s="15">
        <v>814865</v>
      </c>
      <c r="E16" s="15">
        <v>821578</v>
      </c>
      <c r="F16" s="15">
        <v>825215</v>
      </c>
      <c r="G16" s="15">
        <v>834416</v>
      </c>
      <c r="H16" s="15">
        <v>838385</v>
      </c>
      <c r="I16" s="15">
        <v>844244</v>
      </c>
      <c r="J16" s="15">
        <v>851281.12639608164</v>
      </c>
      <c r="K16" s="15">
        <v>858318.2527921634</v>
      </c>
      <c r="L16" s="22">
        <v>863286.97266524041</v>
      </c>
      <c r="M16" s="22">
        <v>867574.68929415476</v>
      </c>
      <c r="N16" s="22">
        <v>872174.31431707821</v>
      </c>
      <c r="O16" s="22">
        <v>877392.52865828737</v>
      </c>
      <c r="P16" s="22"/>
    </row>
    <row r="17" spans="1:16" x14ac:dyDescent="0.25">
      <c r="A17" t="s">
        <v>120</v>
      </c>
      <c r="B17" s="15">
        <v>849548.29330195289</v>
      </c>
      <c r="C17" s="15">
        <v>859722.30529925239</v>
      </c>
      <c r="D17" s="15">
        <v>869654.53679641755</v>
      </c>
      <c r="E17" s="15">
        <v>878612.20779662021</v>
      </c>
      <c r="F17" s="15">
        <v>886064.29272155382</v>
      </c>
      <c r="G17" s="15">
        <v>895088.26980019733</v>
      </c>
      <c r="H17" s="15">
        <v>903746.68839345104</v>
      </c>
      <c r="I17" s="15">
        <v>919384.82389900391</v>
      </c>
      <c r="J17" s="15">
        <v>936688.99531223951</v>
      </c>
      <c r="K17" s="15">
        <v>953993.16672547522</v>
      </c>
      <c r="L17" s="22">
        <v>965658.88978766999</v>
      </c>
      <c r="M17" s="22">
        <v>977671.88236540137</v>
      </c>
      <c r="N17" s="22">
        <v>990321.1522287596</v>
      </c>
      <c r="O17" s="22">
        <v>1004713.948749013</v>
      </c>
      <c r="P17" s="22"/>
    </row>
    <row r="18" spans="1:16" x14ac:dyDescent="0.25">
      <c r="A18" t="s">
        <v>121</v>
      </c>
      <c r="B18" s="15">
        <v>778839</v>
      </c>
      <c r="C18" s="15">
        <v>779426</v>
      </c>
      <c r="D18" s="15">
        <v>781110</v>
      </c>
      <c r="E18" s="15">
        <v>814467</v>
      </c>
      <c r="F18" s="15">
        <v>826964</v>
      </c>
      <c r="G18" s="15">
        <v>836055</v>
      </c>
      <c r="H18" s="15">
        <v>844153</v>
      </c>
      <c r="I18" s="15">
        <v>847766</v>
      </c>
      <c r="J18" s="15">
        <v>850528.5</v>
      </c>
      <c r="K18" s="15">
        <v>853291</v>
      </c>
      <c r="L18" s="22">
        <v>859678</v>
      </c>
      <c r="M18" s="22">
        <v>866120</v>
      </c>
      <c r="N18" s="22">
        <v>872616</v>
      </c>
      <c r="O18" s="22">
        <v>879168</v>
      </c>
      <c r="P18" s="22">
        <v>885775</v>
      </c>
    </row>
    <row r="19" spans="1:16" x14ac:dyDescent="0.25">
      <c r="A19" t="s">
        <v>122</v>
      </c>
      <c r="B19" s="15">
        <v>250642.52420131132</v>
      </c>
      <c r="C19" s="15">
        <v>255484.38545676047</v>
      </c>
      <c r="D19" s="15">
        <v>260424.25945125124</v>
      </c>
      <c r="E19" s="15">
        <v>265464.13023523602</v>
      </c>
      <c r="F19" s="15">
        <v>270606.02202186675</v>
      </c>
      <c r="G19" s="15">
        <v>275852</v>
      </c>
      <c r="H19" s="15">
        <v>278392</v>
      </c>
      <c r="I19" s="15">
        <v>279868</v>
      </c>
      <c r="J19" s="15">
        <v>283010</v>
      </c>
      <c r="K19" s="15">
        <v>286162</v>
      </c>
      <c r="L19" s="22">
        <v>289322</v>
      </c>
      <c r="M19" s="22">
        <v>292493</v>
      </c>
      <c r="N19" s="22"/>
      <c r="O19" s="22"/>
      <c r="P19" s="22"/>
    </row>
    <row r="20" spans="1:16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22"/>
      <c r="M20" s="22"/>
      <c r="N20" s="22"/>
      <c r="O20" s="22"/>
      <c r="P20" s="22"/>
    </row>
    <row r="21" spans="1:16" x14ac:dyDescent="0.25">
      <c r="A21" s="9" t="s">
        <v>193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22"/>
      <c r="M21" s="22"/>
      <c r="N21" s="22"/>
      <c r="O21" s="22"/>
      <c r="P21" s="22"/>
    </row>
    <row r="22" spans="1:16" s="9" customFormat="1" x14ac:dyDescent="0.25">
      <c r="A22" s="9" t="s">
        <v>139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2">
        <f>'Alliance Forecasts'!L22</f>
        <v>2420.2883000000002</v>
      </c>
      <c r="M22" s="62">
        <f>'Alliance Forecasts'!M22</f>
        <v>2430.2235999999998</v>
      </c>
      <c r="N22" s="62">
        <f>'Alliance Forecasts'!N22</f>
        <v>2440.1588999999999</v>
      </c>
      <c r="O22" s="62">
        <f>'Alliance Forecasts'!O22</f>
        <v>2450.0942</v>
      </c>
      <c r="P22" s="62">
        <f>'Alliance Forecasts'!P22</f>
        <v>2460.0295000000001</v>
      </c>
    </row>
    <row r="23" spans="1:16" x14ac:dyDescent="0.25">
      <c r="A23" t="s">
        <v>117</v>
      </c>
      <c r="B23" s="15">
        <v>2145.5320000000002</v>
      </c>
      <c r="C23" s="15">
        <v>2229.8229999999999</v>
      </c>
      <c r="D23" s="15">
        <v>2383.11</v>
      </c>
      <c r="E23" s="15">
        <v>2298.9740000000002</v>
      </c>
      <c r="F23" s="15">
        <v>2447.2719999999999</v>
      </c>
      <c r="G23" s="15">
        <v>2281.498</v>
      </c>
      <c r="H23" s="15">
        <v>2366.7089999999998</v>
      </c>
      <c r="I23" s="15">
        <v>2344.5500000000002</v>
      </c>
      <c r="J23" s="15">
        <v>2472.3099167826535</v>
      </c>
      <c r="K23" s="15">
        <v>2600.0698335653069</v>
      </c>
      <c r="L23" s="22">
        <v>2661.5262805191887</v>
      </c>
      <c r="M23" s="22">
        <v>2656.8869509493088</v>
      </c>
      <c r="N23" s="22">
        <v>2730.8934106318266</v>
      </c>
      <c r="O23" s="22">
        <v>2801.9752565235685</v>
      </c>
      <c r="P23" s="22">
        <v>2906.1382757307001</v>
      </c>
    </row>
    <row r="24" spans="1:16" x14ac:dyDescent="0.25">
      <c r="A24" t="s">
        <v>118</v>
      </c>
      <c r="B24" s="15">
        <v>4999.2216176286092</v>
      </c>
      <c r="C24" s="15">
        <v>5009.4254259384079</v>
      </c>
      <c r="D24" s="15">
        <v>4885.1925692087361</v>
      </c>
      <c r="E24" s="15">
        <v>5756.9664601159066</v>
      </c>
      <c r="F24" s="15">
        <v>5790.0198670184973</v>
      </c>
      <c r="G24" s="15">
        <v>5751.8392829401419</v>
      </c>
      <c r="H24" s="15">
        <v>5556.5252288445845</v>
      </c>
      <c r="I24" s="15">
        <v>5576.733341951589</v>
      </c>
      <c r="J24" s="15">
        <v>5199.7788392657949</v>
      </c>
      <c r="K24" s="15">
        <v>4822.8243365800008</v>
      </c>
      <c r="L24" s="22">
        <v>4920.9365199124441</v>
      </c>
      <c r="M24" s="22">
        <v>4970.4879962569103</v>
      </c>
      <c r="N24" s="22">
        <v>5053.7344926511869</v>
      </c>
      <c r="O24" s="22">
        <v>5127.0708632981405</v>
      </c>
      <c r="P24" s="22">
        <v>5231.1289530014619</v>
      </c>
    </row>
    <row r="25" spans="1:16" x14ac:dyDescent="0.25">
      <c r="A25" t="s">
        <v>119</v>
      </c>
      <c r="B25" s="15">
        <v>2183.2935760304576</v>
      </c>
      <c r="C25" s="15">
        <v>2101.154314955395</v>
      </c>
      <c r="D25" s="15">
        <v>2152.2687024894631</v>
      </c>
      <c r="E25" s="15">
        <v>2160.5910515452347</v>
      </c>
      <c r="F25" s="15">
        <v>2068.9557115244161</v>
      </c>
      <c r="G25" s="15">
        <v>2106.4750079800856</v>
      </c>
      <c r="H25" s="15">
        <v>1977.016062593797</v>
      </c>
      <c r="I25" s="15">
        <v>2046.6344023817242</v>
      </c>
      <c r="J25" s="15">
        <v>2169.0265912521863</v>
      </c>
      <c r="K25" s="15">
        <v>2291.4187801226485</v>
      </c>
      <c r="L25" s="22">
        <v>2400.2968330818562</v>
      </c>
      <c r="M25" s="22">
        <v>2325.0944480751491</v>
      </c>
      <c r="N25" s="22">
        <v>2418.5928634599886</v>
      </c>
      <c r="O25" s="22">
        <v>2341.8435344183804</v>
      </c>
      <c r="P25" s="22"/>
    </row>
    <row r="26" spans="1:16" x14ac:dyDescent="0.25">
      <c r="A26" t="s">
        <v>120</v>
      </c>
      <c r="B26" s="15">
        <v>3816.0787989617606</v>
      </c>
      <c r="C26" s="15">
        <v>3866.1514448441594</v>
      </c>
      <c r="D26" s="15">
        <v>3492.1555693999999</v>
      </c>
      <c r="E26" s="15">
        <v>4283.5483188544003</v>
      </c>
      <c r="F26" s="15">
        <v>4017.7889178999999</v>
      </c>
      <c r="G26" s="15">
        <v>4563.7028309999996</v>
      </c>
      <c r="H26" s="15">
        <v>3155.61</v>
      </c>
      <c r="I26" s="15">
        <v>3656.7020071000002</v>
      </c>
      <c r="J26" s="15">
        <v>3766.0003307414809</v>
      </c>
      <c r="K26" s="15">
        <v>3875.298654382962</v>
      </c>
      <c r="L26" s="22">
        <v>3987.4377938810976</v>
      </c>
      <c r="M26" s="22">
        <v>4069.74853356431</v>
      </c>
      <c r="N26" s="22">
        <v>4132.6268562449095</v>
      </c>
      <c r="O26" s="22">
        <v>4166.6951875936884</v>
      </c>
      <c r="P26" s="22"/>
    </row>
    <row r="27" spans="1:16" x14ac:dyDescent="0.25">
      <c r="A27" t="s">
        <v>121</v>
      </c>
      <c r="B27" s="15">
        <v>2406.5290646234153</v>
      </c>
      <c r="C27" s="15">
        <v>2325.6683677240881</v>
      </c>
      <c r="D27" s="15">
        <v>2603.5948316921235</v>
      </c>
      <c r="E27" s="15">
        <v>2846.8761815054822</v>
      </c>
      <c r="F27" s="15">
        <v>2798.534388269135</v>
      </c>
      <c r="G27" s="15">
        <v>2830.2204097894751</v>
      </c>
      <c r="H27" s="15">
        <v>2455.7130820643306</v>
      </c>
      <c r="I27" s="15">
        <v>2524.6427869934723</v>
      </c>
      <c r="J27" s="15">
        <v>2647.8260013410336</v>
      </c>
      <c r="K27" s="15">
        <v>2771.0092156885953</v>
      </c>
      <c r="L27" s="22">
        <v>2771.8895954536197</v>
      </c>
      <c r="M27" s="22">
        <v>2772.0345199371441</v>
      </c>
      <c r="N27" s="22">
        <v>2759.1091580438206</v>
      </c>
      <c r="O27" s="22">
        <v>2758.663706896175</v>
      </c>
      <c r="P27" s="22">
        <v>2758.7139980994284</v>
      </c>
    </row>
    <row r="28" spans="1:16" x14ac:dyDescent="0.25">
      <c r="A28" t="s">
        <v>122</v>
      </c>
      <c r="B28" s="15">
        <v>173</v>
      </c>
      <c r="C28" s="15">
        <v>245</v>
      </c>
      <c r="D28" s="15">
        <v>254</v>
      </c>
      <c r="E28" s="15">
        <v>251</v>
      </c>
      <c r="F28" s="15">
        <v>228</v>
      </c>
      <c r="G28" s="15">
        <v>235.5</v>
      </c>
      <c r="H28" s="15">
        <v>243</v>
      </c>
      <c r="I28" s="15">
        <v>223</v>
      </c>
      <c r="J28" s="15"/>
      <c r="K28" s="15"/>
      <c r="L28" s="22"/>
      <c r="M28" s="22"/>
      <c r="N28" s="22"/>
      <c r="O28" s="22"/>
      <c r="P28" s="22"/>
    </row>
    <row r="29" spans="1:16" x14ac:dyDescent="0.25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22"/>
      <c r="M29" s="22"/>
      <c r="N29" s="22"/>
      <c r="O29" s="22"/>
      <c r="P29" s="22"/>
    </row>
    <row r="30" spans="1:16" x14ac:dyDescent="0.25">
      <c r="A30" s="9" t="s">
        <v>126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22"/>
      <c r="M30" s="22"/>
      <c r="N30" s="22"/>
      <c r="O30" s="22"/>
      <c r="P30" s="22"/>
    </row>
    <row r="31" spans="1:16" s="9" customFormat="1" x14ac:dyDescent="0.25">
      <c r="A31" s="31" t="s">
        <v>139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62">
        <f>'Alliance Forecasts'!L23</f>
        <v>13380.874</v>
      </c>
      <c r="M31" s="62">
        <f>'Alliance Forecasts'!M23</f>
        <v>13292.407999999999</v>
      </c>
      <c r="N31" s="62">
        <f>'Alliance Forecasts'!N23</f>
        <v>13203.941999999999</v>
      </c>
      <c r="O31" s="62">
        <f>'Alliance Forecasts'!O23</f>
        <v>13115.476000000001</v>
      </c>
      <c r="P31" s="62">
        <f>'Alliance Forecasts'!P23</f>
        <v>13027.01</v>
      </c>
    </row>
    <row r="32" spans="1:16" x14ac:dyDescent="0.25">
      <c r="A32" t="s">
        <v>117</v>
      </c>
      <c r="B32" s="15">
        <v>13486.171</v>
      </c>
      <c r="C32" s="15">
        <v>13576.44</v>
      </c>
      <c r="D32" s="15">
        <v>13813.450999999999</v>
      </c>
      <c r="E32" s="15">
        <v>14130.074000000001</v>
      </c>
      <c r="F32" s="15">
        <v>14256.528</v>
      </c>
      <c r="G32" s="15">
        <v>13227.153</v>
      </c>
      <c r="H32" s="15">
        <v>13691.726000000001</v>
      </c>
      <c r="I32" s="15">
        <v>13495.528</v>
      </c>
      <c r="J32" s="15">
        <v>13874.496357701531</v>
      </c>
      <c r="K32" s="15">
        <v>14253.464715403063</v>
      </c>
      <c r="L32" s="22">
        <v>14366.549727583029</v>
      </c>
      <c r="M32" s="22">
        <v>14510.938309415524</v>
      </c>
      <c r="N32" s="22">
        <v>14662.206987237209</v>
      </c>
      <c r="O32" s="22">
        <v>14807.140275325817</v>
      </c>
      <c r="P32" s="22">
        <v>14955.43911130316</v>
      </c>
    </row>
    <row r="33" spans="1:16" x14ac:dyDescent="0.25">
      <c r="A33" t="s">
        <v>118</v>
      </c>
      <c r="B33" s="15">
        <v>20618</v>
      </c>
      <c r="C33" s="15">
        <v>20707</v>
      </c>
      <c r="D33" s="15">
        <v>21155</v>
      </c>
      <c r="E33" s="15">
        <v>21994</v>
      </c>
      <c r="F33" s="15">
        <v>22193</v>
      </c>
      <c r="G33" s="15">
        <v>21454</v>
      </c>
      <c r="H33" s="15">
        <v>21210</v>
      </c>
      <c r="I33" s="15">
        <v>21055</v>
      </c>
      <c r="J33" s="15">
        <v>20841.811030773166</v>
      </c>
      <c r="K33" s="15">
        <v>20628.622061546332</v>
      </c>
      <c r="L33" s="22">
        <v>20568.609116181629</v>
      </c>
      <c r="M33" s="22">
        <v>20504.339514081017</v>
      </c>
      <c r="N33" s="22">
        <v>20547.595496480229</v>
      </c>
      <c r="O33" s="22">
        <v>20680.618816818624</v>
      </c>
      <c r="P33" s="22">
        <v>21121.280608584479</v>
      </c>
    </row>
    <row r="34" spans="1:16" x14ac:dyDescent="0.25">
      <c r="A34" t="s">
        <v>119</v>
      </c>
      <c r="B34" s="15">
        <v>11964.840000000002</v>
      </c>
      <c r="C34" s="15">
        <v>11974.12</v>
      </c>
      <c r="D34" s="15">
        <v>12036.900000000001</v>
      </c>
      <c r="E34" s="15">
        <v>12121.430283</v>
      </c>
      <c r="F34" s="15">
        <v>12103.520000000002</v>
      </c>
      <c r="G34" s="15">
        <v>11943.293</v>
      </c>
      <c r="H34" s="15">
        <v>11853.304757472308</v>
      </c>
      <c r="I34" s="15">
        <v>12291.140578126164</v>
      </c>
      <c r="J34" s="15">
        <v>11985.928389063081</v>
      </c>
      <c r="K34" s="15">
        <v>11680.716199999999</v>
      </c>
      <c r="L34" s="22">
        <v>11628.3436</v>
      </c>
      <c r="M34" s="22">
        <v>11557.3428</v>
      </c>
      <c r="N34" s="22">
        <v>11517.225900000001</v>
      </c>
      <c r="O34" s="22">
        <v>11530.0304</v>
      </c>
      <c r="P34" s="22"/>
    </row>
    <row r="35" spans="1:16" x14ac:dyDescent="0.25">
      <c r="A35" t="s">
        <v>120</v>
      </c>
      <c r="B35" s="15">
        <v>17196</v>
      </c>
      <c r="C35" s="15">
        <v>17482.559368937189</v>
      </c>
      <c r="D35" s="15">
        <v>18111.697</v>
      </c>
      <c r="E35" s="15">
        <v>17425.962</v>
      </c>
      <c r="F35" s="15">
        <v>17410.773000000001</v>
      </c>
      <c r="G35" s="15">
        <v>17501.186278246016</v>
      </c>
      <c r="H35" s="15">
        <v>16505.800201592276</v>
      </c>
      <c r="I35" s="15">
        <v>16000.807428106313</v>
      </c>
      <c r="J35" s="15">
        <v>15683.990434120145</v>
      </c>
      <c r="K35" s="15">
        <v>15367.173440133978</v>
      </c>
      <c r="L35" s="22">
        <v>15244.675258714529</v>
      </c>
      <c r="M35" s="22">
        <v>15259.192325523878</v>
      </c>
      <c r="N35" s="22">
        <v>15283.470887112786</v>
      </c>
      <c r="O35" s="22">
        <v>15432.246440598179</v>
      </c>
      <c r="P35" s="22"/>
    </row>
    <row r="36" spans="1:16" x14ac:dyDescent="0.25">
      <c r="A36" t="s">
        <v>121</v>
      </c>
      <c r="B36" s="15">
        <v>10954.5</v>
      </c>
      <c r="C36" s="15">
        <v>11258.599999999999</v>
      </c>
      <c r="D36" s="15">
        <v>11344.299999999997</v>
      </c>
      <c r="E36" s="15">
        <v>11266.700000000003</v>
      </c>
      <c r="F36" s="15">
        <v>11503.5</v>
      </c>
      <c r="G36" s="15">
        <v>11258.9</v>
      </c>
      <c r="H36" s="15">
        <v>11018.6</v>
      </c>
      <c r="I36" s="15">
        <v>11008.1</v>
      </c>
      <c r="J36" s="15">
        <v>10713.05</v>
      </c>
      <c r="K36" s="15">
        <v>10418</v>
      </c>
      <c r="L36" s="22">
        <v>10510</v>
      </c>
      <c r="M36" s="22">
        <v>10530</v>
      </c>
      <c r="N36" s="22">
        <v>10467</v>
      </c>
      <c r="O36" s="22">
        <v>10447</v>
      </c>
      <c r="P36" s="22">
        <v>10430</v>
      </c>
    </row>
    <row r="37" spans="1:16" x14ac:dyDescent="0.25">
      <c r="A37" t="s">
        <v>122</v>
      </c>
      <c r="B37" s="15">
        <v>4448.6720436592732</v>
      </c>
      <c r="C37" s="15">
        <v>4417.0736412828728</v>
      </c>
      <c r="D37" s="15">
        <v>4441.0496229999999</v>
      </c>
      <c r="E37" s="15">
        <v>4586.0503100572932</v>
      </c>
      <c r="F37" s="15">
        <v>4545.2267016629203</v>
      </c>
      <c r="G37" s="15">
        <v>4444.8157984202126</v>
      </c>
      <c r="H37" s="15">
        <v>4317.9943187364997</v>
      </c>
      <c r="I37" s="15">
        <v>4247.6620063958999</v>
      </c>
      <c r="J37" s="15"/>
      <c r="K37" s="15"/>
      <c r="L37" s="22"/>
      <c r="M37" s="22"/>
      <c r="N37" s="22"/>
      <c r="O37" s="22"/>
      <c r="P37" s="22"/>
    </row>
    <row r="38" spans="1:16" x14ac:dyDescent="0.25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22"/>
      <c r="M38" s="22"/>
      <c r="N38" s="22"/>
      <c r="O38" s="22"/>
      <c r="P38" s="22"/>
    </row>
    <row r="39" spans="1:16" x14ac:dyDescent="0.25">
      <c r="A39" s="9" t="s">
        <v>127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22"/>
      <c r="M39" s="22"/>
      <c r="N39" s="22"/>
      <c r="O39" s="22"/>
      <c r="P39" s="22"/>
    </row>
    <row r="40" spans="1:16" x14ac:dyDescent="0.25">
      <c r="A40" t="s">
        <v>117</v>
      </c>
      <c r="B40" s="15">
        <v>137464.93799999999</v>
      </c>
      <c r="C40" s="15">
        <v>139118.03700000001</v>
      </c>
      <c r="D40" s="15">
        <v>139627.552</v>
      </c>
      <c r="E40" s="15">
        <v>140872.02799999999</v>
      </c>
      <c r="F40" s="15">
        <v>141675.837</v>
      </c>
      <c r="G40" s="15">
        <v>141326.28099999999</v>
      </c>
      <c r="H40" s="15">
        <v>142404.592</v>
      </c>
      <c r="I40" s="15">
        <v>141446.783</v>
      </c>
      <c r="J40" s="15">
        <v>141645.6415</v>
      </c>
      <c r="K40" s="15">
        <v>141844.5</v>
      </c>
      <c r="L40" s="22">
        <v>142212.13528368145</v>
      </c>
      <c r="M40" s="22">
        <v>142609.06324205265</v>
      </c>
      <c r="N40" s="22">
        <v>142983.94270121588</v>
      </c>
      <c r="O40" s="22">
        <v>143185.57733543537</v>
      </c>
      <c r="P40" s="22">
        <v>143390.10875015619</v>
      </c>
    </row>
    <row r="41" spans="1:16" x14ac:dyDescent="0.25">
      <c r="A41" t="s">
        <v>118</v>
      </c>
      <c r="B41" s="15">
        <v>37863</v>
      </c>
      <c r="C41" s="15">
        <v>38739</v>
      </c>
      <c r="D41" s="15">
        <v>39599</v>
      </c>
      <c r="E41" s="15">
        <v>40484</v>
      </c>
      <c r="F41" s="15">
        <v>41131</v>
      </c>
      <c r="G41" s="15">
        <v>41689</v>
      </c>
      <c r="H41" s="15">
        <v>42178</v>
      </c>
      <c r="I41" s="15">
        <v>42587</v>
      </c>
      <c r="J41" s="15">
        <v>42735.5</v>
      </c>
      <c r="K41" s="15">
        <v>42884</v>
      </c>
      <c r="L41" s="22">
        <v>42935</v>
      </c>
      <c r="M41" s="22">
        <v>42986</v>
      </c>
      <c r="N41" s="22">
        <v>43037</v>
      </c>
      <c r="O41" s="22">
        <v>43088</v>
      </c>
      <c r="P41" s="22">
        <v>43139</v>
      </c>
    </row>
    <row r="42" spans="1:16" x14ac:dyDescent="0.25">
      <c r="A42" t="s">
        <v>119</v>
      </c>
      <c r="B42" s="15">
        <v>189519.30006014908</v>
      </c>
      <c r="C42" s="15">
        <v>179841.54272824817</v>
      </c>
      <c r="D42" s="15">
        <v>176400.00583690053</v>
      </c>
      <c r="E42" s="15">
        <v>178225.55710529207</v>
      </c>
      <c r="F42" s="15">
        <v>180726.38791515975</v>
      </c>
      <c r="G42" s="15">
        <v>180344</v>
      </c>
      <c r="H42" s="15">
        <v>180416</v>
      </c>
      <c r="I42" s="15">
        <v>180741</v>
      </c>
      <c r="J42" s="15">
        <v>184398.55609476485</v>
      </c>
      <c r="K42" s="15">
        <v>188056.1121895297</v>
      </c>
      <c r="L42" s="22">
        <v>188379.54055051081</v>
      </c>
      <c r="M42" s="22">
        <v>188669.90004032516</v>
      </c>
      <c r="N42" s="22">
        <v>188946.35356918443</v>
      </c>
      <c r="O42" s="22">
        <v>189226.19916048573</v>
      </c>
      <c r="P42" s="22"/>
    </row>
    <row r="43" spans="1:16" x14ac:dyDescent="0.25">
      <c r="A43" t="s">
        <v>120</v>
      </c>
      <c r="B43" s="15">
        <v>24877.598104535798</v>
      </c>
      <c r="C43" s="15">
        <v>25184.425905529075</v>
      </c>
      <c r="D43" s="15">
        <v>25542.647363188738</v>
      </c>
      <c r="E43" s="15">
        <v>25757.426823884038</v>
      </c>
      <c r="F43" s="15">
        <v>25939.989365475041</v>
      </c>
      <c r="G43" s="15">
        <v>26212.299038856589</v>
      </c>
      <c r="H43" s="15">
        <v>26516.058561839942</v>
      </c>
      <c r="I43" s="15">
        <v>26869.677602484706</v>
      </c>
      <c r="J43" s="15">
        <v>27140.170051687746</v>
      </c>
      <c r="K43" s="15">
        <v>27410.662500890787</v>
      </c>
      <c r="L43" s="22">
        <v>27681.154950093827</v>
      </c>
      <c r="M43" s="22">
        <v>27951.647399296868</v>
      </c>
      <c r="N43" s="22">
        <v>28222.139848499908</v>
      </c>
      <c r="O43" s="22">
        <v>28492.632297702949</v>
      </c>
      <c r="P43" s="22"/>
    </row>
    <row r="44" spans="1:16" x14ac:dyDescent="0.25">
      <c r="A44" t="s">
        <v>121</v>
      </c>
      <c r="B44" s="15">
        <v>81040.914379351118</v>
      </c>
      <c r="C44" s="15">
        <v>80991.544399345978</v>
      </c>
      <c r="D44" s="15">
        <v>80942.174419340823</v>
      </c>
      <c r="E44" s="15">
        <v>81117.562635689028</v>
      </c>
      <c r="F44" s="15">
        <v>81331.445701122968</v>
      </c>
      <c r="G44" s="15">
        <v>81037.644511795268</v>
      </c>
      <c r="H44" s="15">
        <v>81131.289501052743</v>
      </c>
      <c r="I44" s="15">
        <v>81137</v>
      </c>
      <c r="J44" s="15">
        <v>81898.106</v>
      </c>
      <c r="K44" s="15">
        <v>82659.212</v>
      </c>
      <c r="L44" s="22">
        <v>83125.122000000003</v>
      </c>
      <c r="M44" s="22">
        <v>83595.433000000005</v>
      </c>
      <c r="N44" s="22">
        <v>84079.691000000006</v>
      </c>
      <c r="O44" s="22">
        <v>84596.952000000005</v>
      </c>
      <c r="P44" s="22">
        <v>85103.520999999993</v>
      </c>
    </row>
    <row r="45" spans="1:16" x14ac:dyDescent="0.25">
      <c r="A45" t="s">
        <v>122</v>
      </c>
      <c r="B45" s="15">
        <v>20700.244199999994</v>
      </c>
      <c r="C45" s="15">
        <v>20700.244199999994</v>
      </c>
      <c r="D45" s="15">
        <v>20700.244199999994</v>
      </c>
      <c r="E45" s="15">
        <v>20803.867349999997</v>
      </c>
      <c r="F45" s="15">
        <v>21052.008249999999</v>
      </c>
      <c r="G45" s="15">
        <v>21393.133200000011</v>
      </c>
      <c r="H45" s="15">
        <v>21578.763800000015</v>
      </c>
      <c r="I45" s="15">
        <v>21689.660150000022</v>
      </c>
      <c r="J45" s="15"/>
      <c r="K45" s="15"/>
      <c r="L45" s="22"/>
      <c r="M45" s="22"/>
      <c r="N45" s="22"/>
      <c r="O45" s="22"/>
      <c r="P45" s="22"/>
    </row>
    <row r="47" spans="1:16" x14ac:dyDescent="0.25">
      <c r="A47" s="9" t="s">
        <v>128</v>
      </c>
    </row>
    <row r="48" spans="1:16" x14ac:dyDescent="0.25">
      <c r="A48" s="31" t="s">
        <v>129</v>
      </c>
    </row>
    <row r="49" spans="1:16" x14ac:dyDescent="0.25">
      <c r="A49" t="s">
        <v>117</v>
      </c>
      <c r="B49" s="16">
        <f>(B5*1000000)/B14</f>
        <v>411.93170765705867</v>
      </c>
      <c r="C49" s="16">
        <f t="shared" ref="C49:P49" si="0">(C5*1000000)/C14</f>
        <v>386.90642536957409</v>
      </c>
      <c r="D49" s="16">
        <f t="shared" si="0"/>
        <v>425.56756822683565</v>
      </c>
      <c r="E49" s="16">
        <f t="shared" si="0"/>
        <v>420.01171609249479</v>
      </c>
      <c r="F49" s="16">
        <f t="shared" si="0"/>
        <v>423.07828586622543</v>
      </c>
      <c r="G49" s="16">
        <f t="shared" si="0"/>
        <v>525.79806185854306</v>
      </c>
      <c r="H49" s="16">
        <f t="shared" si="0"/>
        <v>552.80588575988463</v>
      </c>
      <c r="I49" s="16">
        <f t="shared" si="0"/>
        <v>455.60231549580459</v>
      </c>
      <c r="J49" s="16">
        <f t="shared" si="0"/>
        <v>457.28899839346775</v>
      </c>
      <c r="K49" s="16">
        <f t="shared" si="0"/>
        <v>433.64370991366889</v>
      </c>
      <c r="L49" s="24">
        <f t="shared" si="0"/>
        <v>495.55468013225942</v>
      </c>
      <c r="M49" s="24">
        <f t="shared" si="0"/>
        <v>509.54114053673533</v>
      </c>
      <c r="N49" s="24">
        <f t="shared" si="0"/>
        <v>525.35682063626155</v>
      </c>
      <c r="O49" s="24">
        <f t="shared" si="0"/>
        <v>543.74491009926464</v>
      </c>
      <c r="P49" s="24">
        <f t="shared" si="0"/>
        <v>557.85625507846737</v>
      </c>
    </row>
    <row r="50" spans="1:16" x14ac:dyDescent="0.25">
      <c r="A50" t="s">
        <v>118</v>
      </c>
      <c r="B50" s="16">
        <f t="shared" ref="B50:P54" si="1">(B6*1000000)/B15</f>
        <v>153.17813946596178</v>
      </c>
      <c r="C50" s="16">
        <f t="shared" si="1"/>
        <v>181.00731633054582</v>
      </c>
      <c r="D50" s="16">
        <f t="shared" si="1"/>
        <v>194.49328823623284</v>
      </c>
      <c r="E50" s="16">
        <f t="shared" si="1"/>
        <v>202.40682138412583</v>
      </c>
      <c r="F50" s="16">
        <f t="shared" si="1"/>
        <v>201.0317629630687</v>
      </c>
      <c r="G50" s="16">
        <f t="shared" si="1"/>
        <v>233.57659245109639</v>
      </c>
      <c r="H50" s="16">
        <f t="shared" si="1"/>
        <v>256.18671726204536</v>
      </c>
      <c r="I50" s="16">
        <f t="shared" si="1"/>
        <v>273.83059457833519</v>
      </c>
      <c r="J50" s="16">
        <f t="shared" si="1"/>
        <v>258.39922280445791</v>
      </c>
      <c r="K50" s="16">
        <f t="shared" si="1"/>
        <v>248.5479654439269</v>
      </c>
      <c r="L50" s="24">
        <f t="shared" si="1"/>
        <v>258.05446401773958</v>
      </c>
      <c r="M50" s="24">
        <f t="shared" si="1"/>
        <v>255.54768862913647</v>
      </c>
      <c r="N50" s="24">
        <f t="shared" si="1"/>
        <v>262.56943803795292</v>
      </c>
      <c r="O50" s="24">
        <f t="shared" si="1"/>
        <v>274.52271029227245</v>
      </c>
      <c r="P50" s="24">
        <f t="shared" si="1"/>
        <v>279.92730206994906</v>
      </c>
    </row>
    <row r="51" spans="1:16" x14ac:dyDescent="0.25">
      <c r="A51" t="s">
        <v>119</v>
      </c>
      <c r="B51" s="16">
        <f t="shared" si="1"/>
        <v>271.36533988796384</v>
      </c>
      <c r="C51" s="16">
        <f t="shared" si="1"/>
        <v>340.57599858418513</v>
      </c>
      <c r="D51" s="16">
        <f t="shared" si="1"/>
        <v>395.77507906217596</v>
      </c>
      <c r="E51" s="16">
        <f t="shared" si="1"/>
        <v>408.0947138311883</v>
      </c>
      <c r="F51" s="16">
        <f t="shared" si="1"/>
        <v>444.81934574626001</v>
      </c>
      <c r="G51" s="16">
        <f t="shared" si="1"/>
        <v>464.8136894546605</v>
      </c>
      <c r="H51" s="16">
        <f t="shared" si="1"/>
        <v>576.34880550105254</v>
      </c>
      <c r="I51" s="16">
        <f t="shared" si="1"/>
        <v>546.10111330373672</v>
      </c>
      <c r="J51" s="16">
        <f t="shared" si="1"/>
        <v>433.66554555590261</v>
      </c>
      <c r="K51" s="16">
        <f t="shared" si="1"/>
        <v>323.0736374275225</v>
      </c>
      <c r="L51" s="24">
        <f t="shared" si="1"/>
        <v>324.2259050149454</v>
      </c>
      <c r="M51" s="24">
        <f t="shared" si="1"/>
        <v>326.54249080328572</v>
      </c>
      <c r="N51" s="24">
        <f t="shared" si="1"/>
        <v>329.40662810617044</v>
      </c>
      <c r="O51" s="24">
        <f t="shared" si="1"/>
        <v>331.77852613487767</v>
      </c>
      <c r="P51" s="24"/>
    </row>
    <row r="52" spans="1:16" x14ac:dyDescent="0.25">
      <c r="A52" t="s">
        <v>120</v>
      </c>
      <c r="B52" s="16">
        <f t="shared" si="1"/>
        <v>223.41613242761099</v>
      </c>
      <c r="C52" s="16">
        <f t="shared" si="1"/>
        <v>248.95065229871051</v>
      </c>
      <c r="D52" s="16">
        <f t="shared" si="1"/>
        <v>312.30520098301957</v>
      </c>
      <c r="E52" s="16">
        <f t="shared" si="1"/>
        <v>295.15640426888859</v>
      </c>
      <c r="F52" s="16">
        <f t="shared" si="1"/>
        <v>289.21603331162686</v>
      </c>
      <c r="G52" s="16">
        <f t="shared" si="1"/>
        <v>306.95002076312477</v>
      </c>
      <c r="H52" s="16">
        <f t="shared" si="1"/>
        <v>319.51415336670846</v>
      </c>
      <c r="I52" s="16">
        <f t="shared" si="1"/>
        <v>295.39999643265185</v>
      </c>
      <c r="J52" s="16">
        <f t="shared" si="1"/>
        <v>258.18936499769922</v>
      </c>
      <c r="K52" s="16">
        <f t="shared" si="1"/>
        <v>222.32863651216772</v>
      </c>
      <c r="L52" s="24">
        <f t="shared" si="1"/>
        <v>228.34150063951026</v>
      </c>
      <c r="M52" s="24">
        <f t="shared" si="1"/>
        <v>235.35503490525971</v>
      </c>
      <c r="N52" s="24">
        <f t="shared" si="1"/>
        <v>242.85051314792639</v>
      </c>
      <c r="O52" s="24">
        <f t="shared" si="1"/>
        <v>250.51906596240264</v>
      </c>
      <c r="P52" s="24"/>
    </row>
    <row r="53" spans="1:16" x14ac:dyDescent="0.25">
      <c r="A53" t="s">
        <v>121</v>
      </c>
      <c r="B53" s="16">
        <f t="shared" si="1"/>
        <v>145.09115105946159</v>
      </c>
      <c r="C53" s="16">
        <f t="shared" si="1"/>
        <v>141.11403391726734</v>
      </c>
      <c r="D53" s="16">
        <f t="shared" si="1"/>
        <v>163.94283647629655</v>
      </c>
      <c r="E53" s="16">
        <f t="shared" si="1"/>
        <v>180.22113603129409</v>
      </c>
      <c r="F53" s="16">
        <f t="shared" si="1"/>
        <v>180.66967848660886</v>
      </c>
      <c r="G53" s="16">
        <f t="shared" si="1"/>
        <v>231.43496420690028</v>
      </c>
      <c r="H53" s="16">
        <f t="shared" si="1"/>
        <v>244.8805737822409</v>
      </c>
      <c r="I53" s="16">
        <f t="shared" si="1"/>
        <v>265.92857698940509</v>
      </c>
      <c r="J53" s="16">
        <f t="shared" si="1"/>
        <v>281.60485051353368</v>
      </c>
      <c r="K53" s="16">
        <f t="shared" si="1"/>
        <v>297.17962125464823</v>
      </c>
      <c r="L53" s="24">
        <f t="shared" si="1"/>
        <v>332.28903170722066</v>
      </c>
      <c r="M53" s="24">
        <f t="shared" si="1"/>
        <v>345.10484251604862</v>
      </c>
      <c r="N53" s="24">
        <f t="shared" si="1"/>
        <v>362.02333810060782</v>
      </c>
      <c r="O53" s="24">
        <f t="shared" si="1"/>
        <v>369.13609981255007</v>
      </c>
      <c r="P53" s="24">
        <f t="shared" si="1"/>
        <v>371.52737613953883</v>
      </c>
    </row>
    <row r="54" spans="1:16" x14ac:dyDescent="0.25">
      <c r="A54" t="s">
        <v>122</v>
      </c>
      <c r="B54" s="16">
        <f t="shared" si="1"/>
        <v>194.11601329438517</v>
      </c>
      <c r="C54" s="16">
        <f t="shared" si="1"/>
        <v>199.05435766291487</v>
      </c>
      <c r="D54" s="16">
        <f t="shared" si="1"/>
        <v>204.88039744234223</v>
      </c>
      <c r="E54" s="16">
        <f t="shared" si="1"/>
        <v>233.80981104678631</v>
      </c>
      <c r="F54" s="16">
        <f t="shared" si="1"/>
        <v>277.60482168401143</v>
      </c>
      <c r="G54" s="16">
        <f t="shared" si="1"/>
        <v>271.82221354204427</v>
      </c>
      <c r="H54" s="16">
        <f t="shared" si="1"/>
        <v>303.43044110462944</v>
      </c>
      <c r="I54" s="16">
        <f t="shared" si="1"/>
        <v>268.66236940271841</v>
      </c>
      <c r="J54" s="16">
        <f t="shared" si="1"/>
        <v>268.85975760573831</v>
      </c>
      <c r="K54" s="16">
        <f t="shared" si="1"/>
        <v>275.78784045400857</v>
      </c>
      <c r="L54" s="24">
        <f t="shared" si="1"/>
        <v>279.30817566586711</v>
      </c>
      <c r="M54" s="24">
        <f t="shared" si="1"/>
        <v>281.16912199608197</v>
      </c>
      <c r="N54" s="24"/>
      <c r="O54" s="24"/>
      <c r="P54" s="24"/>
    </row>
    <row r="55" spans="1:16" x14ac:dyDescent="0.25">
      <c r="A55" t="s">
        <v>182</v>
      </c>
      <c r="B55" s="16">
        <f>$F56</f>
        <v>271.65973896983746</v>
      </c>
      <c r="C55" s="16">
        <f t="shared" ref="C55:F55" si="2">$F56</f>
        <v>271.65973896983746</v>
      </c>
      <c r="D55" s="16">
        <f t="shared" si="2"/>
        <v>271.65973896983746</v>
      </c>
      <c r="E55" s="16">
        <f t="shared" si="2"/>
        <v>271.65973896983746</v>
      </c>
      <c r="F55" s="16">
        <f t="shared" si="2"/>
        <v>271.65973896983746</v>
      </c>
      <c r="G55" s="16">
        <f>$K56</f>
        <v>338.38854120441079</v>
      </c>
      <c r="H55" s="16">
        <f t="shared" ref="H55:K55" si="3">$K56</f>
        <v>338.38854120441079</v>
      </c>
      <c r="I55" s="16">
        <f t="shared" si="3"/>
        <v>338.38854120441079</v>
      </c>
      <c r="J55" s="16">
        <f t="shared" si="3"/>
        <v>338.38854120441079</v>
      </c>
      <c r="K55" s="16">
        <f t="shared" si="3"/>
        <v>338.38854120441079</v>
      </c>
      <c r="L55" s="24"/>
      <c r="M55" s="24"/>
      <c r="N55" s="24"/>
      <c r="O55" s="24"/>
      <c r="P55" s="24"/>
    </row>
    <row r="56" spans="1:16" x14ac:dyDescent="0.25">
      <c r="B56" s="32"/>
      <c r="C56" s="32"/>
      <c r="D56" s="32"/>
      <c r="E56" s="32" t="s">
        <v>130</v>
      </c>
      <c r="F56" s="36">
        <f>AVERAGE(B49:F54)</f>
        <v>271.65973896983746</v>
      </c>
      <c r="G56" s="33"/>
      <c r="H56" s="33"/>
      <c r="I56" s="33"/>
      <c r="J56" s="32" t="s">
        <v>130</v>
      </c>
      <c r="K56" s="34">
        <f>AVERAGE(G49:K54)</f>
        <v>338.38854120441079</v>
      </c>
      <c r="L56" s="47"/>
      <c r="M56" s="47"/>
      <c r="N56" s="47"/>
      <c r="O56" s="52"/>
      <c r="P56" s="52"/>
    </row>
    <row r="57" spans="1:16" x14ac:dyDescent="0.25">
      <c r="A57" s="30"/>
      <c r="F57" s="33"/>
      <c r="G57" s="33"/>
      <c r="H57" s="33"/>
      <c r="I57" s="33"/>
      <c r="K57" s="35"/>
    </row>
    <row r="58" spans="1:16" x14ac:dyDescent="0.25">
      <c r="A58" s="31" t="s">
        <v>137</v>
      </c>
      <c r="F58" s="33"/>
      <c r="G58" s="33"/>
      <c r="H58" s="33"/>
      <c r="I58" s="33"/>
      <c r="K58" s="35"/>
    </row>
    <row r="59" spans="1:16" x14ac:dyDescent="0.25">
      <c r="A59" t="s">
        <v>117</v>
      </c>
      <c r="B59" s="15">
        <f>(B5*1000000)/B23</f>
        <v>119829.92409341832</v>
      </c>
      <c r="C59" s="15">
        <f t="shared" ref="C59:P59" si="4">(C5*1000000)/C23</f>
        <v>110202.99351114416</v>
      </c>
      <c r="D59" s="15">
        <f t="shared" si="4"/>
        <v>115669.21182824126</v>
      </c>
      <c r="E59" s="15">
        <f t="shared" si="4"/>
        <v>121166.43785445159</v>
      </c>
      <c r="F59" s="15">
        <f t="shared" si="4"/>
        <v>117031.15812218665</v>
      </c>
      <c r="G59" s="15">
        <f t="shared" si="4"/>
        <v>158778.70894473718</v>
      </c>
      <c r="H59" s="15">
        <f t="shared" si="4"/>
        <v>163331.1298093682</v>
      </c>
      <c r="I59" s="15">
        <f t="shared" si="4"/>
        <v>138053.78797637072</v>
      </c>
      <c r="J59" s="15">
        <f t="shared" si="4"/>
        <v>133803.42320937334</v>
      </c>
      <c r="K59" s="15">
        <f t="shared" si="4"/>
        <v>122813.26027391081</v>
      </c>
      <c r="L59" s="49">
        <f>(L5*1000000)/L23</f>
        <v>139190.4723960621</v>
      </c>
      <c r="M59" s="22">
        <f t="shared" si="4"/>
        <v>145730.84050928717</v>
      </c>
      <c r="N59" s="22">
        <f t="shared" si="4"/>
        <v>148540.30383637283</v>
      </c>
      <c r="O59" s="22">
        <f t="shared" si="4"/>
        <v>152255.53944730616</v>
      </c>
      <c r="P59" s="22">
        <f t="shared" si="4"/>
        <v>153049.19852382693</v>
      </c>
    </row>
    <row r="60" spans="1:16" x14ac:dyDescent="0.25">
      <c r="A60" t="s">
        <v>118</v>
      </c>
      <c r="B60" s="15">
        <f t="shared" ref="B60:P64" si="5">(B6*1000000)/B24</f>
        <v>37138.109809996575</v>
      </c>
      <c r="C60" s="15">
        <f t="shared" si="5"/>
        <v>44664.467773384713</v>
      </c>
      <c r="D60" s="15">
        <f t="shared" si="5"/>
        <v>50313.965502451349</v>
      </c>
      <c r="E60" s="15">
        <f t="shared" si="5"/>
        <v>45264.42288752774</v>
      </c>
      <c r="F60" s="15">
        <f t="shared" si="5"/>
        <v>45398.799803316848</v>
      </c>
      <c r="G60" s="15">
        <f t="shared" si="5"/>
        <v>53870.451999419085</v>
      </c>
      <c r="H60" s="15">
        <f t="shared" si="5"/>
        <v>61959.627738717041</v>
      </c>
      <c r="I60" s="15">
        <f t="shared" si="5"/>
        <v>66765.001241695049</v>
      </c>
      <c r="J60" s="15">
        <f t="shared" si="5"/>
        <v>68505.852000870349</v>
      </c>
      <c r="K60" s="15">
        <f t="shared" si="5"/>
        <v>72015.10572667708</v>
      </c>
      <c r="L60" s="22">
        <f t="shared" si="5"/>
        <v>74257.558905982733</v>
      </c>
      <c r="M60" s="22">
        <f t="shared" si="5"/>
        <v>73709.42685625657</v>
      </c>
      <c r="N60" s="22">
        <f t="shared" si="5"/>
        <v>75398.847694530064</v>
      </c>
      <c r="O60" s="22">
        <f t="shared" si="5"/>
        <v>78645.144986472311</v>
      </c>
      <c r="P60" s="22">
        <f t="shared" si="5"/>
        <v>79545.875763824573</v>
      </c>
    </row>
    <row r="61" spans="1:16" x14ac:dyDescent="0.25">
      <c r="A61" t="s">
        <v>119</v>
      </c>
      <c r="B61" s="15">
        <f t="shared" si="5"/>
        <v>99312.573984770963</v>
      </c>
      <c r="C61" s="15">
        <f t="shared" si="5"/>
        <v>130513.20712054486</v>
      </c>
      <c r="D61" s="15">
        <f t="shared" si="5"/>
        <v>149843.39986311673</v>
      </c>
      <c r="E61" s="15">
        <f t="shared" si="5"/>
        <v>155180.51810878774</v>
      </c>
      <c r="F61" s="15">
        <f t="shared" si="5"/>
        <v>177418.77912386047</v>
      </c>
      <c r="G61" s="15">
        <f t="shared" si="5"/>
        <v>184121.80445089177</v>
      </c>
      <c r="H61" s="15">
        <f t="shared" si="5"/>
        <v>244409.8469620173</v>
      </c>
      <c r="I61" s="15">
        <f t="shared" si="5"/>
        <v>225268.65949456929</v>
      </c>
      <c r="J61" s="15">
        <f t="shared" si="5"/>
        <v>170201.36847970876</v>
      </c>
      <c r="K61" s="15">
        <f t="shared" si="5"/>
        <v>121016.72658245276</v>
      </c>
      <c r="L61" s="22">
        <f t="shared" si="5"/>
        <v>116610.57755120352</v>
      </c>
      <c r="M61" s="22">
        <f t="shared" si="5"/>
        <v>121844.51269690679</v>
      </c>
      <c r="N61" s="22">
        <f t="shared" si="5"/>
        <v>118788.07894479379</v>
      </c>
      <c r="O61" s="22">
        <f t="shared" si="5"/>
        <v>124303.77850683244</v>
      </c>
      <c r="P61" s="22"/>
    </row>
    <row r="62" spans="1:16" x14ac:dyDescent="0.25">
      <c r="A62" t="s">
        <v>120</v>
      </c>
      <c r="B62" s="15">
        <f t="shared" si="5"/>
        <v>49737.650609216871</v>
      </c>
      <c r="C62" s="15">
        <f t="shared" si="5"/>
        <v>55359.556332286222</v>
      </c>
      <c r="D62" s="15">
        <f t="shared" si="5"/>
        <v>77773.635653541103</v>
      </c>
      <c r="E62" s="15">
        <f t="shared" si="5"/>
        <v>60540.468017728606</v>
      </c>
      <c r="F62" s="15">
        <f t="shared" si="5"/>
        <v>63782.34527411234</v>
      </c>
      <c r="G62" s="15">
        <f t="shared" si="5"/>
        <v>60202.728611888451</v>
      </c>
      <c r="H62" s="15">
        <f t="shared" si="5"/>
        <v>91506.826889254371</v>
      </c>
      <c r="I62" s="15">
        <f t="shared" si="5"/>
        <v>74270.824686473527</v>
      </c>
      <c r="J62" s="15">
        <f t="shared" si="5"/>
        <v>64217.502830750927</v>
      </c>
      <c r="K62" s="15">
        <f t="shared" si="5"/>
        <v>54731.265617455043</v>
      </c>
      <c r="L62" s="22">
        <f t="shared" si="5"/>
        <v>55298.668317375923</v>
      </c>
      <c r="M62" s="22">
        <f t="shared" si="5"/>
        <v>56539.119825783695</v>
      </c>
      <c r="N62" s="22">
        <f t="shared" si="5"/>
        <v>58195.430743178469</v>
      </c>
      <c r="O62" s="22">
        <f t="shared" si="5"/>
        <v>60407.586508712069</v>
      </c>
      <c r="P62" s="22"/>
    </row>
    <row r="63" spans="1:16" x14ac:dyDescent="0.25">
      <c r="A63" t="s">
        <v>121</v>
      </c>
      <c r="B63" s="15">
        <f t="shared" si="5"/>
        <v>46956.693214791143</v>
      </c>
      <c r="C63" s="15">
        <f t="shared" si="5"/>
        <v>47293.048538831361</v>
      </c>
      <c r="D63" s="15">
        <f t="shared" si="5"/>
        <v>49184.837610379327</v>
      </c>
      <c r="E63" s="15">
        <f t="shared" si="5"/>
        <v>51559.730259282907</v>
      </c>
      <c r="F63" s="15">
        <f t="shared" si="5"/>
        <v>53387.702015127608</v>
      </c>
      <c r="G63" s="15">
        <f t="shared" si="5"/>
        <v>68366.533691414108</v>
      </c>
      <c r="H63" s="15">
        <f t="shared" si="5"/>
        <v>84177.859583754413</v>
      </c>
      <c r="I63" s="15">
        <f t="shared" si="5"/>
        <v>89297.863112142091</v>
      </c>
      <c r="J63" s="15">
        <f t="shared" si="5"/>
        <v>90456.454079193602</v>
      </c>
      <c r="K63" s="15">
        <f t="shared" si="5"/>
        <v>91512.036396091615</v>
      </c>
      <c r="L63" s="22">
        <f t="shared" si="5"/>
        <v>103056.61909065016</v>
      </c>
      <c r="M63" s="22">
        <f t="shared" si="5"/>
        <v>107827.73592833096</v>
      </c>
      <c r="N63" s="22">
        <f t="shared" si="5"/>
        <v>114496.14317687054</v>
      </c>
      <c r="O63" s="22">
        <f t="shared" si="5"/>
        <v>117641.24992427506</v>
      </c>
      <c r="P63" s="22">
        <f t="shared" si="5"/>
        <v>119290.96739521423</v>
      </c>
    </row>
    <row r="64" spans="1:16" x14ac:dyDescent="0.25">
      <c r="A64" t="s">
        <v>122</v>
      </c>
      <c r="B64" s="15">
        <f t="shared" si="5"/>
        <v>281235.41942196531</v>
      </c>
      <c r="C64" s="15">
        <f t="shared" si="5"/>
        <v>207572.57240816328</v>
      </c>
      <c r="D64" s="15">
        <f t="shared" si="5"/>
        <v>210062.30622047244</v>
      </c>
      <c r="E64" s="15">
        <f t="shared" si="5"/>
        <v>247283.33916334662</v>
      </c>
      <c r="F64" s="15">
        <f t="shared" si="5"/>
        <v>329480.42320175434</v>
      </c>
      <c r="G64" s="15">
        <f t="shared" si="5"/>
        <v>318397.88216560509</v>
      </c>
      <c r="H64" s="15">
        <f t="shared" si="5"/>
        <v>347623.89860082307</v>
      </c>
      <c r="I64" s="15">
        <f t="shared" si="5"/>
        <v>337174.88789237669</v>
      </c>
      <c r="J64" s="15"/>
      <c r="K64" s="15"/>
      <c r="L64" s="22"/>
      <c r="M64" s="22"/>
      <c r="N64" s="22"/>
      <c r="O64" s="22"/>
      <c r="P64" s="22"/>
    </row>
    <row r="65" spans="1:16" x14ac:dyDescent="0.25">
      <c r="A65" t="s">
        <v>182</v>
      </c>
      <c r="B65" s="15">
        <f>$F66</f>
        <v>111671.92324427332</v>
      </c>
      <c r="C65" s="15">
        <f t="shared" ref="C65:F65" si="6">$F66</f>
        <v>111671.92324427332</v>
      </c>
      <c r="D65" s="15">
        <f t="shared" si="6"/>
        <v>111671.92324427332</v>
      </c>
      <c r="E65" s="15">
        <f t="shared" si="6"/>
        <v>111671.92324427332</v>
      </c>
      <c r="F65" s="15">
        <f t="shared" si="6"/>
        <v>111671.92324427332</v>
      </c>
      <c r="G65" s="15">
        <f>$K66</f>
        <v>134173.26139457148</v>
      </c>
      <c r="H65" s="15">
        <f t="shared" ref="H65:K65" si="7">$K66</f>
        <v>134173.26139457148</v>
      </c>
      <c r="I65" s="15">
        <f t="shared" si="7"/>
        <v>134173.26139457148</v>
      </c>
      <c r="J65" s="15">
        <f t="shared" si="7"/>
        <v>134173.26139457148</v>
      </c>
      <c r="K65" s="15">
        <f t="shared" si="7"/>
        <v>134173.26139457148</v>
      </c>
      <c r="L65" s="22"/>
      <c r="M65" s="22"/>
      <c r="N65" s="22"/>
      <c r="O65" s="22"/>
      <c r="P65" s="22"/>
    </row>
    <row r="66" spans="1:16" x14ac:dyDescent="0.25">
      <c r="B66" s="32"/>
      <c r="C66" s="32"/>
      <c r="D66" s="32"/>
      <c r="E66" s="32" t="s">
        <v>130</v>
      </c>
      <c r="F66" s="36">
        <f>AVERAGE(B59:F64)</f>
        <v>111671.92324427332</v>
      </c>
      <c r="G66" s="33"/>
      <c r="H66" s="33"/>
      <c r="I66" s="33"/>
      <c r="J66" s="32" t="s">
        <v>130</v>
      </c>
      <c r="K66" s="36">
        <f>AVERAGE(G59:K64)</f>
        <v>134173.26139457148</v>
      </c>
      <c r="L66" s="47"/>
      <c r="M66" s="47"/>
      <c r="N66" s="47"/>
      <c r="O66" s="47"/>
      <c r="P66" s="52"/>
    </row>
    <row r="68" spans="1:16" x14ac:dyDescent="0.25">
      <c r="A68" s="31" t="s">
        <v>136</v>
      </c>
    </row>
    <row r="69" spans="1:16" x14ac:dyDescent="0.25">
      <c r="A69" t="s">
        <v>117</v>
      </c>
      <c r="B69" s="15">
        <f>B5*1000000/B32</f>
        <v>19063.894169812917</v>
      </c>
      <c r="C69" s="15">
        <f t="shared" ref="C69:P69" si="8">C5*1000000/C32</f>
        <v>18099.970949674582</v>
      </c>
      <c r="D69" s="15">
        <f t="shared" si="8"/>
        <v>19955.36491207013</v>
      </c>
      <c r="E69" s="15">
        <f t="shared" si="8"/>
        <v>19713.873423451285</v>
      </c>
      <c r="F69" s="15">
        <f t="shared" si="8"/>
        <v>20089.53907992184</v>
      </c>
      <c r="G69" s="15">
        <f t="shared" si="8"/>
        <v>27387.095839898426</v>
      </c>
      <c r="H69" s="15">
        <f t="shared" si="8"/>
        <v>28232.90905032718</v>
      </c>
      <c r="I69" s="15">
        <f t="shared" si="8"/>
        <v>23983.797343831229</v>
      </c>
      <c r="J69" s="15">
        <f t="shared" si="8"/>
        <v>23842.561313324772</v>
      </c>
      <c r="K69" s="15">
        <f t="shared" si="8"/>
        <v>22403.188247621103</v>
      </c>
      <c r="L69" s="22">
        <f t="shared" si="8"/>
        <v>25786.226150648945</v>
      </c>
      <c r="M69" s="22">
        <f t="shared" si="8"/>
        <v>26682.655541907225</v>
      </c>
      <c r="N69" s="22">
        <f t="shared" si="8"/>
        <v>27666.212686336927</v>
      </c>
      <c r="O69" s="22">
        <f t="shared" si="8"/>
        <v>28811.522432248497</v>
      </c>
      <c r="P69" s="22">
        <f t="shared" si="8"/>
        <v>29740.493113561501</v>
      </c>
    </row>
    <row r="70" spans="1:16" x14ac:dyDescent="0.25">
      <c r="A70" t="s">
        <v>118</v>
      </c>
      <c r="B70" s="15">
        <f t="shared" ref="B70:P74" si="9">B6*1000000/B33</f>
        <v>9004.8327383839369</v>
      </c>
      <c r="C70" s="15">
        <f t="shared" si="9"/>
        <v>10805.202129714589</v>
      </c>
      <c r="D70" s="15">
        <f t="shared" si="9"/>
        <v>11618.691108484993</v>
      </c>
      <c r="E70" s="15">
        <f t="shared" si="9"/>
        <v>11848.038756024371</v>
      </c>
      <c r="F70" s="15">
        <f t="shared" si="9"/>
        <v>11844.273095120083</v>
      </c>
      <c r="G70" s="15">
        <f t="shared" si="9"/>
        <v>14442.723128554117</v>
      </c>
      <c r="H70" s="15">
        <f t="shared" si="9"/>
        <v>16231.977119283356</v>
      </c>
      <c r="I70" s="15">
        <f t="shared" si="9"/>
        <v>17683.71448587034</v>
      </c>
      <c r="J70" s="15">
        <f t="shared" si="9"/>
        <v>17091.378435110277</v>
      </c>
      <c r="K70" s="15">
        <f t="shared" si="9"/>
        <v>16836.616787285548</v>
      </c>
      <c r="L70" s="22">
        <f t="shared" si="9"/>
        <v>17765.748351575276</v>
      </c>
      <c r="M70" s="22">
        <f t="shared" si="9"/>
        <v>17868.013800122659</v>
      </c>
      <c r="N70" s="22">
        <f t="shared" si="9"/>
        <v>18544.542468011528</v>
      </c>
      <c r="O70" s="22">
        <f t="shared" si="9"/>
        <v>19497.44516697343</v>
      </c>
      <c r="P70" s="22">
        <f t="shared" si="9"/>
        <v>19701.207588278307</v>
      </c>
    </row>
    <row r="71" spans="1:16" x14ac:dyDescent="0.25">
      <c r="A71" t="s">
        <v>119</v>
      </c>
      <c r="B71" s="15">
        <f t="shared" si="9"/>
        <v>18122.139936681138</v>
      </c>
      <c r="C71" s="15">
        <f t="shared" si="9"/>
        <v>22901.757147915672</v>
      </c>
      <c r="D71" s="15">
        <f t="shared" si="9"/>
        <v>26792.883533135606</v>
      </c>
      <c r="E71" s="15">
        <f t="shared" si="9"/>
        <v>27660.237362436019</v>
      </c>
      <c r="F71" s="15">
        <f t="shared" si="9"/>
        <v>30327.672974473535</v>
      </c>
      <c r="G71" s="15">
        <f t="shared" si="9"/>
        <v>32474.124138125055</v>
      </c>
      <c r="H71" s="15">
        <f t="shared" si="9"/>
        <v>40765.187699691087</v>
      </c>
      <c r="I71" s="15">
        <f t="shared" si="9"/>
        <v>37510.15500713505</v>
      </c>
      <c r="J71" s="15">
        <f t="shared" si="9"/>
        <v>30800.392102864673</v>
      </c>
      <c r="K71" s="15">
        <f t="shared" si="9"/>
        <v>23739.982656200486</v>
      </c>
      <c r="L71" s="22">
        <f t="shared" si="9"/>
        <v>24070.496162497297</v>
      </c>
      <c r="M71" s="22">
        <f t="shared" si="9"/>
        <v>24512.554910113075</v>
      </c>
      <c r="N71" s="22">
        <f t="shared" si="9"/>
        <v>24945.243107543803</v>
      </c>
      <c r="O71" s="22">
        <f t="shared" si="9"/>
        <v>25247.11469971493</v>
      </c>
      <c r="P71" s="22"/>
    </row>
    <row r="72" spans="1:16" x14ac:dyDescent="0.25">
      <c r="A72" t="s">
        <v>120</v>
      </c>
      <c r="B72" s="15">
        <f t="shared" si="9"/>
        <v>11037.613049546406</v>
      </c>
      <c r="C72" s="15">
        <f t="shared" si="9"/>
        <v>12242.396790042269</v>
      </c>
      <c r="D72" s="15">
        <f t="shared" si="9"/>
        <v>14995.703323658738</v>
      </c>
      <c r="E72" s="15">
        <f t="shared" si="9"/>
        <v>14881.704665716588</v>
      </c>
      <c r="F72" s="15">
        <f t="shared" si="9"/>
        <v>14718.703184516849</v>
      </c>
      <c r="G72" s="15">
        <f t="shared" si="9"/>
        <v>15698.78513558313</v>
      </c>
      <c r="H72" s="15">
        <f t="shared" si="9"/>
        <v>17494.447677377313</v>
      </c>
      <c r="I72" s="15">
        <f t="shared" si="9"/>
        <v>16973.285562011297</v>
      </c>
      <c r="J72" s="15">
        <f t="shared" si="9"/>
        <v>15419.745243779034</v>
      </c>
      <c r="K72" s="15">
        <f t="shared" si="9"/>
        <v>13802.147859284578</v>
      </c>
      <c r="L72" s="22">
        <f t="shared" si="9"/>
        <v>14464.066715619439</v>
      </c>
      <c r="M72" s="22">
        <f t="shared" si="9"/>
        <v>15079.435076987289</v>
      </c>
      <c r="N72" s="22">
        <f t="shared" si="9"/>
        <v>15735.954337623178</v>
      </c>
      <c r="O72" s="22">
        <f t="shared" si="9"/>
        <v>16310.003923851524</v>
      </c>
      <c r="P72" s="22"/>
    </row>
    <row r="73" spans="1:16" x14ac:dyDescent="0.25">
      <c r="A73" t="s">
        <v>121</v>
      </c>
      <c r="B73" s="15">
        <f t="shared" si="9"/>
        <v>10315.637135423798</v>
      </c>
      <c r="C73" s="15">
        <f t="shared" si="9"/>
        <v>9769.238360009238</v>
      </c>
      <c r="D73" s="15">
        <f t="shared" si="9"/>
        <v>11288.258332378378</v>
      </c>
      <c r="E73" s="15">
        <f t="shared" si="9"/>
        <v>13028.142046917019</v>
      </c>
      <c r="F73" s="15">
        <f t="shared" si="9"/>
        <v>12987.988003651062</v>
      </c>
      <c r="G73" s="15">
        <f t="shared" si="9"/>
        <v>17185.724982014228</v>
      </c>
      <c r="H73" s="15">
        <f t="shared" si="9"/>
        <v>18760.701994808776</v>
      </c>
      <c r="I73" s="15">
        <f t="shared" si="9"/>
        <v>20479.938045620951</v>
      </c>
      <c r="J73" s="15">
        <f t="shared" si="9"/>
        <v>22357.12062391196</v>
      </c>
      <c r="K73" s="15">
        <f t="shared" si="9"/>
        <v>24340.631234401997</v>
      </c>
      <c r="L73" s="22">
        <f t="shared" si="9"/>
        <v>27179.978135109424</v>
      </c>
      <c r="M73" s="22">
        <f t="shared" si="9"/>
        <v>28385.774567901241</v>
      </c>
      <c r="N73" s="22">
        <f t="shared" si="9"/>
        <v>30181.270392662653</v>
      </c>
      <c r="O73" s="22">
        <f t="shared" si="9"/>
        <v>31064.67374365847</v>
      </c>
      <c r="P73" s="22">
        <f t="shared" si="9"/>
        <v>31552.220671140942</v>
      </c>
    </row>
    <row r="74" spans="1:16" x14ac:dyDescent="0.25">
      <c r="A74" t="s">
        <v>122</v>
      </c>
      <c r="B74" s="15">
        <f t="shared" si="9"/>
        <v>10936.685618205222</v>
      </c>
      <c r="C74" s="15">
        <f t="shared" si="9"/>
        <v>11513.3421740349</v>
      </c>
      <c r="D74" s="15">
        <f t="shared" si="9"/>
        <v>12014.237693646235</v>
      </c>
      <c r="E74" s="15">
        <f t="shared" si="9"/>
        <v>13534.11191191764</v>
      </c>
      <c r="F74" s="15">
        <f t="shared" si="9"/>
        <v>16527.566482551018</v>
      </c>
      <c r="G74" s="15">
        <f t="shared" si="9"/>
        <v>16869.698239609959</v>
      </c>
      <c r="H74" s="15">
        <f t="shared" si="9"/>
        <v>19562.926934261868</v>
      </c>
      <c r="I74" s="15">
        <f t="shared" si="9"/>
        <v>17701.502588196276</v>
      </c>
      <c r="J74" s="15"/>
      <c r="K74" s="15"/>
      <c r="L74" s="22"/>
      <c r="M74" s="22"/>
      <c r="N74" s="22"/>
      <c r="O74" s="22"/>
      <c r="P74" s="22"/>
    </row>
    <row r="75" spans="1:16" x14ac:dyDescent="0.25">
      <c r="A75" t="s">
        <v>182</v>
      </c>
      <c r="B75" s="15">
        <f>$F76</f>
        <v>15587.99000298387</v>
      </c>
      <c r="C75" s="15">
        <f t="shared" ref="C75:F75" si="10">$F76</f>
        <v>15587.99000298387</v>
      </c>
      <c r="D75" s="15">
        <f t="shared" si="10"/>
        <v>15587.99000298387</v>
      </c>
      <c r="E75" s="15">
        <f t="shared" si="10"/>
        <v>15587.99000298387</v>
      </c>
      <c r="F75" s="15">
        <f t="shared" si="10"/>
        <v>15587.99000298387</v>
      </c>
      <c r="G75" s="15">
        <f>$K76</f>
        <v>21788.30212414229</v>
      </c>
      <c r="H75" s="15">
        <f t="shared" ref="H75:K75" si="11">$K76</f>
        <v>21788.30212414229</v>
      </c>
      <c r="I75" s="15">
        <f t="shared" si="11"/>
        <v>21788.30212414229</v>
      </c>
      <c r="J75" s="15">
        <f t="shared" si="11"/>
        <v>21788.30212414229</v>
      </c>
      <c r="K75" s="15">
        <f t="shared" si="11"/>
        <v>21788.30212414229</v>
      </c>
      <c r="L75" s="47"/>
      <c r="M75" s="47"/>
      <c r="N75" s="47"/>
      <c r="O75" s="47"/>
      <c r="P75" s="47"/>
    </row>
    <row r="76" spans="1:16" x14ac:dyDescent="0.25">
      <c r="B76" s="32"/>
      <c r="C76" s="32"/>
      <c r="D76" s="32"/>
      <c r="E76" s="32" t="s">
        <v>130</v>
      </c>
      <c r="F76" s="36">
        <f>AVERAGE(B69:F74)</f>
        <v>15587.99000298387</v>
      </c>
      <c r="G76" s="32"/>
      <c r="H76" s="32"/>
      <c r="I76" s="32"/>
      <c r="J76" s="32" t="s">
        <v>130</v>
      </c>
      <c r="K76" s="36">
        <f>AVERAGE(G69:K74)</f>
        <v>21788.30212414229</v>
      </c>
      <c r="L76" s="47"/>
      <c r="M76" s="47"/>
      <c r="N76" s="47"/>
      <c r="O76" s="47"/>
      <c r="P76" s="52"/>
    </row>
    <row r="78" spans="1:16" x14ac:dyDescent="0.25">
      <c r="A78" s="31" t="s">
        <v>138</v>
      </c>
    </row>
    <row r="79" spans="1:16" x14ac:dyDescent="0.25">
      <c r="A79" t="s">
        <v>117</v>
      </c>
      <c r="B79" s="15">
        <f>B5*1000000/B40</f>
        <v>1870.2873652043552</v>
      </c>
      <c r="C79" s="15">
        <f t="shared" ref="C79:P79" si="12">C5*1000000/C40</f>
        <v>1766.3645555895816</v>
      </c>
      <c r="D79" s="15">
        <f t="shared" si="12"/>
        <v>1974.1981539574656</v>
      </c>
      <c r="E79" s="15">
        <f t="shared" si="12"/>
        <v>1977.3868116671113</v>
      </c>
      <c r="F79" s="15">
        <f t="shared" si="12"/>
        <v>2021.5661503379717</v>
      </c>
      <c r="G79" s="15">
        <f t="shared" si="12"/>
        <v>2563.2409226136788</v>
      </c>
      <c r="H79" s="15">
        <f t="shared" si="12"/>
        <v>2714.4999291876766</v>
      </c>
      <c r="I79" s="15">
        <f t="shared" si="12"/>
        <v>2288.3094386105618</v>
      </c>
      <c r="J79" s="15">
        <f t="shared" si="12"/>
        <v>2335.4303499695043</v>
      </c>
      <c r="K79" s="15">
        <f t="shared" si="12"/>
        <v>2251.2191392687059</v>
      </c>
      <c r="L79" s="22">
        <f t="shared" si="12"/>
        <v>2604.9753035563162</v>
      </c>
      <c r="M79" s="22">
        <f t="shared" si="12"/>
        <v>2715.047414923521</v>
      </c>
      <c r="N79" s="22">
        <f t="shared" si="12"/>
        <v>2837.0160263915459</v>
      </c>
      <c r="O79" s="22">
        <f t="shared" si="12"/>
        <v>2979.4638687706824</v>
      </c>
      <c r="P79" s="22">
        <f t="shared" si="12"/>
        <v>3101.9024797239754</v>
      </c>
    </row>
    <row r="80" spans="1:16" x14ac:dyDescent="0.25">
      <c r="A80" t="s">
        <v>118</v>
      </c>
      <c r="B80" s="15">
        <f t="shared" ref="B80:P84" si="13">B6*1000000/B41</f>
        <v>4903.5111163933125</v>
      </c>
      <c r="C80" s="15">
        <f t="shared" si="13"/>
        <v>5775.6607165905161</v>
      </c>
      <c r="D80" s="15">
        <f t="shared" si="13"/>
        <v>6207.0610469961366</v>
      </c>
      <c r="E80" s="15">
        <f t="shared" si="13"/>
        <v>6436.7593222013638</v>
      </c>
      <c r="F80" s="15">
        <f t="shared" si="13"/>
        <v>6390.7989788723826</v>
      </c>
      <c r="G80" s="15">
        <f t="shared" si="13"/>
        <v>7432.5165391350238</v>
      </c>
      <c r="H80" s="15">
        <f t="shared" si="13"/>
        <v>8162.5547607757599</v>
      </c>
      <c r="I80" s="15">
        <f t="shared" si="13"/>
        <v>8742.8231267757765</v>
      </c>
      <c r="J80" s="15">
        <f t="shared" si="13"/>
        <v>8335.3483544126066</v>
      </c>
      <c r="K80" s="15">
        <f t="shared" si="13"/>
        <v>8098.9694174983679</v>
      </c>
      <c r="L80" s="22">
        <f t="shared" si="13"/>
        <v>8510.928927448469</v>
      </c>
      <c r="M80" s="22">
        <f t="shared" si="13"/>
        <v>8523.0498627460092</v>
      </c>
      <c r="N80" s="22">
        <f t="shared" si="13"/>
        <v>8853.9107581848184</v>
      </c>
      <c r="O80" s="22">
        <f t="shared" si="13"/>
        <v>9358.0400900482746</v>
      </c>
      <c r="P80" s="22">
        <f t="shared" si="13"/>
        <v>9645.9058809893595</v>
      </c>
    </row>
    <row r="81" spans="1:16" x14ac:dyDescent="0.25">
      <c r="A81" t="s">
        <v>119</v>
      </c>
      <c r="B81" s="15">
        <f t="shared" si="13"/>
        <v>1144.0972224527191</v>
      </c>
      <c r="C81" s="15">
        <f t="shared" si="13"/>
        <v>1524.8333846556036</v>
      </c>
      <c r="D81" s="15">
        <f t="shared" si="13"/>
        <v>1828.2497116138793</v>
      </c>
      <c r="E81" s="15">
        <f t="shared" si="13"/>
        <v>1881.2208767675354</v>
      </c>
      <c r="F81" s="15">
        <f t="shared" si="13"/>
        <v>2031.090205666691</v>
      </c>
      <c r="G81" s="15">
        <f t="shared" si="13"/>
        <v>2150.6009598323203</v>
      </c>
      <c r="H81" s="15">
        <f t="shared" si="13"/>
        <v>2678.2668571523586</v>
      </c>
      <c r="I81" s="15">
        <f t="shared" si="13"/>
        <v>2550.8467270846127</v>
      </c>
      <c r="J81" s="15">
        <f t="shared" si="13"/>
        <v>2002.0292019546944</v>
      </c>
      <c r="K81" s="15">
        <f t="shared" si="13"/>
        <v>1474.5598894468642</v>
      </c>
      <c r="L81" s="22">
        <f t="shared" si="13"/>
        <v>1485.8301447282145</v>
      </c>
      <c r="M81" s="22">
        <f t="shared" si="13"/>
        <v>1501.564372162434</v>
      </c>
      <c r="N81" s="22">
        <f t="shared" si="13"/>
        <v>1520.5374148424753</v>
      </c>
      <c r="O81" s="22">
        <f t="shared" si="13"/>
        <v>1538.3704861773051</v>
      </c>
      <c r="P81" s="22"/>
    </row>
    <row r="82" spans="1:16" x14ac:dyDescent="0.25">
      <c r="A82" t="s">
        <v>120</v>
      </c>
      <c r="B82" s="15">
        <f t="shared" si="13"/>
        <v>7629.4662049948574</v>
      </c>
      <c r="C82" s="15">
        <f t="shared" si="13"/>
        <v>8498.4438201154899</v>
      </c>
      <c r="D82" s="15">
        <f t="shared" si="13"/>
        <v>10633.104354383328</v>
      </c>
      <c r="E82" s="15">
        <f t="shared" si="13"/>
        <v>10068.087226769616</v>
      </c>
      <c r="F82" s="15">
        <f t="shared" si="13"/>
        <v>9879.1096784748825</v>
      </c>
      <c r="G82" s="15">
        <f t="shared" si="13"/>
        <v>10481.620196409327</v>
      </c>
      <c r="H82" s="15">
        <f t="shared" si="13"/>
        <v>10889.999255604413</v>
      </c>
      <c r="I82" s="15">
        <f t="shared" si="13"/>
        <v>10107.537489578428</v>
      </c>
      <c r="J82" s="15">
        <f t="shared" si="13"/>
        <v>8910.8924682275774</v>
      </c>
      <c r="K82" s="15">
        <f t="shared" si="13"/>
        <v>7737.8647813823254</v>
      </c>
      <c r="L82" s="22">
        <f t="shared" si="13"/>
        <v>7965.7080926550216</v>
      </c>
      <c r="M82" s="22">
        <f t="shared" si="13"/>
        <v>8232.072933411011</v>
      </c>
      <c r="N82" s="22">
        <f t="shared" si="13"/>
        <v>8521.6784159895415</v>
      </c>
      <c r="O82" s="22">
        <f t="shared" si="13"/>
        <v>8833.8626410551697</v>
      </c>
      <c r="P82" s="22"/>
    </row>
    <row r="83" spans="1:16" x14ac:dyDescent="0.25">
      <c r="A83" t="s">
        <v>121</v>
      </c>
      <c r="B83" s="15">
        <f t="shared" si="13"/>
        <v>1394.3900789548914</v>
      </c>
      <c r="C83" s="15">
        <f t="shared" si="13"/>
        <v>1358.0176525302581</v>
      </c>
      <c r="D83" s="15">
        <f t="shared" si="13"/>
        <v>1582.0848639000878</v>
      </c>
      <c r="E83" s="15">
        <f t="shared" si="13"/>
        <v>1809.5238963136678</v>
      </c>
      <c r="F83" s="15">
        <f t="shared" si="13"/>
        <v>1837.017880501503</v>
      </c>
      <c r="G83" s="15">
        <f t="shared" si="13"/>
        <v>2387.6848860264763</v>
      </c>
      <c r="H83" s="15">
        <f t="shared" si="13"/>
        <v>2547.9278373520451</v>
      </c>
      <c r="I83" s="15">
        <f t="shared" si="13"/>
        <v>2778.574583728755</v>
      </c>
      <c r="J83" s="15">
        <f t="shared" si="13"/>
        <v>2924.5236892291505</v>
      </c>
      <c r="K83" s="15">
        <f t="shared" si="13"/>
        <v>3067.7850667146454</v>
      </c>
      <c r="L83" s="22">
        <f t="shared" si="13"/>
        <v>3436.5251241375627</v>
      </c>
      <c r="M83" s="22">
        <f t="shared" si="13"/>
        <v>3575.5805726851136</v>
      </c>
      <c r="N83" s="22">
        <f t="shared" si="13"/>
        <v>3757.2373713885313</v>
      </c>
      <c r="O83" s="22">
        <f t="shared" si="13"/>
        <v>3836.2215059474011</v>
      </c>
      <c r="P83" s="22">
        <f t="shared" si="13"/>
        <v>3866.9335620085571</v>
      </c>
    </row>
    <row r="84" spans="1:16" x14ac:dyDescent="0.25">
      <c r="A84" t="s">
        <v>122</v>
      </c>
      <c r="B84" s="15">
        <f t="shared" si="13"/>
        <v>2350.3938934208331</v>
      </c>
      <c r="C84" s="15">
        <f t="shared" si="13"/>
        <v>2456.747840684895</v>
      </c>
      <c r="D84" s="15">
        <f t="shared" si="13"/>
        <v>2577.5457170693676</v>
      </c>
      <c r="E84" s="15">
        <f t="shared" si="13"/>
        <v>2983.4894198169368</v>
      </c>
      <c r="F84" s="15">
        <f t="shared" si="13"/>
        <v>3568.3786362757101</v>
      </c>
      <c r="G84" s="15">
        <f t="shared" si="13"/>
        <v>3504.9892200923596</v>
      </c>
      <c r="H84" s="15">
        <f t="shared" si="13"/>
        <v>3914.6175444952942</v>
      </c>
      <c r="I84" s="15">
        <f t="shared" si="13"/>
        <v>3466.6287751862228</v>
      </c>
      <c r="J84" s="15"/>
      <c r="K84" s="15"/>
      <c r="L84" s="22"/>
      <c r="M84" s="22"/>
      <c r="N84" s="22"/>
      <c r="O84" s="22"/>
      <c r="P84" s="22"/>
    </row>
    <row r="85" spans="1:16" x14ac:dyDescent="0.25">
      <c r="A85" t="s">
        <v>182</v>
      </c>
      <c r="B85" s="15">
        <f>$F86</f>
        <v>3878.6295594390976</v>
      </c>
      <c r="C85" s="15">
        <f t="shared" ref="C85:F85" si="14">$F86</f>
        <v>3878.6295594390976</v>
      </c>
      <c r="D85" s="15">
        <f t="shared" si="14"/>
        <v>3878.6295594390976</v>
      </c>
      <c r="E85" s="15">
        <f t="shared" si="14"/>
        <v>3878.6295594390976</v>
      </c>
      <c r="F85" s="15">
        <f t="shared" si="14"/>
        <v>3878.6295594390976</v>
      </c>
      <c r="G85" s="15">
        <f>$K86</f>
        <v>4875.0664788480553</v>
      </c>
      <c r="H85" s="15">
        <f t="shared" ref="H85:K85" si="15">$K86</f>
        <v>4875.0664788480553</v>
      </c>
      <c r="I85" s="15">
        <f t="shared" si="15"/>
        <v>4875.0664788480553</v>
      </c>
      <c r="J85" s="15">
        <f t="shared" si="15"/>
        <v>4875.0664788480553</v>
      </c>
      <c r="K85" s="15">
        <f t="shared" si="15"/>
        <v>4875.0664788480553</v>
      </c>
      <c r="L85" s="47"/>
      <c r="M85" s="47"/>
      <c r="N85" s="47"/>
      <c r="O85" s="47"/>
      <c r="P85" s="47"/>
    </row>
    <row r="86" spans="1:16" x14ac:dyDescent="0.25">
      <c r="B86" s="32"/>
      <c r="C86" s="32"/>
      <c r="D86" s="32"/>
      <c r="E86" s="32" t="s">
        <v>130</v>
      </c>
      <c r="F86" s="36">
        <f>AVERAGE(B79:F84)</f>
        <v>3878.6295594390976</v>
      </c>
      <c r="G86" s="32"/>
      <c r="H86" s="32"/>
      <c r="I86" s="32"/>
      <c r="J86" s="32" t="s">
        <v>130</v>
      </c>
      <c r="K86" s="36">
        <f>AVERAGE(G79:K84)</f>
        <v>4875.0664788480553</v>
      </c>
      <c r="L86" s="47"/>
      <c r="M86" s="47"/>
      <c r="N86" s="47"/>
      <c r="O86" s="47"/>
      <c r="P86" s="52"/>
    </row>
    <row r="88" spans="1:16" ht="16.5" thickBot="1" x14ac:dyDescent="0.3">
      <c r="A88" s="9" t="s">
        <v>131</v>
      </c>
      <c r="L88" s="26" t="s">
        <v>0</v>
      </c>
      <c r="M88" s="27" t="s">
        <v>1</v>
      </c>
      <c r="N88" s="27" t="s">
        <v>2</v>
      </c>
      <c r="O88" s="27" t="s">
        <v>3</v>
      </c>
      <c r="P88" s="28" t="s">
        <v>4</v>
      </c>
    </row>
    <row r="89" spans="1:16" x14ac:dyDescent="0.25">
      <c r="A89" t="s">
        <v>132</v>
      </c>
      <c r="L89" s="16">
        <f>($F$56*L13)/1000000</f>
        <v>202.8287675875718</v>
      </c>
      <c r="M89" s="16">
        <f>($F$56*M13)/1000000</f>
        <v>206.02375777759605</v>
      </c>
      <c r="N89" s="16">
        <f>($F$56*N13)/1000000</f>
        <v>209.21874796762032</v>
      </c>
      <c r="O89" s="16">
        <f>($F$56*O13)/1000000</f>
        <v>212.41373815764456</v>
      </c>
      <c r="P89" s="16">
        <f>($F$56*P13)/1000000</f>
        <v>215.60872834766883</v>
      </c>
    </row>
    <row r="90" spans="1:16" x14ac:dyDescent="0.25">
      <c r="A90" t="s">
        <v>135</v>
      </c>
      <c r="L90" s="16">
        <f>$F$66*L22/1000000</f>
        <v>270.27824926661276</v>
      </c>
      <c r="M90" s="16">
        <f>$F$66*M22/1000000</f>
        <v>271.38774332562156</v>
      </c>
      <c r="N90" s="16">
        <f>$F$66*N22/1000000</f>
        <v>272.49723738463041</v>
      </c>
      <c r="O90" s="16">
        <f>$F$66*O22/1000000</f>
        <v>273.60673144363921</v>
      </c>
      <c r="P90" s="16">
        <f>$F$66*P22/1000000</f>
        <v>274.71622550264806</v>
      </c>
    </row>
    <row r="91" spans="1:16" x14ac:dyDescent="0.25">
      <c r="A91" t="s">
        <v>133</v>
      </c>
      <c r="L91" s="16">
        <f>$F$76*L31/1000000</f>
        <v>208.58093014318678</v>
      </c>
      <c r="M91" s="16">
        <f>$F$76*M31/1000000</f>
        <v>207.20192301958281</v>
      </c>
      <c r="N91" s="16">
        <f>$F$76*N31/1000000</f>
        <v>205.82291589597884</v>
      </c>
      <c r="O91" s="16">
        <f>$F$76*O31/1000000</f>
        <v>204.4439087723749</v>
      </c>
      <c r="P91" s="16">
        <f>$F$76*P31/1000000</f>
        <v>203.0649016487709</v>
      </c>
    </row>
    <row r="92" spans="1:16" x14ac:dyDescent="0.25">
      <c r="A92" t="s">
        <v>134</v>
      </c>
      <c r="L92" s="16">
        <f>L40*$F$86/1000000</f>
        <v>551.58819162223881</v>
      </c>
      <c r="M92" s="16">
        <f>M40*$F$86/1000000</f>
        <v>553.12772813454512</v>
      </c>
      <c r="N92" s="16">
        <f>N40*$F$86/1000000</f>
        <v>554.58174668608217</v>
      </c>
      <c r="O92" s="16">
        <f>O40*$F$86/1000000</f>
        <v>555.36381273857262</v>
      </c>
      <c r="P92" s="16">
        <f>P40*$F$86/1000000</f>
        <v>556.15711432954265</v>
      </c>
    </row>
    <row r="93" spans="1:16" x14ac:dyDescent="0.25">
      <c r="L93" s="16"/>
      <c r="M93" s="16"/>
      <c r="N93" s="16"/>
      <c r="O93" s="16"/>
      <c r="P93" s="16"/>
    </row>
    <row r="94" spans="1:16" x14ac:dyDescent="0.25">
      <c r="A94" s="9" t="s">
        <v>174</v>
      </c>
      <c r="L94" s="51">
        <f>L5</f>
        <v>370.45910027999997</v>
      </c>
      <c r="M94" s="51">
        <f>M5</f>
        <v>387.19036849999998</v>
      </c>
      <c r="N94" s="51">
        <f>N5</f>
        <v>405.64773695999997</v>
      </c>
      <c r="O94" s="51">
        <f>O5</f>
        <v>426.61625420000001</v>
      </c>
      <c r="P94" s="51">
        <f>P5</f>
        <v>444.78213389999996</v>
      </c>
    </row>
    <row r="95" spans="1:16" x14ac:dyDescent="0.25">
      <c r="A95" s="10" t="s">
        <v>175</v>
      </c>
      <c r="L95" s="50">
        <f>AVERAGE(L89:L92)</f>
        <v>308.31903465490257</v>
      </c>
      <c r="M95" s="50">
        <f t="shared" ref="M95:P95" si="16">AVERAGE(M89:M92)</f>
        <v>309.43528806433636</v>
      </c>
      <c r="N95" s="50">
        <f t="shared" si="16"/>
        <v>310.53016198357795</v>
      </c>
      <c r="O95" s="50">
        <f t="shared" si="16"/>
        <v>311.45704777805781</v>
      </c>
      <c r="P95" s="50">
        <f t="shared" si="16"/>
        <v>312.38674245715765</v>
      </c>
    </row>
    <row r="96" spans="1:16" x14ac:dyDescent="0.25">
      <c r="A96" t="s">
        <v>176</v>
      </c>
      <c r="L96" s="24">
        <f>-L95*'Alliance Productivity'!$A$28</f>
        <v>-42.312710635340501</v>
      </c>
      <c r="M96" s="24">
        <f>-M95*'Alliance Productivity'!$A$28</f>
        <v>-42.465901655680682</v>
      </c>
      <c r="N96" s="24">
        <f>-N95*'Alliance Productivity'!$A$28</f>
        <v>-42.616158623690801</v>
      </c>
      <c r="O96" s="24">
        <f>-O95*'Alliance Productivity'!$A$28</f>
        <v>-42.743361442867148</v>
      </c>
      <c r="P96" s="24">
        <f>-P95*'Alliance Productivity'!$A$28</f>
        <v>-42.870949744315993</v>
      </c>
    </row>
    <row r="97" spans="1:16" x14ac:dyDescent="0.25">
      <c r="A97" t="s">
        <v>28</v>
      </c>
      <c r="L97" s="24">
        <f>'Alliance ARR'!B9*'Alliance WACC'!$C$5*'Alliance WACC'!$C$7</f>
        <v>11.86910028</v>
      </c>
      <c r="M97" s="24">
        <f>'Alliance ARR'!C9*'Alliance WACC'!$C$5*'Alliance WACC'!$C$7</f>
        <v>12.5903685</v>
      </c>
      <c r="N97" s="24">
        <f>'Alliance ARR'!D9*'Alliance WACC'!$C$5*'Alliance WACC'!$C$7</f>
        <v>13.277736959999999</v>
      </c>
      <c r="O97" s="24">
        <f>'Alliance ARR'!E9*'Alliance WACC'!$C$5*'Alliance WACC'!$C$7</f>
        <v>13.8862542</v>
      </c>
      <c r="P97" s="24">
        <f>'Alliance ARR'!F9*'Alliance WACC'!$C$5*'Alliance WACC'!$C$7</f>
        <v>14.552133899999999</v>
      </c>
    </row>
    <row r="98" spans="1:16" x14ac:dyDescent="0.25">
      <c r="A98" s="9" t="s">
        <v>177</v>
      </c>
      <c r="K98" s="16"/>
      <c r="L98" s="51">
        <f>L96+L95+L97</f>
        <v>277.87542429956204</v>
      </c>
      <c r="M98" s="51">
        <f t="shared" ref="M98:P98" si="17">M96+M95+M97</f>
        <v>279.55975490865569</v>
      </c>
      <c r="N98" s="51">
        <f t="shared" si="17"/>
        <v>281.19174031988712</v>
      </c>
      <c r="O98" s="51">
        <f t="shared" si="17"/>
        <v>282.59994053519068</v>
      </c>
      <c r="P98" s="51">
        <f t="shared" si="17"/>
        <v>284.06792661284163</v>
      </c>
    </row>
    <row r="100" spans="1:16" x14ac:dyDescent="0.25">
      <c r="A100" t="s">
        <v>180</v>
      </c>
      <c r="L100" s="24">
        <f>L98-L94</f>
        <v>-92.583675980437931</v>
      </c>
      <c r="M100" s="24">
        <f t="shared" ref="M100:P100" si="18">M98-M94</f>
        <v>-107.63061359134429</v>
      </c>
      <c r="N100" s="24">
        <f t="shared" si="18"/>
        <v>-124.45599664011286</v>
      </c>
      <c r="O100" s="24">
        <f t="shared" si="18"/>
        <v>-144.01631366480933</v>
      </c>
      <c r="P100" s="24">
        <f t="shared" si="18"/>
        <v>-160.71420728715833</v>
      </c>
    </row>
    <row r="101" spans="1:16" x14ac:dyDescent="0.25">
      <c r="A101" t="s">
        <v>181</v>
      </c>
      <c r="L101" s="48">
        <f>L100/L94</f>
        <v>-0.24991605256953181</v>
      </c>
      <c r="M101" s="48">
        <f t="shared" ref="M101:P101" si="19">M100/M94</f>
        <v>-0.27797854065511007</v>
      </c>
      <c r="N101" s="48">
        <f t="shared" si="19"/>
        <v>-0.30680806350063572</v>
      </c>
      <c r="O101" s="48">
        <f t="shared" si="19"/>
        <v>-0.33757812143110166</v>
      </c>
      <c r="P101" s="48">
        <f t="shared" si="19"/>
        <v>-0.36133242555846812</v>
      </c>
    </row>
    <row r="103" spans="1:16" x14ac:dyDescent="0.25">
      <c r="A103" s="59" t="s">
        <v>239</v>
      </c>
    </row>
    <row r="104" spans="1:16" x14ac:dyDescent="0.25">
      <c r="A104" s="63" t="s">
        <v>226</v>
      </c>
      <c r="B104" s="15">
        <v>266.7</v>
      </c>
      <c r="C104" s="15">
        <v>289.38600000000002</v>
      </c>
      <c r="D104" s="15">
        <v>303.34763249999997</v>
      </c>
      <c r="E104" s="15">
        <v>290.3865887</v>
      </c>
      <c r="F104" s="15">
        <v>305.66565439999999</v>
      </c>
      <c r="G104" s="15">
        <v>361</v>
      </c>
    </row>
    <row r="105" spans="1:16" x14ac:dyDescent="0.25">
      <c r="A105" s="6" t="s">
        <v>227</v>
      </c>
      <c r="G105" s="35">
        <v>361.48770000000002</v>
      </c>
      <c r="H105" s="35">
        <v>385.07312089999999</v>
      </c>
      <c r="I105" s="35">
        <v>394.48567100000002</v>
      </c>
      <c r="J105" s="35">
        <v>399.97880359999999</v>
      </c>
      <c r="K105" s="35">
        <v>395.33443979999998</v>
      </c>
    </row>
    <row r="106" spans="1:16" x14ac:dyDescent="0.25">
      <c r="A106" s="6" t="s">
        <v>187</v>
      </c>
      <c r="B106" s="16">
        <f>B5</f>
        <v>257.09893670000002</v>
      </c>
      <c r="C106" s="16">
        <f t="shared" ref="C106:K106" si="20">C5</f>
        <v>245.7331696</v>
      </c>
      <c r="D106" s="16">
        <f t="shared" si="20"/>
        <v>275.65245540000001</v>
      </c>
      <c r="E106" s="16">
        <f t="shared" si="20"/>
        <v>278.55849030000002</v>
      </c>
      <c r="F106" s="16">
        <f t="shared" si="20"/>
        <v>286.40707639999999</v>
      </c>
      <c r="G106" s="16">
        <f t="shared" si="20"/>
        <v>362.25330689999998</v>
      </c>
      <c r="H106" s="16">
        <f t="shared" si="20"/>
        <v>386.55725489999998</v>
      </c>
      <c r="I106" s="16">
        <f t="shared" si="20"/>
        <v>323.67400859999998</v>
      </c>
      <c r="J106" s="16">
        <f t="shared" si="20"/>
        <v>330.80353009999999</v>
      </c>
      <c r="K106" s="16">
        <f t="shared" si="20"/>
        <v>319.3230532</v>
      </c>
      <c r="L106" s="16">
        <v>370</v>
      </c>
      <c r="M106" s="16"/>
      <c r="N106" s="16"/>
      <c r="O106" s="16"/>
      <c r="P106" s="16"/>
    </row>
    <row r="107" spans="1:16" x14ac:dyDescent="0.25">
      <c r="A107" s="6" t="s">
        <v>183</v>
      </c>
      <c r="B107" s="16">
        <f>AVERAGE(B106:F106)</f>
        <v>268.69002568000002</v>
      </c>
      <c r="C107" s="16">
        <f>B107</f>
        <v>268.69002568000002</v>
      </c>
      <c r="D107" s="16">
        <f t="shared" ref="D107:F107" si="21">C107</f>
        <v>268.69002568000002</v>
      </c>
      <c r="E107" s="16">
        <f t="shared" si="21"/>
        <v>268.69002568000002</v>
      </c>
      <c r="F107" s="16">
        <f t="shared" si="21"/>
        <v>268.69002568000002</v>
      </c>
      <c r="G107" s="16">
        <f>AVERAGE(G106:K106)</f>
        <v>344.52223074</v>
      </c>
      <c r="H107" s="16">
        <f>G107</f>
        <v>344.52223074</v>
      </c>
      <c r="I107" s="16">
        <f t="shared" ref="I107:K107" si="22">H107</f>
        <v>344.52223074</v>
      </c>
      <c r="J107" s="16">
        <f t="shared" si="22"/>
        <v>344.52223074</v>
      </c>
      <c r="K107" s="16">
        <f t="shared" si="22"/>
        <v>344.52223074</v>
      </c>
      <c r="L107" s="16">
        <f>AVERAGE(L108:P108)</f>
        <v>406.93911876799996</v>
      </c>
      <c r="M107" s="16">
        <f>L107</f>
        <v>406.93911876799996</v>
      </c>
      <c r="N107" s="16">
        <f t="shared" ref="N107:P107" si="23">M107</f>
        <v>406.93911876799996</v>
      </c>
      <c r="O107" s="16">
        <f t="shared" si="23"/>
        <v>406.93911876799996</v>
      </c>
      <c r="P107" s="16">
        <f t="shared" si="23"/>
        <v>406.93911876799996</v>
      </c>
    </row>
    <row r="108" spans="1:16" x14ac:dyDescent="0.25">
      <c r="A108" s="6" t="s">
        <v>228</v>
      </c>
      <c r="L108" s="24">
        <f>L94</f>
        <v>370.45910027999997</v>
      </c>
      <c r="M108" s="24">
        <f t="shared" ref="M108:P108" si="24">M94</f>
        <v>387.19036849999998</v>
      </c>
      <c r="N108" s="24">
        <f t="shared" si="24"/>
        <v>405.64773695999997</v>
      </c>
      <c r="O108" s="24">
        <f t="shared" si="24"/>
        <v>426.61625420000001</v>
      </c>
      <c r="P108" s="24">
        <f t="shared" si="24"/>
        <v>444.78213389999996</v>
      </c>
    </row>
    <row r="109" spans="1:16" x14ac:dyDescent="0.25">
      <c r="A109" s="6" t="s">
        <v>189</v>
      </c>
      <c r="L109" s="24">
        <f>L98</f>
        <v>277.87542429956204</v>
      </c>
      <c r="M109" s="24">
        <f t="shared" ref="M109:P109" si="25">M98</f>
        <v>279.55975490865569</v>
      </c>
      <c r="N109" s="24">
        <f t="shared" si="25"/>
        <v>281.19174031988712</v>
      </c>
      <c r="O109" s="24">
        <f t="shared" si="25"/>
        <v>282.59994053519068</v>
      </c>
      <c r="P109" s="24">
        <f t="shared" si="25"/>
        <v>284.06792661284163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3"/>
  </sheetPr>
  <dimension ref="A1:P22"/>
  <sheetViews>
    <sheetView showRuler="0" workbookViewId="0">
      <selection activeCell="G29" sqref="G29"/>
    </sheetView>
  </sheetViews>
  <sheetFormatPr defaultColWidth="11" defaultRowHeight="15.75" x14ac:dyDescent="0.25"/>
  <sheetData>
    <row r="1" spans="1:16" ht="26.25" x14ac:dyDescent="0.4">
      <c r="A1" s="84"/>
    </row>
    <row r="2" spans="1:16" ht="16.5" thickBot="1" x14ac:dyDescent="0.3">
      <c r="A2" s="9"/>
      <c r="B2" s="26" t="s">
        <v>97</v>
      </c>
      <c r="C2" s="27" t="s">
        <v>98</v>
      </c>
      <c r="D2" s="27" t="s">
        <v>99</v>
      </c>
      <c r="E2" s="27" t="s">
        <v>100</v>
      </c>
      <c r="F2" s="28" t="s">
        <v>101</v>
      </c>
      <c r="G2" s="26" t="s">
        <v>102</v>
      </c>
      <c r="H2" s="27" t="s">
        <v>103</v>
      </c>
      <c r="I2" s="27" t="s">
        <v>104</v>
      </c>
      <c r="J2" s="27" t="s">
        <v>105</v>
      </c>
      <c r="K2" s="29" t="s">
        <v>106</v>
      </c>
      <c r="L2" s="44" t="s">
        <v>0</v>
      </c>
      <c r="M2" s="45" t="s">
        <v>1</v>
      </c>
      <c r="N2" s="45" t="s">
        <v>2</v>
      </c>
      <c r="O2" s="45" t="s">
        <v>3</v>
      </c>
      <c r="P2" s="46" t="s">
        <v>4</v>
      </c>
    </row>
    <row r="3" spans="1:16" x14ac:dyDescent="0.25">
      <c r="A3" s="9" t="s">
        <v>219</v>
      </c>
    </row>
    <row r="4" spans="1:16" x14ac:dyDescent="0.25">
      <c r="A4" s="6" t="s">
        <v>186</v>
      </c>
      <c r="B4" s="11">
        <v>692.3</v>
      </c>
      <c r="C4" s="11">
        <v>734.7</v>
      </c>
      <c r="D4" s="11">
        <v>786.8</v>
      </c>
      <c r="E4" s="11">
        <v>802.1</v>
      </c>
      <c r="F4" s="11">
        <v>835.1</v>
      </c>
      <c r="G4" s="6">
        <v>1165.8</v>
      </c>
      <c r="H4" s="6">
        <v>1288.7</v>
      </c>
      <c r="I4" s="6">
        <v>1429.7</v>
      </c>
      <c r="J4" s="6">
        <v>1575.1</v>
      </c>
      <c r="K4" s="6">
        <v>1698.7</v>
      </c>
    </row>
    <row r="5" spans="1:16" x14ac:dyDescent="0.25">
      <c r="A5" s="30" t="s">
        <v>187</v>
      </c>
      <c r="B5" s="15">
        <v>579.70000000000005</v>
      </c>
      <c r="C5" s="15">
        <v>656.4</v>
      </c>
      <c r="D5" s="15">
        <v>735.9</v>
      </c>
      <c r="E5" s="15">
        <v>795.8</v>
      </c>
      <c r="F5" s="15">
        <v>963.7</v>
      </c>
      <c r="G5" s="11">
        <v>1124.9580400028942</v>
      </c>
      <c r="H5" s="11">
        <v>1247.0957224952983</v>
      </c>
      <c r="I5" s="11">
        <v>1270.3055772943226</v>
      </c>
      <c r="J5" s="11">
        <v>1372.8386308068459</v>
      </c>
      <c r="K5" s="11">
        <v>1435.2370000000001</v>
      </c>
    </row>
    <row r="6" spans="1:16" x14ac:dyDescent="0.25">
      <c r="A6" s="30" t="s">
        <v>188</v>
      </c>
      <c r="L6" s="15">
        <f>'Alliance ARR'!B92</f>
        <v>1555.5546918800001</v>
      </c>
      <c r="M6" s="15">
        <f>'Alliance ARR'!C92</f>
        <v>1604.7668135000001</v>
      </c>
      <c r="N6" s="15">
        <f>'Alliance ARR'!D92</f>
        <v>1719.5108281600001</v>
      </c>
      <c r="O6" s="15">
        <f>'Alliance ARR'!E92</f>
        <v>1628.7176281999998</v>
      </c>
      <c r="P6" s="15">
        <f>'Alliance ARR'!F92</f>
        <v>1724.5986169</v>
      </c>
    </row>
    <row r="7" spans="1:16" x14ac:dyDescent="0.25">
      <c r="A7" s="30" t="s">
        <v>189</v>
      </c>
      <c r="L7" s="15">
        <f>'Alliance ARR'!B91</f>
        <v>929.23463623556211</v>
      </c>
      <c r="M7" s="15">
        <f>'Alliance ARR'!C91</f>
        <v>977.82589210865569</v>
      </c>
      <c r="N7" s="15">
        <f>'Alliance ARR'!D91</f>
        <v>1025.8205158718872</v>
      </c>
      <c r="O7" s="15">
        <f>'Alliance ARR'!E91</f>
        <v>991.13031957519058</v>
      </c>
      <c r="P7" s="15">
        <f>'Alliance ARR'!F91</f>
        <v>1027.3317202928415</v>
      </c>
    </row>
    <row r="8" spans="1:16" x14ac:dyDescent="0.25">
      <c r="A8" s="30"/>
      <c r="E8" s="15"/>
      <c r="F8" s="15"/>
    </row>
    <row r="9" spans="1:16" x14ac:dyDescent="0.25">
      <c r="A9" s="31" t="s">
        <v>63</v>
      </c>
    </row>
    <row r="10" spans="1:16" x14ac:dyDescent="0.25">
      <c r="A10" s="6" t="s">
        <v>186</v>
      </c>
      <c r="B10" s="15"/>
      <c r="C10" s="15"/>
      <c r="D10" s="15"/>
      <c r="E10" s="15"/>
      <c r="F10" s="15">
        <f>'Alliance Forecasts'!F10</f>
        <v>14257</v>
      </c>
      <c r="G10" s="15">
        <f>'Alliance Forecasts'!G10</f>
        <v>15871</v>
      </c>
      <c r="H10" s="15">
        <f>'Alliance Forecasts'!H10</f>
        <v>16450</v>
      </c>
      <c r="I10" s="15">
        <f>'Alliance Forecasts'!I10</f>
        <v>16874</v>
      </c>
      <c r="J10" s="15">
        <f>'Alliance Forecasts'!J10</f>
        <v>17433</v>
      </c>
      <c r="K10" s="15">
        <f>'Alliance Forecasts'!K10</f>
        <v>17887</v>
      </c>
      <c r="L10" s="15"/>
      <c r="M10" s="15"/>
      <c r="N10" s="15"/>
      <c r="O10" s="15"/>
      <c r="P10" s="15"/>
    </row>
    <row r="11" spans="1:16" x14ac:dyDescent="0.25">
      <c r="A11" s="30" t="s">
        <v>187</v>
      </c>
      <c r="B11" s="15">
        <f>'Alliance Forecasts'!B11</f>
        <v>13468</v>
      </c>
      <c r="C11" s="15">
        <f>'Alliance Forecasts'!C11</f>
        <v>13576</v>
      </c>
      <c r="D11" s="15">
        <f>'Alliance Forecasts'!D11</f>
        <v>13813</v>
      </c>
      <c r="E11" s="15">
        <f>'Alliance Forecasts'!E11</f>
        <v>14130</v>
      </c>
      <c r="F11" s="15">
        <f>'Alliance Forecasts'!F11</f>
        <v>14257</v>
      </c>
      <c r="G11" s="15">
        <f>'Alliance Forecasts'!G11</f>
        <v>13227</v>
      </c>
      <c r="H11" s="15">
        <f>'Alliance Forecasts'!H11</f>
        <v>13692</v>
      </c>
      <c r="I11" s="15">
        <f>'Alliance Forecasts'!I11</f>
        <v>13496</v>
      </c>
      <c r="J11" s="15">
        <f>'Alliance Forecasts'!J11</f>
        <v>13874</v>
      </c>
      <c r="K11" s="15"/>
      <c r="L11" s="15"/>
      <c r="M11" s="15"/>
      <c r="N11" s="15"/>
      <c r="O11" s="15"/>
      <c r="P11" s="15"/>
    </row>
    <row r="12" spans="1:16" x14ac:dyDescent="0.25">
      <c r="A12" s="30" t="s">
        <v>188</v>
      </c>
      <c r="B12" s="15"/>
      <c r="C12" s="15"/>
      <c r="D12" s="15"/>
      <c r="E12" s="15"/>
      <c r="F12" s="15"/>
      <c r="G12" s="15"/>
      <c r="H12" s="15"/>
      <c r="I12" s="15"/>
      <c r="J12" s="15">
        <f>'Alliance Forecasts'!J12</f>
        <v>0</v>
      </c>
      <c r="K12" s="15">
        <f>'Alliance Forecasts'!K12</f>
        <v>14253</v>
      </c>
      <c r="L12" s="15">
        <f>'Alliance Forecasts'!L12</f>
        <v>14366.549727583029</v>
      </c>
      <c r="M12" s="15">
        <f>'Alliance Forecasts'!M12</f>
        <v>14510.938309415524</v>
      </c>
      <c r="N12" s="15">
        <f>'Alliance Forecasts'!N12</f>
        <v>14662.206987237209</v>
      </c>
      <c r="O12" s="15">
        <f>'Alliance Forecasts'!O12</f>
        <v>14807.140275325817</v>
      </c>
      <c r="P12" s="15">
        <f>'Alliance Forecasts'!P12</f>
        <v>14955.43911130316</v>
      </c>
    </row>
    <row r="13" spans="1:16" x14ac:dyDescent="0.25">
      <c r="A13" s="30" t="s">
        <v>189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>
        <f>'Alliance Forecasts'!L13</f>
        <v>13380.874</v>
      </c>
      <c r="M13" s="15">
        <f>'Alliance Forecasts'!M13</f>
        <v>13292.407999999999</v>
      </c>
      <c r="N13" s="15">
        <f>'Alliance Forecasts'!N13</f>
        <v>13203.941999999999</v>
      </c>
      <c r="O13" s="15">
        <f>'Alliance Forecasts'!O13</f>
        <v>13115.476000000001</v>
      </c>
      <c r="P13" s="15">
        <f>'Alliance Forecasts'!P13</f>
        <v>13027.01</v>
      </c>
    </row>
    <row r="15" spans="1:16" x14ac:dyDescent="0.25">
      <c r="A15" s="31" t="s">
        <v>220</v>
      </c>
    </row>
    <row r="16" spans="1:16" x14ac:dyDescent="0.25">
      <c r="A16" s="6" t="s">
        <v>186</v>
      </c>
      <c r="B16" s="74">
        <f>B4/B11*100</f>
        <v>5.1403326403326401</v>
      </c>
      <c r="C16" s="74">
        <f>C4/C11*100</f>
        <v>5.4117560400707134</v>
      </c>
      <c r="D16" s="74">
        <f>D4/D11*100</f>
        <v>5.6960833996959384</v>
      </c>
      <c r="E16" s="74">
        <f>E4/E11*100</f>
        <v>5.6765746638358108</v>
      </c>
      <c r="F16" s="74">
        <f>F4/F10*100</f>
        <v>5.8574735217787754</v>
      </c>
      <c r="G16" s="74">
        <f t="shared" ref="G16:K16" si="0">G4/G10*100</f>
        <v>7.3454728750551315</v>
      </c>
      <c r="H16" s="74">
        <f t="shared" si="0"/>
        <v>7.8340425531914892</v>
      </c>
      <c r="I16" s="74">
        <f t="shared" si="0"/>
        <v>8.4727983880526256</v>
      </c>
      <c r="J16" s="74">
        <f t="shared" si="0"/>
        <v>9.035163196237022</v>
      </c>
      <c r="K16" s="74">
        <f t="shared" si="0"/>
        <v>9.4968412813775362</v>
      </c>
    </row>
    <row r="17" spans="1:16" x14ac:dyDescent="0.25">
      <c r="A17" s="30" t="s">
        <v>187</v>
      </c>
      <c r="B17" s="74">
        <f>B5/B11*100</f>
        <v>4.3042768042768049</v>
      </c>
      <c r="C17" s="74">
        <f>C5/C11*100</f>
        <v>4.8350029463759574</v>
      </c>
      <c r="D17" s="74">
        <f>D5/D11*100</f>
        <v>5.3275899514949678</v>
      </c>
      <c r="E17" s="74">
        <f>E5/E11*100</f>
        <v>5.6319886765746636</v>
      </c>
      <c r="F17" s="74">
        <f>F5/F11*100</f>
        <v>6.7594865680016838</v>
      </c>
      <c r="G17" s="74">
        <f>G5/G11*100</f>
        <v>8.505012776917626</v>
      </c>
      <c r="H17" s="74">
        <f>H5/H11*100</f>
        <v>9.1082071464745713</v>
      </c>
      <c r="I17" s="74">
        <f>I5/I11*100</f>
        <v>9.4124598199045835</v>
      </c>
      <c r="J17" s="74">
        <f>J5/J11*100</f>
        <v>9.8950456307254289</v>
      </c>
      <c r="K17" s="74">
        <f>K5/K12*100</f>
        <v>10.069718655721603</v>
      </c>
    </row>
    <row r="18" spans="1:16" x14ac:dyDescent="0.25">
      <c r="A18" s="30" t="s">
        <v>223</v>
      </c>
      <c r="B18" s="74"/>
      <c r="C18" s="74"/>
      <c r="D18" s="74"/>
      <c r="E18" s="74"/>
      <c r="F18" s="74"/>
      <c r="G18" s="74"/>
      <c r="H18" s="74"/>
      <c r="I18" s="74"/>
      <c r="J18" s="74"/>
      <c r="K18" s="74">
        <f>K17</f>
        <v>10.069718655721603</v>
      </c>
      <c r="L18" s="8">
        <f>L6/((G11/G10)*L12)*100</f>
        <v>12.991991949017168</v>
      </c>
      <c r="M18" s="8">
        <f>M6/((H11/H10)*M12)*100</f>
        <v>13.28664864598354</v>
      </c>
      <c r="N18" s="8">
        <f>N6/((I11/I10)*N12)*100</f>
        <v>14.662855140187169</v>
      </c>
      <c r="O18" s="8">
        <f>O6/((J11/J10)*O12)*100</f>
        <v>13.82117755563424</v>
      </c>
      <c r="P18" s="8">
        <f>P6/((K12/K10)*P12)*100</f>
        <v>14.471717838718886</v>
      </c>
    </row>
    <row r="19" spans="1:16" x14ac:dyDescent="0.25">
      <c r="A19" s="30" t="s">
        <v>188</v>
      </c>
      <c r="K19" s="74">
        <f>K5/K12*100</f>
        <v>10.069718655721603</v>
      </c>
      <c r="L19" s="74">
        <f t="shared" ref="L19:P20" si="1">L6/L12*100</f>
        <v>10.827614990211714</v>
      </c>
      <c r="M19" s="74">
        <f t="shared" si="1"/>
        <v>11.05901478789098</v>
      </c>
      <c r="N19" s="74">
        <f t="shared" si="1"/>
        <v>11.727503435579356</v>
      </c>
      <c r="O19" s="74">
        <f t="shared" si="1"/>
        <v>10.999542098713327</v>
      </c>
      <c r="P19" s="74">
        <f t="shared" si="1"/>
        <v>11.531581279994427</v>
      </c>
    </row>
    <row r="20" spans="1:16" x14ac:dyDescent="0.25">
      <c r="A20" s="30" t="s">
        <v>189</v>
      </c>
      <c r="L20" s="74">
        <f t="shared" si="1"/>
        <v>6.9444988140203865</v>
      </c>
      <c r="M20" s="74">
        <f t="shared" si="1"/>
        <v>7.3562735368087999</v>
      </c>
      <c r="N20" s="74">
        <f t="shared" si="1"/>
        <v>7.7690474244122498</v>
      </c>
      <c r="O20" s="74">
        <f t="shared" si="1"/>
        <v>7.556952714298669</v>
      </c>
      <c r="P20" s="74">
        <f t="shared" si="1"/>
        <v>7.8861666667396548</v>
      </c>
    </row>
    <row r="21" spans="1:16" x14ac:dyDescent="0.25">
      <c r="A21" s="70" t="s">
        <v>221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6">
        <f>L20-L19</f>
        <v>-3.8831161761913275</v>
      </c>
      <c r="M21" s="76">
        <f>M20-M19</f>
        <v>-3.7027412510821804</v>
      </c>
      <c r="N21" s="76">
        <f>N20-N19</f>
        <v>-3.9584560111671063</v>
      </c>
      <c r="O21" s="76">
        <f>O20-O19</f>
        <v>-3.4425893844146582</v>
      </c>
      <c r="P21" s="76">
        <f>P20-P19</f>
        <v>-3.645414613254772</v>
      </c>
    </row>
    <row r="22" spans="1:16" x14ac:dyDescent="0.25">
      <c r="A22" s="70" t="s">
        <v>222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3">
        <f>L21/L19</f>
        <v>-0.35863079539692799</v>
      </c>
      <c r="M22" s="73">
        <f>M21/M19</f>
        <v>-0.33481655663725857</v>
      </c>
      <c r="N22" s="73">
        <f>N21/N19</f>
        <v>-0.33753612036111524</v>
      </c>
      <c r="O22" s="73">
        <f>O21/O19</f>
        <v>-0.31297569967183958</v>
      </c>
      <c r="P22" s="73">
        <f>P21/P19</f>
        <v>-0.31612443469301321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O3"/>
  <sheetViews>
    <sheetView tabSelected="1" showRuler="0" workbookViewId="0">
      <selection activeCell="C24" sqref="C24"/>
    </sheetView>
  </sheetViews>
  <sheetFormatPr defaultColWidth="11" defaultRowHeight="15.75" x14ac:dyDescent="0.25"/>
  <sheetData>
    <row r="1" spans="1:15" x14ac:dyDescent="0.25">
      <c r="A1" t="s">
        <v>97</v>
      </c>
      <c r="B1" t="s">
        <v>98</v>
      </c>
      <c r="C1" t="s">
        <v>99</v>
      </c>
      <c r="D1" t="s">
        <v>100</v>
      </c>
      <c r="E1" t="s">
        <v>101</v>
      </c>
      <c r="F1" t="s">
        <v>102</v>
      </c>
      <c r="G1" t="s">
        <v>103</v>
      </c>
      <c r="H1" t="s">
        <v>104</v>
      </c>
      <c r="I1" t="s">
        <v>105</v>
      </c>
      <c r="J1" s="56" t="s">
        <v>106</v>
      </c>
      <c r="K1" t="s">
        <v>0</v>
      </c>
      <c r="L1" t="s">
        <v>1</v>
      </c>
      <c r="M1" t="s">
        <v>2</v>
      </c>
      <c r="N1" t="s">
        <v>3</v>
      </c>
      <c r="O1" t="s">
        <v>4</v>
      </c>
    </row>
    <row r="2" spans="1:15" x14ac:dyDescent="0.25">
      <c r="A2" s="2">
        <v>3.5000000000000003E-2</v>
      </c>
      <c r="B2" s="2">
        <v>2.3E-2</v>
      </c>
      <c r="C2" s="2">
        <v>4.3999999999999997E-2</v>
      </c>
      <c r="D2" s="2">
        <v>1.7000000000000001E-2</v>
      </c>
      <c r="E2" s="2">
        <v>2.9000000000000001E-2</v>
      </c>
      <c r="F2" s="2">
        <v>3.3300000000000003E-2</v>
      </c>
      <c r="G2" s="2">
        <v>1.5800000000000002E-2</v>
      </c>
      <c r="H2" s="2">
        <v>2.5000000000000001E-2</v>
      </c>
      <c r="I2" s="2">
        <v>2.93E-2</v>
      </c>
      <c r="J2" s="75">
        <v>2.2499999999999999E-2</v>
      </c>
      <c r="K2" s="2">
        <v>2.5700000000000001E-2</v>
      </c>
      <c r="L2" s="2">
        <v>2.5700000000000001E-2</v>
      </c>
      <c r="M2" s="2">
        <v>2.5700000000000001E-2</v>
      </c>
      <c r="N2" s="2">
        <v>2.5700000000000001E-2</v>
      </c>
      <c r="O2" s="2">
        <v>2.5700000000000001E-2</v>
      </c>
    </row>
    <row r="3" spans="1:15" x14ac:dyDescent="0.25">
      <c r="J3" s="5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Ergon ARR</vt:lpstr>
      <vt:lpstr>Alliance ARR</vt:lpstr>
      <vt:lpstr>Alliance Forecasts</vt:lpstr>
      <vt:lpstr>Alliance Productivity</vt:lpstr>
      <vt:lpstr>Alliance CAPEX</vt:lpstr>
      <vt:lpstr>Alliance WACC</vt:lpstr>
      <vt:lpstr>Alliance OPEX</vt:lpstr>
      <vt:lpstr>Alliance prices</vt:lpstr>
      <vt:lpstr>Inflation figures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Ogilvie, Sarah</dc:creator>
  <cp:lastModifiedBy>Ogilvie, Sarah</cp:lastModifiedBy>
  <dcterms:created xsi:type="dcterms:W3CDTF">2015-01-14T08:13:14Z</dcterms:created>
  <dcterms:modified xsi:type="dcterms:W3CDTF">2015-02-04T05:16:33Z</dcterms:modified>
</cp:coreProperties>
</file>