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430"/>
  <workbookPr codeName="ThisWorkbook" defaultThemeVersion="124226"/>
  <mc:AlternateContent xmlns:mc="http://schemas.openxmlformats.org/markup-compatibility/2006">
    <mc:Choice Requires="x15">
      <x15ac:absPath xmlns:x15ac="http://schemas.microsoft.com/office/spreadsheetml/2010/11/ac" url="G:\Coy1-Fin\Reg_Affairs\Regulated Pricing\Network\Price Submission 1 July 2020\"/>
    </mc:Choice>
  </mc:AlternateContent>
  <xr:revisionPtr revIDLastSave="0" documentId="13_ncr:1_{20A94472-E996-4DFF-9313-705F57E4ECF4}" xr6:coauthVersionLast="45" xr6:coauthVersionMax="45" xr10:uidLastSave="{00000000-0000-0000-0000-000000000000}"/>
  <bookViews>
    <workbookView xWindow="-120" yWindow="-120" windowWidth="29040" windowHeight="15840" tabRatio="837" xr2:uid="{00000000-000D-0000-FFFF-FFFF00000000}"/>
  </bookViews>
  <sheets>
    <sheet name="Price List_Excl GST" sheetId="3" r:id="rId1"/>
    <sheet name="Price List_Incl GST" sheetId="11" r:id="rId2"/>
    <sheet name="Price List_DUOS_Excl GST" sheetId="10" r:id="rId3"/>
    <sheet name="Price List_TUOS_Excl GST" sheetId="9" r:id="rId4"/>
    <sheet name="Price List_CCF_Excl GST" sheetId="8" r:id="rId5"/>
    <sheet name="Price List_QSS_Excl GST" sheetId="12" r:id="rId6"/>
    <sheet name="Explanatory Notes" sheetId="13" r:id="rId7"/>
  </sheets>
  <externalReferences>
    <externalReference r:id="rId8"/>
    <externalReference r:id="rId9"/>
  </externalReferences>
  <definedNames>
    <definedName name="_xlnm.Print_Area" localSheetId="6">'Explanatory Notes'!$A$1:$B$41</definedName>
    <definedName name="_xlnm.Print_Area" localSheetId="4">'Price List_CCF_Excl GST'!$B$2:$N$44</definedName>
    <definedName name="_xlnm.Print_Area" localSheetId="2">'Price List_DUOS_Excl GST'!$B$2:$N$44</definedName>
    <definedName name="_xlnm.Print_Area" localSheetId="0">'Price List_Excl GST'!$B$2:$P$74</definedName>
    <definedName name="_xlnm.Print_Area" localSheetId="1">'Price List_Incl GST'!$A$1:$P$59</definedName>
    <definedName name="_xlnm.Print_Area" localSheetId="5">'Price List_QSS_Excl GST'!$B$2:$N$44</definedName>
    <definedName name="_xlnm.Print_Area" localSheetId="3">'Price List_TUOS_Excl GST'!$B$2:$N$44</definedName>
    <definedName name="YEAR">[1]Outcomes!$B$4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44" i="12" l="1"/>
  <c r="I44" i="12"/>
  <c r="H44" i="12"/>
  <c r="G44" i="12"/>
  <c r="F44" i="12"/>
  <c r="E44" i="12"/>
  <c r="I43" i="12"/>
  <c r="H43" i="12"/>
  <c r="G43" i="12"/>
  <c r="F43" i="12"/>
  <c r="E43" i="12"/>
  <c r="M42" i="12"/>
  <c r="I42" i="12"/>
  <c r="H42" i="12"/>
  <c r="G42" i="12"/>
  <c r="F42" i="12"/>
  <c r="E42" i="12"/>
  <c r="M41" i="12"/>
  <c r="I41" i="12"/>
  <c r="H41" i="12"/>
  <c r="G41" i="12"/>
  <c r="F41" i="12"/>
  <c r="E41" i="12"/>
  <c r="I40" i="12"/>
  <c r="H40" i="12"/>
  <c r="G40" i="12"/>
  <c r="F40" i="12"/>
  <c r="E40" i="12"/>
  <c r="I39" i="12"/>
  <c r="H39" i="12"/>
  <c r="G39" i="12"/>
  <c r="F39" i="12"/>
  <c r="E39" i="12"/>
  <c r="L38" i="12"/>
  <c r="K38" i="12"/>
  <c r="J38" i="12"/>
  <c r="H38" i="12"/>
  <c r="G38" i="12"/>
  <c r="F38" i="12"/>
  <c r="E38" i="12"/>
  <c r="L37" i="12"/>
  <c r="K37" i="12"/>
  <c r="J37" i="12"/>
  <c r="H37" i="12"/>
  <c r="G37" i="12"/>
  <c r="F37" i="12"/>
  <c r="E37" i="12"/>
  <c r="J29" i="12"/>
  <c r="I29" i="12"/>
  <c r="H29" i="12"/>
  <c r="F29" i="12"/>
  <c r="G28" i="12"/>
  <c r="F28" i="12"/>
  <c r="M26" i="12"/>
  <c r="L26" i="12"/>
  <c r="K26" i="12"/>
  <c r="J26" i="12"/>
  <c r="I26" i="12"/>
  <c r="H26" i="12"/>
  <c r="F26" i="12"/>
  <c r="M25" i="12"/>
  <c r="L25" i="12"/>
  <c r="K25" i="12"/>
  <c r="J25" i="12"/>
  <c r="I25" i="12"/>
  <c r="H25" i="12"/>
  <c r="F25" i="12"/>
  <c r="K24" i="12"/>
  <c r="J24" i="12"/>
  <c r="I24" i="12"/>
  <c r="H24" i="12"/>
  <c r="F24" i="12"/>
  <c r="M23" i="12"/>
  <c r="L23" i="12"/>
  <c r="K23" i="12"/>
  <c r="J23" i="12"/>
  <c r="I23" i="12"/>
  <c r="H23" i="12"/>
  <c r="F23" i="12"/>
  <c r="M22" i="12"/>
  <c r="L22" i="12"/>
  <c r="K22" i="12"/>
  <c r="J22" i="12"/>
  <c r="I22" i="12"/>
  <c r="H22" i="12"/>
  <c r="F22" i="12"/>
  <c r="J21" i="12"/>
  <c r="I21" i="12"/>
  <c r="H21" i="12"/>
  <c r="F21" i="12"/>
  <c r="K20" i="12"/>
  <c r="J20" i="12"/>
  <c r="I20" i="12"/>
  <c r="H20" i="12"/>
  <c r="F20" i="12"/>
  <c r="J19" i="12"/>
  <c r="I19" i="12"/>
  <c r="H19" i="12"/>
  <c r="F19" i="12"/>
  <c r="J18" i="12"/>
  <c r="I18" i="12"/>
  <c r="H18" i="12"/>
  <c r="F18" i="12"/>
  <c r="G17" i="12"/>
  <c r="F17" i="12"/>
  <c r="G15" i="12"/>
  <c r="F15" i="12"/>
  <c r="G14" i="12"/>
  <c r="F14" i="12"/>
  <c r="K12" i="12"/>
  <c r="J12" i="12"/>
  <c r="I12" i="12"/>
  <c r="H12" i="12"/>
  <c r="F12" i="12"/>
  <c r="J11" i="12"/>
  <c r="I11" i="12"/>
  <c r="H11" i="12"/>
  <c r="F11" i="12"/>
  <c r="J10" i="12"/>
  <c r="I10" i="12"/>
  <c r="H10" i="12"/>
  <c r="F10" i="12"/>
  <c r="G9" i="12"/>
  <c r="F9" i="12"/>
  <c r="M44" i="8"/>
  <c r="I44" i="8"/>
  <c r="H44" i="8"/>
  <c r="G44" i="8"/>
  <c r="F44" i="8"/>
  <c r="E44" i="8"/>
  <c r="I43" i="8"/>
  <c r="H43" i="8"/>
  <c r="G43" i="8"/>
  <c r="F43" i="8"/>
  <c r="E43" i="8"/>
  <c r="M42" i="8"/>
  <c r="I42" i="8"/>
  <c r="H42" i="8"/>
  <c r="G42" i="8"/>
  <c r="F42" i="8"/>
  <c r="E42" i="8"/>
  <c r="M41" i="8"/>
  <c r="I41" i="8"/>
  <c r="H41" i="8"/>
  <c r="G41" i="8"/>
  <c r="F41" i="8"/>
  <c r="E41" i="8"/>
  <c r="I40" i="8"/>
  <c r="H40" i="8"/>
  <c r="G40" i="8"/>
  <c r="F40" i="8"/>
  <c r="E40" i="8"/>
  <c r="I39" i="8"/>
  <c r="H39" i="8"/>
  <c r="G39" i="8"/>
  <c r="F39" i="8"/>
  <c r="E39" i="8"/>
  <c r="L38" i="8"/>
  <c r="K38" i="8"/>
  <c r="J38" i="8"/>
  <c r="H38" i="8"/>
  <c r="G38" i="8"/>
  <c r="F38" i="8"/>
  <c r="E38" i="8"/>
  <c r="L37" i="8"/>
  <c r="K37" i="8"/>
  <c r="J37" i="8"/>
  <c r="H37" i="8"/>
  <c r="G37" i="8"/>
  <c r="F37" i="8"/>
  <c r="E37" i="8"/>
  <c r="J29" i="8"/>
  <c r="I29" i="8"/>
  <c r="H29" i="8"/>
  <c r="F29" i="8"/>
  <c r="G28" i="8"/>
  <c r="F28" i="8"/>
  <c r="M26" i="8"/>
  <c r="L26" i="8"/>
  <c r="K26" i="8"/>
  <c r="J26" i="8"/>
  <c r="I26" i="8"/>
  <c r="H26" i="8"/>
  <c r="F26" i="8"/>
  <c r="M25" i="8"/>
  <c r="L25" i="8"/>
  <c r="K25" i="8"/>
  <c r="J25" i="8"/>
  <c r="I25" i="8"/>
  <c r="H25" i="8"/>
  <c r="F25" i="8"/>
  <c r="K24" i="8"/>
  <c r="J24" i="8"/>
  <c r="I24" i="8"/>
  <c r="H24" i="8"/>
  <c r="F24" i="8"/>
  <c r="M23" i="8"/>
  <c r="L23" i="8"/>
  <c r="K23" i="8"/>
  <c r="J23" i="8"/>
  <c r="I23" i="8"/>
  <c r="H23" i="8"/>
  <c r="F23" i="8"/>
  <c r="M22" i="8"/>
  <c r="L22" i="8"/>
  <c r="K22" i="8"/>
  <c r="J22" i="8"/>
  <c r="I22" i="8"/>
  <c r="H22" i="8"/>
  <c r="F22" i="8"/>
  <c r="J21" i="8"/>
  <c r="I21" i="8"/>
  <c r="H21" i="8"/>
  <c r="F21" i="8"/>
  <c r="K20" i="8"/>
  <c r="J20" i="8"/>
  <c r="I20" i="8"/>
  <c r="H20" i="8"/>
  <c r="F20" i="8"/>
  <c r="J19" i="8"/>
  <c r="I19" i="8"/>
  <c r="H19" i="8"/>
  <c r="F19" i="8"/>
  <c r="J18" i="8"/>
  <c r="I18" i="8"/>
  <c r="H18" i="8"/>
  <c r="F18" i="8"/>
  <c r="G17" i="8"/>
  <c r="F17" i="8"/>
  <c r="G15" i="8"/>
  <c r="F15" i="8"/>
  <c r="G14" i="8"/>
  <c r="F14" i="8"/>
  <c r="K12" i="8"/>
  <c r="J12" i="8"/>
  <c r="I12" i="8"/>
  <c r="H12" i="8"/>
  <c r="F12" i="8"/>
  <c r="J11" i="8"/>
  <c r="I11" i="8"/>
  <c r="H11" i="8"/>
  <c r="F11" i="8"/>
  <c r="J10" i="8"/>
  <c r="I10" i="8"/>
  <c r="H10" i="8"/>
  <c r="F10" i="8"/>
  <c r="G9" i="8"/>
  <c r="F9" i="8"/>
  <c r="M44" i="9"/>
  <c r="I44" i="9"/>
  <c r="H44" i="9"/>
  <c r="G44" i="9"/>
  <c r="F44" i="9"/>
  <c r="E44" i="9"/>
  <c r="I43" i="9"/>
  <c r="H43" i="9"/>
  <c r="G43" i="9"/>
  <c r="F43" i="9"/>
  <c r="E43" i="9"/>
  <c r="M42" i="9"/>
  <c r="I42" i="9"/>
  <c r="H42" i="9"/>
  <c r="G42" i="9"/>
  <c r="F42" i="9"/>
  <c r="E42" i="9"/>
  <c r="M41" i="9"/>
  <c r="I41" i="9"/>
  <c r="H41" i="9"/>
  <c r="G41" i="9"/>
  <c r="F41" i="9"/>
  <c r="E41" i="9"/>
  <c r="I40" i="9"/>
  <c r="H40" i="9"/>
  <c r="G40" i="9"/>
  <c r="F40" i="9"/>
  <c r="E40" i="9"/>
  <c r="I39" i="9"/>
  <c r="H39" i="9"/>
  <c r="G39" i="9"/>
  <c r="F39" i="9"/>
  <c r="E39" i="9"/>
  <c r="L38" i="9"/>
  <c r="K38" i="9"/>
  <c r="J38" i="9"/>
  <c r="H38" i="9"/>
  <c r="G38" i="9"/>
  <c r="F38" i="9"/>
  <c r="E38" i="9"/>
  <c r="L37" i="9"/>
  <c r="K37" i="9"/>
  <c r="J37" i="9"/>
  <c r="H37" i="9"/>
  <c r="G37" i="9"/>
  <c r="F37" i="9"/>
  <c r="E37" i="9"/>
  <c r="J29" i="9"/>
  <c r="I29" i="9"/>
  <c r="H29" i="9"/>
  <c r="F29" i="9"/>
  <c r="G28" i="9"/>
  <c r="F28" i="9"/>
  <c r="M26" i="9"/>
  <c r="L26" i="9"/>
  <c r="K26" i="9"/>
  <c r="J26" i="9"/>
  <c r="I26" i="9"/>
  <c r="H26" i="9"/>
  <c r="F26" i="9"/>
  <c r="M25" i="9"/>
  <c r="L25" i="9"/>
  <c r="K25" i="9"/>
  <c r="J25" i="9"/>
  <c r="I25" i="9"/>
  <c r="H25" i="9"/>
  <c r="F25" i="9"/>
  <c r="K24" i="9"/>
  <c r="J24" i="9"/>
  <c r="I24" i="9"/>
  <c r="H24" i="9"/>
  <c r="F24" i="9"/>
  <c r="M23" i="9"/>
  <c r="L23" i="9"/>
  <c r="K23" i="9"/>
  <c r="J23" i="9"/>
  <c r="I23" i="9"/>
  <c r="H23" i="9"/>
  <c r="F23" i="9"/>
  <c r="M22" i="9"/>
  <c r="L22" i="9"/>
  <c r="K22" i="9"/>
  <c r="J22" i="9"/>
  <c r="I22" i="9"/>
  <c r="H22" i="9"/>
  <c r="F22" i="9"/>
  <c r="J21" i="9"/>
  <c r="I21" i="9"/>
  <c r="H21" i="9"/>
  <c r="F21" i="9"/>
  <c r="K20" i="9"/>
  <c r="J20" i="9"/>
  <c r="I20" i="9"/>
  <c r="H20" i="9"/>
  <c r="F20" i="9"/>
  <c r="J19" i="9"/>
  <c r="I19" i="9"/>
  <c r="H19" i="9"/>
  <c r="F19" i="9"/>
  <c r="J18" i="9"/>
  <c r="I18" i="9"/>
  <c r="H18" i="9"/>
  <c r="F18" i="9"/>
  <c r="G17" i="9"/>
  <c r="F17" i="9"/>
  <c r="G15" i="9"/>
  <c r="F15" i="9"/>
  <c r="G14" i="9"/>
  <c r="F14" i="9"/>
  <c r="K12" i="9"/>
  <c r="J12" i="9"/>
  <c r="I12" i="9"/>
  <c r="H12" i="9"/>
  <c r="F12" i="9"/>
  <c r="J11" i="9"/>
  <c r="I11" i="9"/>
  <c r="H11" i="9"/>
  <c r="F11" i="9"/>
  <c r="J10" i="9"/>
  <c r="I10" i="9"/>
  <c r="H10" i="9"/>
  <c r="F10" i="9"/>
  <c r="G9" i="9"/>
  <c r="F9" i="9"/>
  <c r="M44" i="10"/>
  <c r="I44" i="10"/>
  <c r="H44" i="10"/>
  <c r="G44" i="10"/>
  <c r="F44" i="10"/>
  <c r="E44" i="10"/>
  <c r="I43" i="10"/>
  <c r="H43" i="10"/>
  <c r="G43" i="10"/>
  <c r="F43" i="10"/>
  <c r="E43" i="10"/>
  <c r="M42" i="10"/>
  <c r="I42" i="10"/>
  <c r="H42" i="10"/>
  <c r="G42" i="10"/>
  <c r="F42" i="10"/>
  <c r="E42" i="10"/>
  <c r="M41" i="10"/>
  <c r="I41" i="10"/>
  <c r="H41" i="10"/>
  <c r="G41" i="10"/>
  <c r="F41" i="10"/>
  <c r="E41" i="10"/>
  <c r="I40" i="10"/>
  <c r="H40" i="10"/>
  <c r="G40" i="10"/>
  <c r="F40" i="10"/>
  <c r="E40" i="10"/>
  <c r="M39" i="10"/>
  <c r="I39" i="10"/>
  <c r="H39" i="10"/>
  <c r="G39" i="10"/>
  <c r="F39" i="10"/>
  <c r="E39" i="10"/>
  <c r="L38" i="10"/>
  <c r="K38" i="10"/>
  <c r="J38" i="10"/>
  <c r="H38" i="10"/>
  <c r="G38" i="10"/>
  <c r="F38" i="10"/>
  <c r="E38" i="10"/>
  <c r="L37" i="10"/>
  <c r="K37" i="10"/>
  <c r="J37" i="10"/>
  <c r="H37" i="10"/>
  <c r="G37" i="10"/>
  <c r="F37" i="10"/>
  <c r="E37" i="10"/>
  <c r="J29" i="10"/>
  <c r="I29" i="10"/>
  <c r="H29" i="10"/>
  <c r="F29" i="10"/>
  <c r="G28" i="10"/>
  <c r="F28" i="10"/>
  <c r="M26" i="10"/>
  <c r="L26" i="10"/>
  <c r="K26" i="10"/>
  <c r="J26" i="10"/>
  <c r="I26" i="10"/>
  <c r="H26" i="10"/>
  <c r="F26" i="10"/>
  <c r="M25" i="10"/>
  <c r="L25" i="10"/>
  <c r="K25" i="10"/>
  <c r="J25" i="10"/>
  <c r="I25" i="10"/>
  <c r="H25" i="10"/>
  <c r="F25" i="10"/>
  <c r="K24" i="10"/>
  <c r="J24" i="10"/>
  <c r="I24" i="10"/>
  <c r="H24" i="10"/>
  <c r="F24" i="10"/>
  <c r="M23" i="10"/>
  <c r="L23" i="10"/>
  <c r="K23" i="10"/>
  <c r="J23" i="10"/>
  <c r="I23" i="10"/>
  <c r="H23" i="10"/>
  <c r="F23" i="10"/>
  <c r="M22" i="10"/>
  <c r="L22" i="10"/>
  <c r="K22" i="10"/>
  <c r="J22" i="10"/>
  <c r="I22" i="10"/>
  <c r="H22" i="10"/>
  <c r="F22" i="10"/>
  <c r="J21" i="10"/>
  <c r="I21" i="10"/>
  <c r="H21" i="10"/>
  <c r="F21" i="10"/>
  <c r="K20" i="10"/>
  <c r="J20" i="10"/>
  <c r="I20" i="10"/>
  <c r="H20" i="10"/>
  <c r="F20" i="10"/>
  <c r="J19" i="10"/>
  <c r="I19" i="10"/>
  <c r="H19" i="10"/>
  <c r="F19" i="10"/>
  <c r="J18" i="10"/>
  <c r="I18" i="10"/>
  <c r="H18" i="10"/>
  <c r="F18" i="10"/>
  <c r="G17" i="10"/>
  <c r="F17" i="10"/>
  <c r="G15" i="10"/>
  <c r="F15" i="10"/>
  <c r="G14" i="10"/>
  <c r="F14" i="10"/>
  <c r="K12" i="10"/>
  <c r="J12" i="10"/>
  <c r="I12" i="10"/>
  <c r="H12" i="10"/>
  <c r="F12" i="10"/>
  <c r="J11" i="10"/>
  <c r="I11" i="10"/>
  <c r="H11" i="10"/>
  <c r="F11" i="10"/>
  <c r="J10" i="10"/>
  <c r="I10" i="10"/>
  <c r="H10" i="10"/>
  <c r="F10" i="10"/>
  <c r="G9" i="10"/>
  <c r="F9" i="10"/>
  <c r="M56" i="11"/>
  <c r="I56" i="11"/>
  <c r="H56" i="11"/>
  <c r="G56" i="11"/>
  <c r="F56" i="11"/>
  <c r="D56" i="11"/>
  <c r="I55" i="11"/>
  <c r="H55" i="11"/>
  <c r="G55" i="11"/>
  <c r="F55" i="11"/>
  <c r="D55" i="11"/>
  <c r="M54" i="11"/>
  <c r="I54" i="11"/>
  <c r="H54" i="11"/>
  <c r="G54" i="11"/>
  <c r="F54" i="11"/>
  <c r="D54" i="11"/>
  <c r="M53" i="11"/>
  <c r="I53" i="11"/>
  <c r="H53" i="11"/>
  <c r="G53" i="11"/>
  <c r="F53" i="11"/>
  <c r="D53" i="11"/>
  <c r="I52" i="11"/>
  <c r="H52" i="11"/>
  <c r="G52" i="11"/>
  <c r="F52" i="11"/>
  <c r="D52" i="11"/>
  <c r="M51" i="11"/>
  <c r="H51" i="11"/>
  <c r="G51" i="11"/>
  <c r="F51" i="11"/>
  <c r="D51" i="11"/>
  <c r="L50" i="11"/>
  <c r="K50" i="11"/>
  <c r="J50" i="11"/>
  <c r="H50" i="11"/>
  <c r="G50" i="11"/>
  <c r="F50" i="11"/>
  <c r="D50" i="11"/>
  <c r="L49" i="11"/>
  <c r="K49" i="11"/>
  <c r="J49" i="11"/>
  <c r="H49" i="11"/>
  <c r="G49" i="11"/>
  <c r="F49" i="11"/>
  <c r="D49" i="11"/>
  <c r="J37" i="11"/>
  <c r="I37" i="11"/>
  <c r="H37" i="11"/>
  <c r="F37" i="11"/>
  <c r="G36" i="11"/>
  <c r="F36" i="11"/>
  <c r="M34" i="11"/>
  <c r="L34" i="11"/>
  <c r="K34" i="11"/>
  <c r="J34" i="11"/>
  <c r="I34" i="11"/>
  <c r="H34" i="11"/>
  <c r="F34" i="11"/>
  <c r="M33" i="11"/>
  <c r="L33" i="11"/>
  <c r="K33" i="11"/>
  <c r="J33" i="11"/>
  <c r="I33" i="11"/>
  <c r="H33" i="11"/>
  <c r="F33" i="11"/>
  <c r="K32" i="11"/>
  <c r="J32" i="11"/>
  <c r="I32" i="11"/>
  <c r="H32" i="11"/>
  <c r="F32" i="11"/>
  <c r="M31" i="11"/>
  <c r="L31" i="11"/>
  <c r="K31" i="11"/>
  <c r="J31" i="11"/>
  <c r="I31" i="11"/>
  <c r="H31" i="11"/>
  <c r="F31" i="11"/>
  <c r="M30" i="11"/>
  <c r="L30" i="11"/>
  <c r="K30" i="11"/>
  <c r="J30" i="11"/>
  <c r="I30" i="11"/>
  <c r="H30" i="11"/>
  <c r="F30" i="11"/>
  <c r="J29" i="11"/>
  <c r="I29" i="11"/>
  <c r="H29" i="11"/>
  <c r="F29" i="11"/>
  <c r="K28" i="11"/>
  <c r="J28" i="11"/>
  <c r="I28" i="11"/>
  <c r="H28" i="11"/>
  <c r="F28" i="11"/>
  <c r="J27" i="11"/>
  <c r="I27" i="11"/>
  <c r="H27" i="11"/>
  <c r="F27" i="11"/>
  <c r="J26" i="11"/>
  <c r="I26" i="11"/>
  <c r="H26" i="11"/>
  <c r="F26" i="11"/>
  <c r="G25" i="11"/>
  <c r="F25" i="11"/>
  <c r="G15" i="11"/>
  <c r="F15" i="11"/>
  <c r="G14" i="11"/>
  <c r="F14" i="11"/>
  <c r="K12" i="11"/>
  <c r="J12" i="11"/>
  <c r="I12" i="11"/>
  <c r="H12" i="11"/>
  <c r="F12" i="11"/>
  <c r="J11" i="11"/>
  <c r="I11" i="11"/>
  <c r="H11" i="11"/>
  <c r="F11" i="11"/>
  <c r="J10" i="11"/>
  <c r="I10" i="11"/>
  <c r="H10" i="11"/>
  <c r="F10" i="11"/>
  <c r="G9" i="11"/>
  <c r="F9" i="11"/>
  <c r="L55" i="3"/>
  <c r="H55" i="3"/>
  <c r="G55" i="3"/>
  <c r="F55" i="3"/>
  <c r="E55" i="3"/>
  <c r="D55" i="3"/>
  <c r="H54" i="3"/>
  <c r="G54" i="3"/>
  <c r="F54" i="3"/>
  <c r="E54" i="3"/>
  <c r="D54" i="3"/>
  <c r="L53" i="3"/>
  <c r="H53" i="3"/>
  <c r="G53" i="3"/>
  <c r="F53" i="3"/>
  <c r="E53" i="3"/>
  <c r="D53" i="3"/>
  <c r="L52" i="3"/>
  <c r="H52" i="3"/>
  <c r="G52" i="3"/>
  <c r="F52" i="3"/>
  <c r="E52" i="3"/>
  <c r="D52" i="3"/>
  <c r="H51" i="3"/>
  <c r="G51" i="3"/>
  <c r="F51" i="3"/>
  <c r="E51" i="3"/>
  <c r="D51" i="3"/>
  <c r="L50" i="3"/>
  <c r="H50" i="3"/>
  <c r="G50" i="3"/>
  <c r="F50" i="3"/>
  <c r="E50" i="3"/>
  <c r="D50" i="3"/>
  <c r="K49" i="3"/>
  <c r="J49" i="3"/>
  <c r="I49" i="3"/>
  <c r="G49" i="3"/>
  <c r="F49" i="3"/>
  <c r="E49" i="3"/>
  <c r="D49" i="3"/>
  <c r="K48" i="3"/>
  <c r="J48" i="3"/>
  <c r="I48" i="3"/>
  <c r="G48" i="3"/>
  <c r="F48" i="3"/>
  <c r="E48" i="3"/>
  <c r="D48" i="3"/>
  <c r="J37" i="3"/>
  <c r="I37" i="3"/>
  <c r="H37" i="3"/>
  <c r="F37" i="3"/>
  <c r="G36" i="3"/>
  <c r="F36" i="3"/>
  <c r="M34" i="3"/>
  <c r="L34" i="3"/>
  <c r="K34" i="3"/>
  <c r="J34" i="3"/>
  <c r="I34" i="3"/>
  <c r="H34" i="3"/>
  <c r="F34" i="3"/>
  <c r="M33" i="3"/>
  <c r="L33" i="3"/>
  <c r="K33" i="3"/>
  <c r="J33" i="3"/>
  <c r="I33" i="3"/>
  <c r="H33" i="3"/>
  <c r="F33" i="3"/>
  <c r="K32" i="3"/>
  <c r="J32" i="3"/>
  <c r="I32" i="3"/>
  <c r="H32" i="3"/>
  <c r="F32" i="3"/>
  <c r="M31" i="3"/>
  <c r="L31" i="3"/>
  <c r="K31" i="3"/>
  <c r="J31" i="3"/>
  <c r="I31" i="3"/>
  <c r="H31" i="3"/>
  <c r="F31" i="3"/>
  <c r="M30" i="3"/>
  <c r="L30" i="3"/>
  <c r="K30" i="3"/>
  <c r="J30" i="3"/>
  <c r="I30" i="3"/>
  <c r="H30" i="3"/>
  <c r="F30" i="3"/>
  <c r="J29" i="3"/>
  <c r="I29" i="3"/>
  <c r="H29" i="3"/>
  <c r="F29" i="3"/>
  <c r="K28" i="3"/>
  <c r="J28" i="3"/>
  <c r="I28" i="3"/>
  <c r="H28" i="3"/>
  <c r="F28" i="3"/>
  <c r="J27" i="3"/>
  <c r="I27" i="3"/>
  <c r="H27" i="3"/>
  <c r="F27" i="3"/>
  <c r="J26" i="3"/>
  <c r="I26" i="3"/>
  <c r="H26" i="3"/>
  <c r="F26" i="3"/>
  <c r="G25" i="3"/>
  <c r="F25" i="3"/>
  <c r="G15" i="3"/>
  <c r="F15" i="3"/>
  <c r="G14" i="3"/>
  <c r="F14" i="3"/>
  <c r="K12" i="3"/>
  <c r="J12" i="3"/>
  <c r="I12" i="3"/>
  <c r="H12" i="3"/>
  <c r="F12" i="3"/>
  <c r="J11" i="3"/>
  <c r="I11" i="3"/>
  <c r="H11" i="3"/>
  <c r="F11" i="3"/>
  <c r="J10" i="3"/>
  <c r="I10" i="3"/>
  <c r="H10" i="3"/>
  <c r="F10" i="3"/>
  <c r="F9" i="3"/>
  <c r="G9" i="3"/>
  <c r="B3" i="12" l="1"/>
  <c r="B3" i="8"/>
  <c r="B3" i="9"/>
  <c r="B3" i="10"/>
  <c r="E34" i="11" l="1"/>
  <c r="D34" i="11"/>
  <c r="B34" i="11"/>
  <c r="E33" i="11"/>
  <c r="D33" i="11"/>
  <c r="B33" i="11"/>
  <c r="E32" i="11"/>
  <c r="D32" i="11"/>
  <c r="B32" i="11"/>
  <c r="E31" i="11"/>
  <c r="D31" i="11"/>
  <c r="B31" i="11"/>
  <c r="E30" i="11"/>
  <c r="D30" i="11"/>
  <c r="B30" i="11"/>
  <c r="E29" i="11"/>
  <c r="D29" i="11"/>
  <c r="C29" i="11"/>
  <c r="B29" i="11"/>
  <c r="E28" i="11"/>
  <c r="D28" i="11"/>
  <c r="B28" i="11"/>
  <c r="E27" i="11"/>
  <c r="D27" i="11"/>
  <c r="B27" i="11"/>
  <c r="E26" i="11"/>
  <c r="D26" i="11"/>
  <c r="B26" i="11"/>
  <c r="E25" i="11"/>
  <c r="D25" i="11"/>
  <c r="B25" i="11"/>
  <c r="E23" i="11"/>
  <c r="D23" i="11"/>
  <c r="E22" i="11"/>
  <c r="D22" i="11"/>
  <c r="E21" i="11"/>
  <c r="D21" i="11"/>
  <c r="E20" i="11"/>
  <c r="D20" i="11"/>
  <c r="E19" i="11"/>
  <c r="D19" i="11"/>
  <c r="E18" i="11"/>
  <c r="D18" i="11"/>
  <c r="E17" i="11"/>
  <c r="D17" i="11"/>
  <c r="B23" i="11"/>
  <c r="B22" i="11"/>
  <c r="B21" i="11"/>
  <c r="B20" i="11"/>
  <c r="B19" i="11"/>
  <c r="B18" i="11"/>
  <c r="B17" i="11"/>
  <c r="E15" i="11"/>
  <c r="D15" i="11"/>
  <c r="B15" i="11"/>
  <c r="E14" i="11"/>
  <c r="D14" i="11"/>
  <c r="B14" i="11"/>
  <c r="E12" i="11"/>
  <c r="D12" i="11"/>
  <c r="B12" i="11"/>
  <c r="E11" i="11"/>
  <c r="D11" i="11"/>
  <c r="B11" i="11"/>
  <c r="E10" i="11"/>
  <c r="D10" i="11"/>
  <c r="B10" i="11"/>
  <c r="E9" i="11"/>
  <c r="D9" i="11"/>
  <c r="B9" i="11"/>
  <c r="B42" i="11" l="1"/>
  <c r="B3" i="11"/>
  <c r="B42" i="3"/>
  <c r="E57" i="11" l="1"/>
</calcChain>
</file>

<file path=xl/sharedStrings.xml><?xml version="1.0" encoding="utf-8"?>
<sst xmlns="http://schemas.openxmlformats.org/spreadsheetml/2006/main" count="919" uniqueCount="205">
  <si>
    <t>Tariff</t>
  </si>
  <si>
    <t>Network</t>
  </si>
  <si>
    <t>Energy</t>
  </si>
  <si>
    <t>Demand</t>
  </si>
  <si>
    <t>Peak</t>
  </si>
  <si>
    <t>Shoulder</t>
  </si>
  <si>
    <t>Off-Peak</t>
  </si>
  <si>
    <t>Capacity</t>
  </si>
  <si>
    <t>Code</t>
  </si>
  <si>
    <t>Description</t>
  </si>
  <si>
    <t>Access</t>
  </si>
  <si>
    <t>All</t>
  </si>
  <si>
    <t>Charge</t>
  </si>
  <si>
    <t>$/Day</t>
  </si>
  <si>
    <t>c/kWh</t>
  </si>
  <si>
    <t>$/kVA/M</t>
  </si>
  <si>
    <t>Residential Tariffs</t>
  </si>
  <si>
    <t>BLNE2AU</t>
  </si>
  <si>
    <t>Business Tariffs</t>
  </si>
  <si>
    <t>Controlled Load Tariffs</t>
  </si>
  <si>
    <t>BLND1SR</t>
  </si>
  <si>
    <t>BLND1SU</t>
  </si>
  <si>
    <t>BHND1CO</t>
  </si>
  <si>
    <t>BSSD3AO</t>
  </si>
  <si>
    <t>Obsolete tariffs on same rate</t>
  </si>
  <si>
    <t>BLNN2AU</t>
  </si>
  <si>
    <t>BLNT3AU</t>
  </si>
  <si>
    <t>BLNC1AU</t>
  </si>
  <si>
    <t>BLNC2AU</t>
  </si>
  <si>
    <t>BLNN1AU</t>
  </si>
  <si>
    <t>BLNT2AU</t>
  </si>
  <si>
    <t>BLNT1AO</t>
  </si>
  <si>
    <t>BLND3AO</t>
  </si>
  <si>
    <t>BLNS1AO</t>
  </si>
  <si>
    <t>BHND3AO</t>
  </si>
  <si>
    <t>BHNS1AO</t>
  </si>
  <si>
    <t>BLNP1AO</t>
  </si>
  <si>
    <t>BLNP3AO</t>
  </si>
  <si>
    <t>Sub Trans 3 Rate Demand</t>
  </si>
  <si>
    <t>Controlled Load 1</t>
  </si>
  <si>
    <t>Controlled Load 2</t>
  </si>
  <si>
    <t>HV TOU mthly Demand</t>
  </si>
  <si>
    <t>LV Residential TOU</t>
  </si>
  <si>
    <t xml:space="preserve">LV TOU &lt;100MWh </t>
  </si>
  <si>
    <t>BLNN3AO</t>
  </si>
  <si>
    <t>Unmetered Tariffs</t>
  </si>
  <si>
    <t>Obsolete Tariffs - Not applicable to new connections</t>
  </si>
  <si>
    <t>LV TOU Demand 3 Rate</t>
  </si>
  <si>
    <t>LV TOU Demand 1 Rate</t>
  </si>
  <si>
    <t>Application</t>
  </si>
  <si>
    <t>Customer specific prices</t>
  </si>
  <si>
    <t>Subtransmission or Inter Distributor Transfers</t>
  </si>
  <si>
    <t>Various</t>
  </si>
  <si>
    <t>Obsolete</t>
  </si>
  <si>
    <t>LV 1 Rate Demand Sth Urban</t>
  </si>
  <si>
    <t>LV 1 Rate Demand Sth Rural</t>
  </si>
  <si>
    <t>HV 1 Rate Demand Cent Urban TOU</t>
  </si>
  <si>
    <t>HV 1 Rate Demand Sth Urban</t>
  </si>
  <si>
    <t>LV TOU avg daily Demand</t>
  </si>
  <si>
    <t>HV TOU avg daily Demand</t>
  </si>
  <si>
    <t>BLNE1AU</t>
  </si>
  <si>
    <t>BLND3TO</t>
  </si>
  <si>
    <t>BLNE3AU</t>
  </si>
  <si>
    <t>BLNE4AU</t>
  </si>
  <si>
    <t>BLNE12AU</t>
  </si>
  <si>
    <t>BLNE14AU</t>
  </si>
  <si>
    <t>BLNE11AU</t>
  </si>
  <si>
    <t>NSW Solar Bonus Scheme Net</t>
  </si>
  <si>
    <t>NSW Solar Bonus Scheme Gross</t>
  </si>
  <si>
    <t>Essential Energy Customer Specific</t>
  </si>
  <si>
    <t xml:space="preserve">NSW Solar bonus scheme rebate for net metering introduced by the NSW Government and applicable to residential customers who submitted an application on or before 18th November 2010 and purchased a system on or before 27th October 2010. Refer to Section 1.1 for GST application. </t>
  </si>
  <si>
    <t xml:space="preserve">NSW Solar bonus scheme rebate for gross metering introduced by the NSW Government and applicable to residential customers who submitted an application on or before 18th November 2010 and purchased a system on or before 27th October 2010. Refer to Section 1.1 for GST application. </t>
  </si>
  <si>
    <t xml:space="preserve">NSW Solar bonus scheme rebate for net metering introduced by the NSW Government and applicable to business customers who submitted an application on or before 18th November 2010 and purchased a system on or before 27th October 2010. Refer to Section 1.1 for GST application. </t>
  </si>
  <si>
    <t xml:space="preserve">NSW Solar bonus scheme rebate for gross metering introduced by the NSW Government and applicable to business customers who submitted an application on or before 18th November 2010 and purchased a system on or before 27th October 2010. Refer to Section 1.1 for GST application. </t>
  </si>
  <si>
    <t>LV TOU Demand Alternative tariff</t>
  </si>
  <si>
    <t xml:space="preserve">BLNE13AU
</t>
  </si>
  <si>
    <t>NSW Solar bonus scheme rebate for net metering introduced by the NSW Government and applicable to residential customers who joined the scheme after 18th November 2010 or purchased a system after 27th October 2010. Refer to Section 1.1 for GST application. Discontinued from 29 April 2011.</t>
  </si>
  <si>
    <t>NSW Solar bonus scheme rebate for gross metering introduced by the NSW Government and applicable to residential customers who joined the scheme after 18th November 2010 or purchased a system after 27th October 2010.  Refer to Section 1.1 for GST application. Discontinued from 29 April 2011.</t>
  </si>
  <si>
    <t>NSW Solar bonus scheme rebate for net metering introduced by the NSW Government and applicable to business customers who joined the scheme after 18th November 2010 or purchased a system after 27th October 2010. Refer to Section 1.1 for GST application. Discontinued from 1 April 2011.</t>
  </si>
  <si>
    <t>NSW Solar bonus scheme rebate for gross metering introduced by the NSW Government and applicable to business customers who joined the scheme after 18th November 2010 or purchased a system after 27th October 2010. Refer to Section 1.1 for GST application. Discontinued from 1 April 2011.</t>
  </si>
  <si>
    <t>BHND1SO
BHTD1SO</t>
  </si>
  <si>
    <t>BLND1CO
BLND1NO</t>
  </si>
  <si>
    <t>BLNE20AU</t>
  </si>
  <si>
    <t>BLNE22AU</t>
  </si>
  <si>
    <t>BLNE21AU</t>
  </si>
  <si>
    <t>BLNE23AU</t>
  </si>
  <si>
    <t>Excluding GST</t>
  </si>
  <si>
    <t>Export Tariffs</t>
  </si>
  <si>
    <t>BLNE0AU</t>
  </si>
  <si>
    <t>Ineligible Export</t>
  </si>
  <si>
    <t>Generally for larger business use whose consumption exceeds 100 MWh per year.  The charges include a monthly maximum demand charge.  The maximum demand charge is metered on a half hour basis in kVA, which reflects the customer’s power factor.  New customers should be connected on BLND3AO.</t>
  </si>
  <si>
    <t>To all premises whose demand exceeds 72 kVA. New customers should be connected on BLND3AO.</t>
  </si>
  <si>
    <t>For larger business metered at HV Distribution System.  The charges include a monthly maximum demand charge.  The maximum demand is metered on a half hour basis in kVA, which reflects the customer’s power factor. New customers should be connected on BHND3AO.</t>
  </si>
  <si>
    <t>To business premises whose consumption is connected to the HV Distribution System. New customers should be connected on BHND3AO.</t>
  </si>
  <si>
    <t>BLNE30AU</t>
  </si>
  <si>
    <t>BLNE24AU</t>
  </si>
  <si>
    <t>BLNE25AU</t>
  </si>
  <si>
    <t>QLD Government Solar Bonus Scheme</t>
  </si>
  <si>
    <t>BLNE26AU</t>
  </si>
  <si>
    <t>BLNE27AU</t>
  </si>
  <si>
    <t xml:space="preserve">QLD Government Solar Bonus </t>
  </si>
  <si>
    <t>QLD Government Solar bonus scheme rebate for eligible residential customers located in Qld but connected to Essential Energy's Distribution Network. Discontinued 9 July 2012.</t>
  </si>
  <si>
    <t>QLD Government Solar bonus scheme rebate for eligible business customers located in Qld but connected to Essential Energy's Distribution Network. Discontinued 9 July 2012.</t>
  </si>
  <si>
    <t>QLD Government Solar bonus scheme rebate for eligible business customers located in Qld but connected to Essential Energy's Distribution Network. Discontinued 9 July 2012. This solar tariff has GST applied, please refer to Section 1.1 for GST application for other solar tariffs.</t>
  </si>
  <si>
    <t>NSW Solar Bonus Scheme Retailer Contribution</t>
  </si>
  <si>
    <t>BLND1CO
 BLND1NO</t>
  </si>
  <si>
    <t>BHND1SO
 BHTD1SO</t>
  </si>
  <si>
    <t>Tariff Code</t>
  </si>
  <si>
    <t>Obsolete Tariff Code</t>
  </si>
  <si>
    <t>LV Unmetered NUOS</t>
  </si>
  <si>
    <t>LV Public Street Lighting TOU NUOS</t>
  </si>
  <si>
    <t>Business Anytime Export gross metered</t>
  </si>
  <si>
    <t>Business Anytime Export net metered</t>
  </si>
  <si>
    <t>Residential Anytime Export gross metered</t>
  </si>
  <si>
    <t>Residential Anytime Export net metered</t>
  </si>
  <si>
    <t>Effective 1 July 2015</t>
  </si>
  <si>
    <t xml:space="preserve">LV TOU &lt;160MWh </t>
  </si>
  <si>
    <t>NSW Solar bonus scheme retailer contribution applicable to retailers who have customers on the Solar bonus scheme. Refer to Section 1.1 for GST application. From IPARTs Solar Feed-in Tariffs, dated June 2014. To be confirmed by IPART</t>
  </si>
  <si>
    <t>Essential Energy Interim Network Price List (Excluding GST)</t>
  </si>
  <si>
    <t>Explanation</t>
  </si>
  <si>
    <t xml:space="preserve">BLNT3AU LV Residential TOU  </t>
  </si>
  <si>
    <t>Premises wholly used as a private dwelling where consumption does not exceed 160 MWh per year and they have a TOU capable meter.</t>
  </si>
  <si>
    <t>BLNC1AU Controlled Load 1</t>
  </si>
  <si>
    <t>To all residential and business premises where the premise has another primary metering point present at the same metering point as the secondary load and the load is remotely controlled.  Applicable to loads such as water heating, swimming pool pumps etc.  Loads must be permanently connected or on a dedicated power circuit with indicators to show when supply is available.  Supply will be made available for 5 to 9 hours overnight on weekdays and extra hours on weekends except where the load is controlled by a time clock.  Note: This tariff is not available for the top boost element of a two element water heater for new connections.</t>
  </si>
  <si>
    <t>BLNC2AU Controlled Load 2</t>
  </si>
  <si>
    <t>To all residential and business premises where the premise has another primary metering point present and at the same metering point as the secondary load and the load is remotely controlled.  Applicable to loads such as water heating, swimming pool pumps, heat pumps etc.  Loads must be permanently connected or on a dedicated power circuit with indicators to show when supply is available.  Supply will be made available for 10 to 18 hours per day on weekdays and all hours on weekends except where the load is controlled by a time clock.</t>
  </si>
  <si>
    <t>BLNE21AU Anytime Export Gross metered</t>
  </si>
  <si>
    <t>Residential premises with a gross metered export tariff and no rebate applicable</t>
  </si>
  <si>
    <t>BLNE23AU Anytime Export Net metered</t>
  </si>
  <si>
    <t>Residential premises with a net metered export tariff and no rebate applicable</t>
  </si>
  <si>
    <t>BLNE20AU Anytime Export Gross metered</t>
  </si>
  <si>
    <t>Business premises with a gross metered export tariff and no rebate applicable</t>
  </si>
  <si>
    <t>BLNE22AU Anytime Export Net metered</t>
  </si>
  <si>
    <t>Business premises with a net metered export tariff and no rebate applicable</t>
  </si>
  <si>
    <t>BLNE0AU Ineligible Export</t>
  </si>
  <si>
    <t>Where application to connect to grid has not yet been approved.</t>
  </si>
  <si>
    <t>BLNE26AU QLD Government Solar Bonus</t>
  </si>
  <si>
    <t>BLNE27AU QLD Government Solar Bonus</t>
  </si>
  <si>
    <r>
      <t>QLD Government Solar bonus scheme for eligible business customers located in</t>
    </r>
    <r>
      <rPr>
        <b/>
        <sz val="9"/>
        <rFont val="Arial"/>
        <family val="2"/>
      </rPr>
      <t xml:space="preserve"> </t>
    </r>
    <r>
      <rPr>
        <sz val="9"/>
        <rFont val="Arial"/>
        <family val="2"/>
      </rPr>
      <t>Qld but connected to Essential Energy's Distribution Network.</t>
    </r>
  </si>
  <si>
    <t>BLNT2AU LV TOU &lt;100MWh</t>
  </si>
  <si>
    <t>Business premises whose consumption does not exceed 100 MWh per year and they have a TOU capable meter.</t>
  </si>
  <si>
    <t>BLNT1AO LV TOU &lt;160MWh</t>
  </si>
  <si>
    <t>Only available to business premises whose consumption does not exceed 160 MWh per year.</t>
  </si>
  <si>
    <r>
      <t>BLND3AO LV TOU Demand 3</t>
    </r>
    <r>
      <rPr>
        <sz val="9"/>
        <rFont val="Arial"/>
        <family val="2"/>
      </rPr>
      <t xml:space="preserve"> </t>
    </r>
    <r>
      <rPr>
        <b/>
        <sz val="9"/>
        <rFont val="Arial"/>
        <family val="2"/>
      </rPr>
      <t>Rate</t>
    </r>
    <r>
      <rPr>
        <sz val="9"/>
        <rFont val="Arial"/>
        <family val="2"/>
      </rPr>
      <t xml:space="preserve">  </t>
    </r>
  </si>
  <si>
    <t xml:space="preserve">Business premises whose consumption exceeds 160MWh per year and connected to the LV Distribution System. </t>
  </si>
  <si>
    <r>
      <t>BLNS1AO LV TOU Avg daily Demand</t>
    </r>
    <r>
      <rPr>
        <sz val="9"/>
        <rFont val="Arial"/>
        <family val="2"/>
      </rPr>
      <t xml:space="preserve">  </t>
    </r>
  </si>
  <si>
    <t>1.  The daily kVA maximum demand in each of the Peak, Shoulder and Off Peak periods will be metered for each day of the month.</t>
  </si>
  <si>
    <t>2.  The metered kVA Demand for each day of the Peak, Shoulder and Off-Peak periods will be summed for the month and divided by the number of days in the month when the load occurs.  This means that Peak and Shoulder Demand will be divided by the number of week days, and Off Peak Demand by the total number of days.</t>
  </si>
  <si>
    <t>3.  The average TOU Demand calculated above will be multiplied by the TOU Demand rates.</t>
  </si>
  <si>
    <t xml:space="preserve">4.  No adjustments to billable demand shall be made for pre-season “test runs”.          </t>
  </si>
  <si>
    <r>
      <t>BLND3TO LV TOU Demand Alternative Tariff</t>
    </r>
    <r>
      <rPr>
        <sz val="9"/>
        <rFont val="Arial"/>
        <family val="2"/>
      </rPr>
      <t xml:space="preserve">  </t>
    </r>
  </si>
  <si>
    <t xml:space="preserve">The Demand Charge is based on the highest measured half-hour kVA demand registered in either the peak or shoulder periods during the month.  </t>
  </si>
  <si>
    <t>BHND3AO HV TOU Mthly Demand</t>
  </si>
  <si>
    <t>Business premises whose consumption is connected to the HV Distribution System and metered at HV.</t>
  </si>
  <si>
    <r>
      <t>BHNS1AO</t>
    </r>
    <r>
      <rPr>
        <b/>
        <sz val="11"/>
        <rFont val="Franklin Gothic Book"/>
        <family val="2"/>
      </rPr>
      <t xml:space="preserve"> </t>
    </r>
    <r>
      <rPr>
        <b/>
        <sz val="9"/>
        <rFont val="Arial"/>
        <family val="2"/>
      </rPr>
      <t>HV TOU Avg daily Demand</t>
    </r>
    <r>
      <rPr>
        <sz val="9"/>
        <rFont val="Arial"/>
        <family val="2"/>
      </rPr>
      <t xml:space="preserve">  </t>
    </r>
  </si>
  <si>
    <t>2.  The metered kVA Demand for each day of the Peak, Shoulder and Off-Peak periods will be summed for the month and divided by the number of days in the month when the load occurs.  This means that Peak and Shoulder Demand will be divided by the number of week days.  Off Peak Demand by the total number of days.</t>
  </si>
  <si>
    <t xml:space="preserve">4.  No adjustments to billable demand shall be made for pre-season “test runs”.       </t>
  </si>
  <si>
    <t>BSSD3AO Sub Trans 3 Rate Demand</t>
  </si>
  <si>
    <t>Applicable to connections at a subtransmission voltage as defined by Essential Energy.  Please note that this tariff is not applicable for connection to dual purpose subtransmission/distribution circuits</t>
  </si>
  <si>
    <t>BLNP1AO LV Unmetered NUOS</t>
  </si>
  <si>
    <t>Refer to Unmetered Supply section 2 Definitions. All new unmetered supply connections will have this tariff applied.</t>
  </si>
  <si>
    <t>BLNP3AO LV Public Street Lighting TOU NUOS</t>
  </si>
  <si>
    <t>Refer to Unmetered Supply section 2 Definitions. All new public street lighting connections will have this tariff applied.</t>
  </si>
  <si>
    <t xml:space="preserve">Customer specific prices </t>
  </si>
  <si>
    <t>Refer Explanatory Notes 1.7 Customer Specific (cost reflective network prices)</t>
  </si>
  <si>
    <t>EXPLANATION OF NETWORK TARIFFS</t>
  </si>
  <si>
    <r>
      <rPr>
        <sz val="9"/>
        <rFont val="Arial"/>
        <family val="2"/>
      </rPr>
      <t>QLD Government Solar bonus scheme for eligible residential customers located in</t>
    </r>
    <r>
      <rPr>
        <b/>
        <sz val="9"/>
        <rFont val="Arial"/>
        <family val="2"/>
      </rPr>
      <t xml:space="preserve"> </t>
    </r>
    <r>
      <rPr>
        <sz val="9"/>
        <rFont val="Arial"/>
        <family val="2"/>
      </rPr>
      <t>Qld but connected to Essential Energy's Distribution Network.</t>
    </r>
  </si>
  <si>
    <t>BLNT3AL</t>
  </si>
  <si>
    <t>LV Residential TOU_Interval meter</t>
  </si>
  <si>
    <t>BLND1AR</t>
  </si>
  <si>
    <t>BLNT1SU</t>
  </si>
  <si>
    <t>BLNT2AL</t>
  </si>
  <si>
    <t>LV Business TOU_Interval meter</t>
  </si>
  <si>
    <t>BLND1AB</t>
  </si>
  <si>
    <t>Anytime</t>
  </si>
  <si>
    <t>BLNDTRS</t>
  </si>
  <si>
    <t>Transitional Demand</t>
  </si>
  <si>
    <r>
      <t xml:space="preserve">Essential Energy </t>
    </r>
    <r>
      <rPr>
        <sz val="26"/>
        <color indexed="9"/>
        <rFont val="Arial"/>
        <family val="2"/>
      </rPr>
      <t>Network Price List - DUOS Component (Excluding GST)</t>
    </r>
  </si>
  <si>
    <t>Essential Energy Network Price List - TUOS Component (Excluding GST)</t>
  </si>
  <si>
    <t>Essential Energy Network Price List - CCF Component (Excluding GST)</t>
  </si>
  <si>
    <t>Essential Energy Network Price List - QSS Component (Excluding GST)</t>
  </si>
  <si>
    <t>LV Residential Anytime</t>
  </si>
  <si>
    <t>LV Small Business Anytime</t>
  </si>
  <si>
    <t>Small Residential - Opt in Demand</t>
  </si>
  <si>
    <t>Small Business - Opt in Demand</t>
  </si>
  <si>
    <t>BLNN2AU  LV Residential Anytime</t>
  </si>
  <si>
    <t xml:space="preserve">Premises wholly used as a private dwelling where consumption does not exceed 160 MWh per year. </t>
  </si>
  <si>
    <t>BLNT3AL LV Residential TOU_Interval meter</t>
  </si>
  <si>
    <t>BLND1AR Small Residential - Opt in Demand</t>
  </si>
  <si>
    <r>
      <t>BLNN1AU</t>
    </r>
    <r>
      <rPr>
        <b/>
        <sz val="11"/>
        <rFont val="Franklin Gothic Book"/>
        <family val="2"/>
      </rPr>
      <t xml:space="preserve"> </t>
    </r>
    <r>
      <rPr>
        <b/>
        <sz val="9"/>
        <rFont val="Arial"/>
        <family val="2"/>
      </rPr>
      <t>LV Small Business Anytime</t>
    </r>
  </si>
  <si>
    <t xml:space="preserve">Business premises whose consumption does not exceed 100 MWh per year.  </t>
  </si>
  <si>
    <t>BLNT2AL LV Business TOU_Interval meter</t>
  </si>
  <si>
    <t>BLND1AB Small Business - Opt in Demand</t>
  </si>
  <si>
    <t>BLNDTRS Transitional Demand</t>
  </si>
  <si>
    <t>Premises wholly used as a private dwelling where consumption does not exceed 160 MWh per year and they have an Interval capable meter.</t>
  </si>
  <si>
    <t>Business premises whose consumption does not exceed 100 MWh per year and they have an Interval capable meter.</t>
  </si>
  <si>
    <t xml:space="preserve">Eligible customers will be automatically assigned to this tariff by Essential Energy and it is not available by request. 
This tariff is for customers that have been identified on an Anytime tariff or Time-of-Use tariff but do not meet the associated eligibility requirements for those tariffs. 
Applies from 1 July 2017 and will be assigned to customers who would otherwise be worse off from being moved to the applicable Demand tariff at that date. The tariff will transition over 5 years to the rate of BLND3AO
1. Low voltage connection
2. Premises where consumption exceeds 160 MWh per year
3. Interval capable meter </t>
  </si>
  <si>
    <r>
      <t xml:space="preserve">Essential Energy </t>
    </r>
    <r>
      <rPr>
        <sz val="26"/>
        <color indexed="9"/>
        <rFont val="Arial"/>
        <family val="2"/>
      </rPr>
      <t>Network Price List (Excluding GST)</t>
    </r>
  </si>
  <si>
    <t>Essential Energy Network Price List (Excluding GST)</t>
  </si>
  <si>
    <t>Essential Energy Network Price List (Including GST)</t>
  </si>
  <si>
    <t>LV ToU &lt;160 MWh</t>
  </si>
  <si>
    <t>Only available to business premises whose consumption does not exceed 160 MWh per year. New customers should be connected on BLNT1AO</t>
  </si>
  <si>
    <t>Not available to new customers. Customers who have a monthly load factor greater than 60% for at least 4 of the most recent 12 months coinciding with a minimum on season anytime monthly demand of 1500 kVA. This is intended for customers with a seasonal demand. Demand Charges will be calculated as follows:</t>
  </si>
  <si>
    <t>Not available to new customers. Business premises whose consumption is connected to the HV Distribution System and metered at HV. Available to customers who have a monthly load factor greater than 60% for at least 4 of the most recent 12 months coinciding with a minimum on season anytime monthly demand of 1500 kVA. (The minimum demand and load factor requirements will be waived where a generator supports a substantial part of the load on the load side of the meter.) This is intended for customers with a seasonal demand. Demand Charges will be calculated as follows:</t>
  </si>
  <si>
    <t>Effective 1 July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</si>
</sst>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00_-;\-* #,##0.0000_-;_-* &quot;-&quot;??_-;_-@_-"/>
    <numFmt numFmtId="165" formatCode="#,##0.0000_ ;[Red]\-#,##0.0000\ "/>
    <numFmt numFmtId="166" formatCode="#,##0.0000;\-#,##0.0000"/>
  </numFmts>
  <fonts count="27" x14ac:knownFonts="1">
    <font>
      <sz val="11"/>
      <name val="Franklin Gothic Book"/>
    </font>
    <font>
      <sz val="11"/>
      <name val="Franklin Gothic Book"/>
      <family val="2"/>
    </font>
    <font>
      <sz val="10"/>
      <name val="Arial"/>
      <family val="2"/>
    </font>
    <font>
      <sz val="11"/>
      <color indexed="9"/>
      <name val="Arial"/>
      <family val="2"/>
    </font>
    <font>
      <sz val="26"/>
      <color indexed="9"/>
      <name val="Arial"/>
      <family val="2"/>
    </font>
    <font>
      <b/>
      <sz val="12"/>
      <color indexed="9"/>
      <name val="Arial"/>
      <family val="2"/>
    </font>
    <font>
      <sz val="11"/>
      <name val="Arial"/>
      <family val="2"/>
    </font>
    <font>
      <sz val="12"/>
      <color indexed="9"/>
      <name val="Arial"/>
      <family val="2"/>
    </font>
    <font>
      <b/>
      <sz val="11"/>
      <color indexed="9"/>
      <name val="Arial"/>
      <family val="2"/>
    </font>
    <font>
      <b/>
      <sz val="10"/>
      <color indexed="9"/>
      <name val="Arial"/>
      <family val="2"/>
    </font>
    <font>
      <b/>
      <sz val="11"/>
      <color indexed="8"/>
      <name val="Arial"/>
      <family val="2"/>
    </font>
    <font>
      <sz val="11"/>
      <color indexed="8"/>
      <name val="Arial"/>
      <family val="2"/>
    </font>
    <font>
      <sz val="11"/>
      <color rgb="FFFF0000"/>
      <name val="Arial"/>
      <family val="2"/>
    </font>
    <font>
      <sz val="11"/>
      <color theme="1"/>
      <name val="Arial"/>
      <family val="2"/>
    </font>
    <font>
      <sz val="11"/>
      <color indexed="10"/>
      <name val="Arial"/>
      <family val="2"/>
    </font>
    <font>
      <sz val="14"/>
      <name val="Arial"/>
      <family val="2"/>
    </font>
    <font>
      <b/>
      <sz val="14"/>
      <color indexed="8"/>
      <name val="Arial"/>
      <family val="2"/>
    </font>
    <font>
      <sz val="14"/>
      <color indexed="8"/>
      <name val="Arial"/>
      <family val="2"/>
    </font>
    <font>
      <b/>
      <sz val="11"/>
      <name val="Franklin Gothic Book"/>
      <family val="2"/>
    </font>
    <font>
      <b/>
      <sz val="11"/>
      <color rgb="FFFFFFFF"/>
      <name val="Arial"/>
      <family val="2"/>
    </font>
    <font>
      <b/>
      <sz val="9"/>
      <name val="Arial"/>
      <family val="2"/>
    </font>
    <font>
      <sz val="9"/>
      <name val="Arial"/>
      <family val="2"/>
    </font>
    <font>
      <sz val="26"/>
      <color theme="0"/>
      <name val="Arial"/>
      <family val="2"/>
    </font>
    <font>
      <sz val="11"/>
      <color theme="0"/>
      <name val="Arial"/>
      <family val="2"/>
    </font>
    <font>
      <b/>
      <sz val="12"/>
      <color theme="0"/>
      <name val="Arial"/>
      <family val="2"/>
    </font>
    <font>
      <sz val="12"/>
      <color theme="0"/>
      <name val="Arial"/>
      <family val="2"/>
    </font>
    <font>
      <b/>
      <sz val="11"/>
      <color theme="0"/>
      <name val="Arial"/>
      <family val="2"/>
    </font>
  </fonts>
  <fills count="9">
    <fill>
      <patternFill patternType="none"/>
    </fill>
    <fill>
      <patternFill patternType="gray125"/>
    </fill>
    <fill>
      <patternFill patternType="solid">
        <fgColor indexed="41"/>
        <bgColor indexed="64"/>
      </patternFill>
    </fill>
    <fill>
      <patternFill patternType="solid">
        <fgColor indexed="23"/>
        <bgColor indexed="64"/>
      </patternFill>
    </fill>
    <fill>
      <patternFill patternType="solid">
        <fgColor indexed="22"/>
        <bgColor indexed="64"/>
      </patternFill>
    </fill>
    <fill>
      <patternFill patternType="solid">
        <fgColor theme="0"/>
        <bgColor indexed="64"/>
      </patternFill>
    </fill>
    <fill>
      <patternFill patternType="solid">
        <fgColor theme="0" tint="-0.249977111117893"/>
        <bgColor indexed="64"/>
      </patternFill>
    </fill>
    <fill>
      <patternFill patternType="solid">
        <fgColor rgb="FF006A71"/>
        <bgColor indexed="64"/>
      </patternFill>
    </fill>
    <fill>
      <patternFill patternType="solid">
        <fgColor rgb="FF808080"/>
        <bgColor indexed="64"/>
      </patternFill>
    </fill>
  </fills>
  <borders count="23">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rgb="FF006A71"/>
      </left>
      <right style="medium">
        <color rgb="FF006A71"/>
      </right>
      <top style="medium">
        <color rgb="FF006A71"/>
      </top>
      <bottom style="medium">
        <color rgb="FF006A71"/>
      </bottom>
      <diagonal/>
    </border>
    <border>
      <left/>
      <right style="medium">
        <color rgb="FF006A71"/>
      </right>
      <top style="medium">
        <color rgb="FF006A71"/>
      </top>
      <bottom style="medium">
        <color rgb="FF006A71"/>
      </bottom>
      <diagonal/>
    </border>
    <border>
      <left style="medium">
        <color rgb="FF006A71"/>
      </left>
      <right style="medium">
        <color rgb="FF006A71"/>
      </right>
      <top/>
      <bottom style="medium">
        <color rgb="FF006A71"/>
      </bottom>
      <diagonal/>
    </border>
    <border>
      <left style="medium">
        <color rgb="FF006A71"/>
      </left>
      <right style="medium">
        <color rgb="FF006A71"/>
      </right>
      <top/>
      <bottom/>
      <diagonal/>
    </border>
    <border>
      <left/>
      <right style="medium">
        <color rgb="FF006A71"/>
      </right>
      <top/>
      <bottom style="medium">
        <color rgb="FF006A71"/>
      </bottom>
      <diagonal/>
    </border>
    <border>
      <left/>
      <right style="medium">
        <color rgb="FF006A71"/>
      </right>
      <top/>
      <bottom/>
      <diagonal/>
    </border>
    <border>
      <left style="medium">
        <color rgb="FF006A71"/>
      </left>
      <right style="medium">
        <color rgb="FF006A71"/>
      </right>
      <top style="medium">
        <color rgb="FF006A71"/>
      </top>
      <bottom/>
      <diagonal/>
    </border>
  </borders>
  <cellStyleXfs count="3">
    <xf numFmtId="0" fontId="0" fillId="0" borderId="0"/>
    <xf numFmtId="43" fontId="1" fillId="0" borderId="0" applyFont="0" applyFill="0" applyBorder="0" applyAlignment="0" applyProtection="0"/>
    <xf numFmtId="3" fontId="2" fillId="2" borderId="0" applyNumberFormat="0" applyFont="0" applyBorder="0" applyAlignment="0">
      <alignment horizontal="right"/>
      <protection locked="0"/>
    </xf>
  </cellStyleXfs>
  <cellXfs count="177">
    <xf numFmtId="0" fontId="0" fillId="0" borderId="0" xfId="0"/>
    <xf numFmtId="0" fontId="3" fillId="5" borderId="0" xfId="0" applyFont="1" applyFill="1"/>
    <xf numFmtId="0" fontId="4" fillId="3" borderId="1" xfId="0" applyFont="1" applyFill="1" applyBorder="1" applyAlignment="1">
      <alignment horizontal="left"/>
    </xf>
    <xf numFmtId="0" fontId="4" fillId="3" borderId="14" xfId="0" applyFont="1" applyFill="1" applyBorder="1" applyAlignment="1">
      <alignment horizontal="left"/>
    </xf>
    <xf numFmtId="0" fontId="3" fillId="3" borderId="14" xfId="0" applyFont="1" applyFill="1" applyBorder="1" applyAlignment="1"/>
    <xf numFmtId="0" fontId="5" fillId="3" borderId="14" xfId="0" applyFont="1" applyFill="1" applyBorder="1" applyAlignment="1">
      <alignment horizontal="center"/>
    </xf>
    <xf numFmtId="0" fontId="3" fillId="3" borderId="14" xfId="0" applyFont="1" applyFill="1" applyBorder="1"/>
    <xf numFmtId="0" fontId="3" fillId="3" borderId="3" xfId="0" applyFont="1" applyFill="1" applyBorder="1"/>
    <xf numFmtId="0" fontId="6" fillId="0" borderId="0" xfId="0" applyFont="1"/>
    <xf numFmtId="0" fontId="3" fillId="3" borderId="0" xfId="0" applyFont="1" applyFill="1" applyBorder="1"/>
    <xf numFmtId="0" fontId="3" fillId="3" borderId="6" xfId="0" applyFont="1" applyFill="1" applyBorder="1"/>
    <xf numFmtId="0" fontId="8" fillId="3" borderId="7" xfId="0" applyFont="1" applyFill="1" applyBorder="1"/>
    <xf numFmtId="0" fontId="8" fillId="3" borderId="15" xfId="0" applyFont="1" applyFill="1" applyBorder="1"/>
    <xf numFmtId="0" fontId="3" fillId="3" borderId="15" xfId="0" applyFont="1" applyFill="1" applyBorder="1"/>
    <xf numFmtId="0" fontId="3" fillId="3" borderId="9" xfId="0" applyFont="1" applyFill="1" applyBorder="1"/>
    <xf numFmtId="0" fontId="6" fillId="5" borderId="0" xfId="0" applyFont="1" applyFill="1"/>
    <xf numFmtId="0" fontId="6" fillId="5" borderId="0" xfId="0" applyFont="1" applyFill="1" applyAlignment="1">
      <alignment wrapText="1"/>
    </xf>
    <xf numFmtId="0" fontId="9" fillId="3" borderId="8" xfId="0" applyFont="1" applyFill="1" applyBorder="1" applyAlignment="1" applyProtection="1">
      <alignment horizontal="center" wrapText="1"/>
    </xf>
    <xf numFmtId="0" fontId="6" fillId="0" borderId="0" xfId="0" applyFont="1" applyAlignment="1">
      <alignment wrapText="1"/>
    </xf>
    <xf numFmtId="43" fontId="11" fillId="0" borderId="10" xfId="1" applyFont="1" applyFill="1" applyBorder="1" applyAlignment="1" applyProtection="1">
      <alignment horizontal="left" vertical="center"/>
      <protection locked="0"/>
    </xf>
    <xf numFmtId="43" fontId="11" fillId="0" borderId="10" xfId="1" applyFont="1" applyFill="1" applyBorder="1" applyAlignment="1" applyProtection="1">
      <alignment horizontal="left" vertical="center" wrapText="1"/>
      <protection locked="0"/>
    </xf>
    <xf numFmtId="164" fontId="6" fillId="0" borderId="10" xfId="1" applyNumberFormat="1" applyFont="1" applyFill="1" applyBorder="1" applyAlignment="1" applyProtection="1">
      <alignment horizontal="center" vertical="center"/>
      <protection locked="0"/>
    </xf>
    <xf numFmtId="0" fontId="6" fillId="0" borderId="0" xfId="0" applyFont="1" applyFill="1" applyBorder="1"/>
    <xf numFmtId="0" fontId="10" fillId="4" borderId="2" xfId="0" applyFont="1" applyFill="1" applyBorder="1" applyProtection="1">
      <protection locked="0"/>
    </xf>
    <xf numFmtId="0" fontId="11" fillId="4" borderId="1" xfId="0" applyFont="1" applyFill="1" applyBorder="1" applyProtection="1">
      <protection locked="0"/>
    </xf>
    <xf numFmtId="164" fontId="11" fillId="4" borderId="2" xfId="1" applyNumberFormat="1" applyFont="1" applyFill="1" applyBorder="1" applyAlignment="1" applyProtection="1">
      <alignment horizontal="left"/>
      <protection locked="0"/>
    </xf>
    <xf numFmtId="43" fontId="13" fillId="5" borderId="10" xfId="1" applyFont="1" applyFill="1" applyBorder="1" applyAlignment="1" applyProtection="1">
      <alignment horizontal="left" vertical="center"/>
      <protection locked="0"/>
    </xf>
    <xf numFmtId="164" fontId="11" fillId="0" borderId="10" xfId="1" applyNumberFormat="1" applyFont="1" applyFill="1" applyBorder="1" applyAlignment="1" applyProtection="1">
      <alignment horizontal="center" vertical="center"/>
      <protection locked="0"/>
    </xf>
    <xf numFmtId="0" fontId="12" fillId="5" borderId="6" xfId="0" applyFont="1" applyFill="1" applyBorder="1" applyAlignment="1">
      <alignment vertical="center" wrapText="1"/>
    </xf>
    <xf numFmtId="0" fontId="12" fillId="0" borderId="6" xfId="0" applyFont="1" applyFill="1" applyBorder="1" applyAlignment="1">
      <alignment vertical="center" wrapText="1"/>
    </xf>
    <xf numFmtId="43" fontId="13" fillId="0" borderId="10" xfId="1" applyFont="1" applyFill="1" applyBorder="1" applyAlignment="1" applyProtection="1">
      <alignment horizontal="left" vertical="center"/>
      <protection locked="0"/>
    </xf>
    <xf numFmtId="165" fontId="11" fillId="0" borderId="10" xfId="1" applyNumberFormat="1" applyFont="1" applyFill="1" applyBorder="1" applyAlignment="1" applyProtection="1">
      <alignment horizontal="center" vertical="center"/>
      <protection locked="0"/>
    </xf>
    <xf numFmtId="0" fontId="6" fillId="0" borderId="0" xfId="0" applyFont="1" applyFill="1"/>
    <xf numFmtId="43" fontId="11" fillId="0" borderId="11" xfId="1" applyFont="1" applyFill="1" applyBorder="1" applyAlignment="1" applyProtection="1">
      <alignment horizontal="left" vertical="center" wrapText="1"/>
      <protection locked="0"/>
    </xf>
    <xf numFmtId="43" fontId="11" fillId="0" borderId="0" xfId="1" applyFont="1" applyFill="1" applyBorder="1" applyAlignment="1" applyProtection="1">
      <alignment horizontal="left" vertical="center" wrapText="1"/>
      <protection locked="0"/>
    </xf>
    <xf numFmtId="43" fontId="11" fillId="0" borderId="0" xfId="1" applyFont="1" applyFill="1" applyBorder="1" applyAlignment="1" applyProtection="1">
      <alignment horizontal="center" vertical="center" wrapText="1"/>
      <protection locked="0"/>
    </xf>
    <xf numFmtId="164" fontId="11" fillId="0" borderId="0" xfId="1" applyNumberFormat="1" applyFont="1" applyFill="1" applyBorder="1" applyAlignment="1" applyProtection="1">
      <alignment horizontal="center" vertical="center"/>
      <protection locked="0"/>
    </xf>
    <xf numFmtId="1" fontId="8" fillId="3" borderId="2" xfId="0" applyNumberFormat="1" applyFont="1" applyFill="1" applyBorder="1" applyAlignment="1" applyProtection="1">
      <alignment horizontal="center"/>
    </xf>
    <xf numFmtId="0" fontId="8" fillId="3" borderId="2" xfId="0" applyFont="1" applyFill="1" applyBorder="1" applyAlignment="1" applyProtection="1">
      <alignment horizontal="center"/>
    </xf>
    <xf numFmtId="1" fontId="8" fillId="3" borderId="2" xfId="0" applyNumberFormat="1" applyFont="1" applyFill="1" applyBorder="1" applyAlignment="1" applyProtection="1">
      <alignment horizontal="left"/>
    </xf>
    <xf numFmtId="0" fontId="8" fillId="3" borderId="5" xfId="0" applyFont="1" applyFill="1" applyBorder="1" applyAlignment="1" applyProtection="1">
      <alignment horizontal="center"/>
    </xf>
    <xf numFmtId="0" fontId="8" fillId="3" borderId="5" xfId="0" applyFont="1" applyFill="1" applyBorder="1" applyAlignment="1" applyProtection="1">
      <alignment horizontal="left"/>
    </xf>
    <xf numFmtId="0" fontId="6" fillId="5" borderId="0" xfId="0" applyFont="1" applyFill="1" applyBorder="1" applyAlignment="1">
      <alignment wrapText="1"/>
    </xf>
    <xf numFmtId="0" fontId="6" fillId="0" borderId="0" xfId="0" applyFont="1" applyBorder="1" applyAlignment="1">
      <alignment wrapText="1"/>
    </xf>
    <xf numFmtId="164" fontId="11" fillId="4" borderId="3" xfId="1" applyNumberFormat="1" applyFont="1" applyFill="1" applyBorder="1" applyAlignment="1" applyProtection="1">
      <alignment horizontal="left"/>
      <protection locked="0"/>
    </xf>
    <xf numFmtId="0" fontId="14" fillId="5" borderId="0" xfId="0" applyFont="1" applyFill="1"/>
    <xf numFmtId="0" fontId="14" fillId="0" borderId="0" xfId="0" applyFont="1"/>
    <xf numFmtId="0" fontId="3" fillId="3" borderId="1" xfId="0" applyFont="1" applyFill="1" applyBorder="1" applyAlignment="1" applyProtection="1">
      <alignment horizontal="left"/>
    </xf>
    <xf numFmtId="0" fontId="3" fillId="3" borderId="3" xfId="0" applyFont="1" applyFill="1" applyBorder="1" applyAlignment="1" applyProtection="1">
      <alignment horizontal="left"/>
    </xf>
    <xf numFmtId="0" fontId="8" fillId="3" borderId="4" xfId="0" applyFont="1" applyFill="1" applyBorder="1" applyProtection="1"/>
    <xf numFmtId="0" fontId="3" fillId="3" borderId="4" xfId="0" applyFont="1" applyFill="1" applyBorder="1" applyAlignment="1" applyProtection="1">
      <alignment horizontal="left"/>
    </xf>
    <xf numFmtId="0" fontId="3" fillId="3" borderId="6" xfId="0" applyFont="1" applyFill="1" applyBorder="1" applyAlignment="1" applyProtection="1">
      <alignment horizontal="left"/>
    </xf>
    <xf numFmtId="0" fontId="3" fillId="3" borderId="7" xfId="0" applyFont="1" applyFill="1" applyBorder="1" applyAlignment="1" applyProtection="1">
      <alignment horizontal="left" wrapText="1"/>
    </xf>
    <xf numFmtId="0" fontId="8" fillId="3" borderId="2" xfId="0" applyFont="1" applyFill="1" applyBorder="1" applyAlignment="1" applyProtection="1">
      <alignment horizontal="left"/>
    </xf>
    <xf numFmtId="0" fontId="8" fillId="3" borderId="5" xfId="0" applyFont="1" applyFill="1" applyBorder="1" applyProtection="1"/>
    <xf numFmtId="0" fontId="8" fillId="3" borderId="7" xfId="0" applyFont="1" applyFill="1" applyBorder="1" applyAlignment="1" applyProtection="1">
      <alignment horizontal="left" wrapText="1"/>
    </xf>
    <xf numFmtId="164" fontId="6" fillId="0" borderId="0" xfId="0" applyNumberFormat="1" applyFont="1" applyFill="1" applyBorder="1"/>
    <xf numFmtId="1" fontId="8" fillId="3" borderId="5" xfId="0" applyNumberFormat="1" applyFont="1" applyFill="1" applyBorder="1" applyAlignment="1" applyProtection="1">
      <alignment horizontal="center"/>
    </xf>
    <xf numFmtId="0" fontId="8" fillId="3" borderId="8" xfId="0" applyFont="1" applyFill="1" applyBorder="1" applyAlignment="1" applyProtection="1">
      <alignment horizontal="center" wrapText="1"/>
    </xf>
    <xf numFmtId="0" fontId="15" fillId="5" borderId="0" xfId="0" applyFont="1" applyFill="1"/>
    <xf numFmtId="0" fontId="16" fillId="4" borderId="2" xfId="0" applyFont="1" applyFill="1" applyBorder="1" applyProtection="1"/>
    <xf numFmtId="0" fontId="16" fillId="4" borderId="5" xfId="0" applyFont="1" applyFill="1" applyBorder="1" applyProtection="1"/>
    <xf numFmtId="0" fontId="17" fillId="4" borderId="1" xfId="0" applyFont="1" applyFill="1" applyBorder="1" applyProtection="1"/>
    <xf numFmtId="0" fontId="17" fillId="4" borderId="3" xfId="0" applyFont="1" applyFill="1" applyBorder="1" applyProtection="1"/>
    <xf numFmtId="0" fontId="16" fillId="4" borderId="2" xfId="0" applyFont="1" applyFill="1" applyBorder="1" applyAlignment="1" applyProtection="1">
      <alignment horizontal="center"/>
    </xf>
    <xf numFmtId="0" fontId="15" fillId="0" borderId="0" xfId="0" applyFont="1"/>
    <xf numFmtId="43" fontId="17" fillId="4" borderId="4" xfId="1" applyFont="1" applyFill="1" applyBorder="1" applyAlignment="1" applyProtection="1">
      <alignment horizontal="left"/>
      <protection locked="0"/>
    </xf>
    <xf numFmtId="43" fontId="17" fillId="4" borderId="6" xfId="1" applyFont="1" applyFill="1" applyBorder="1" applyAlignment="1" applyProtection="1">
      <alignment horizontal="left"/>
      <protection locked="0"/>
    </xf>
    <xf numFmtId="164" fontId="17" fillId="4" borderId="5" xfId="1" applyNumberFormat="1" applyFont="1" applyFill="1" applyBorder="1" applyAlignment="1" applyProtection="1">
      <alignment horizontal="right"/>
      <protection locked="0"/>
    </xf>
    <xf numFmtId="164" fontId="17" fillId="4" borderId="5" xfId="1" applyNumberFormat="1" applyFont="1" applyFill="1" applyBorder="1" applyAlignment="1" applyProtection="1">
      <alignment horizontal="left"/>
      <protection locked="0"/>
    </xf>
    <xf numFmtId="0" fontId="15" fillId="0" borderId="0" xfId="0" applyFont="1" applyFill="1" applyBorder="1"/>
    <xf numFmtId="0" fontId="16" fillId="4" borderId="2" xfId="0" applyFont="1" applyFill="1" applyBorder="1" applyProtection="1">
      <protection locked="0"/>
    </xf>
    <xf numFmtId="0" fontId="17" fillId="4" borderId="1" xfId="0" applyFont="1" applyFill="1" applyBorder="1" applyProtection="1">
      <protection locked="0"/>
    </xf>
    <xf numFmtId="0" fontId="17" fillId="4" borderId="3" xfId="0" applyFont="1" applyFill="1" applyBorder="1" applyProtection="1">
      <protection locked="0"/>
    </xf>
    <xf numFmtId="164" fontId="17" fillId="4" borderId="2" xfId="1" applyNumberFormat="1" applyFont="1" applyFill="1" applyBorder="1" applyAlignment="1" applyProtection="1">
      <alignment horizontal="left"/>
      <protection locked="0"/>
    </xf>
    <xf numFmtId="164" fontId="17" fillId="4" borderId="2" xfId="1" applyNumberFormat="1" applyFont="1" applyFill="1" applyBorder="1" applyAlignment="1" applyProtection="1">
      <alignment horizontal="center"/>
      <protection locked="0"/>
    </xf>
    <xf numFmtId="164" fontId="17" fillId="4" borderId="3" xfId="1" applyNumberFormat="1" applyFont="1" applyFill="1" applyBorder="1" applyAlignment="1" applyProtection="1">
      <alignment horizontal="left"/>
      <protection locked="0"/>
    </xf>
    <xf numFmtId="0" fontId="7" fillId="3" borderId="7" xfId="0" applyFont="1" applyFill="1" applyBorder="1" applyAlignment="1">
      <alignment horizontal="left"/>
    </xf>
    <xf numFmtId="0" fontId="7" fillId="3" borderId="15" xfId="0" applyFont="1" applyFill="1" applyBorder="1" applyAlignment="1">
      <alignment horizontal="left"/>
    </xf>
    <xf numFmtId="0" fontId="5" fillId="3" borderId="15" xfId="0" applyFont="1" applyFill="1" applyBorder="1" applyAlignment="1">
      <alignment horizontal="center"/>
    </xf>
    <xf numFmtId="43" fontId="11" fillId="6" borderId="10" xfId="1" applyFont="1" applyFill="1" applyBorder="1" applyAlignment="1" applyProtection="1">
      <alignment horizontal="left" vertical="center"/>
      <protection locked="0"/>
    </xf>
    <xf numFmtId="43" fontId="11" fillId="6" borderId="10" xfId="1" applyFont="1" applyFill="1" applyBorder="1" applyAlignment="1" applyProtection="1">
      <alignment horizontal="left" vertical="center" wrapText="1"/>
      <protection locked="0"/>
    </xf>
    <xf numFmtId="43" fontId="11" fillId="6" borderId="10" xfId="1" applyFont="1" applyFill="1" applyBorder="1" applyAlignment="1" applyProtection="1">
      <alignment vertical="center" wrapText="1"/>
      <protection locked="0"/>
    </xf>
    <xf numFmtId="0" fontId="8" fillId="3" borderId="5" xfId="0" applyFont="1" applyFill="1" applyBorder="1" applyAlignment="1" applyProtection="1">
      <alignment horizontal="center" vertical="top"/>
    </xf>
    <xf numFmtId="0" fontId="19" fillId="7" borderId="16" xfId="0" applyFont="1" applyFill="1" applyBorder="1" applyAlignment="1">
      <alignment horizontal="left" vertical="center" wrapText="1"/>
    </xf>
    <xf numFmtId="0" fontId="19" fillId="7" borderId="17" xfId="0" applyFont="1" applyFill="1" applyBorder="1" applyAlignment="1">
      <alignment horizontal="left" vertical="center" wrapText="1"/>
    </xf>
    <xf numFmtId="0" fontId="20" fillId="0" borderId="19" xfId="0" applyFont="1" applyBorder="1" applyAlignment="1">
      <alignment horizontal="left" vertical="center" wrapText="1"/>
    </xf>
    <xf numFmtId="0" fontId="21" fillId="0" borderId="21" xfId="0" applyFont="1" applyBorder="1" applyAlignment="1">
      <alignment horizontal="left" vertical="center" wrapText="1"/>
    </xf>
    <xf numFmtId="0" fontId="20" fillId="0" borderId="18" xfId="0" applyFont="1" applyBorder="1" applyAlignment="1">
      <alignment horizontal="left" vertical="center" wrapText="1"/>
    </xf>
    <xf numFmtId="0" fontId="21" fillId="0" borderId="20" xfId="0" applyFont="1" applyBorder="1" applyAlignment="1">
      <alignment horizontal="left" vertical="center" wrapText="1"/>
    </xf>
    <xf numFmtId="0" fontId="21" fillId="0" borderId="20" xfId="0" applyFont="1" applyBorder="1" applyAlignment="1">
      <alignment horizontal="justify" vertical="center" wrapText="1"/>
    </xf>
    <xf numFmtId="0" fontId="20" fillId="0" borderId="20" xfId="0" applyFont="1" applyBorder="1" applyAlignment="1">
      <alignment horizontal="justify" vertical="center" wrapText="1"/>
    </xf>
    <xf numFmtId="0" fontId="21" fillId="0" borderId="21" xfId="0" applyFont="1" applyBorder="1" applyAlignment="1">
      <alignment horizontal="justify" vertical="center" wrapText="1"/>
    </xf>
    <xf numFmtId="165" fontId="11" fillId="0" borderId="10" xfId="1" applyNumberFormat="1" applyFont="1" applyFill="1" applyBorder="1" applyAlignment="1" applyProtection="1">
      <alignment horizontal="right" vertical="center"/>
      <protection locked="0"/>
    </xf>
    <xf numFmtId="164" fontId="11" fillId="0" borderId="10" xfId="1" applyNumberFormat="1" applyFont="1" applyFill="1" applyBorder="1" applyAlignment="1" applyProtection="1">
      <alignment horizontal="right" vertical="center"/>
      <protection locked="0"/>
    </xf>
    <xf numFmtId="0" fontId="20" fillId="0" borderId="22" xfId="0" applyFont="1" applyBorder="1" applyAlignment="1">
      <alignment horizontal="left" vertical="center" wrapText="1"/>
    </xf>
    <xf numFmtId="0" fontId="20" fillId="0" borderId="18" xfId="0" applyFont="1" applyBorder="1" applyAlignment="1">
      <alignment horizontal="left" vertical="center" wrapText="1"/>
    </xf>
    <xf numFmtId="43" fontId="6" fillId="0" borderId="0" xfId="0" applyNumberFormat="1" applyFont="1" applyFill="1" applyBorder="1"/>
    <xf numFmtId="0" fontId="8" fillId="3" borderId="6" xfId="0" applyFont="1" applyFill="1" applyBorder="1" applyProtection="1"/>
    <xf numFmtId="0" fontId="8" fillId="3" borderId="9" xfId="0" applyFont="1" applyFill="1" applyBorder="1" applyAlignment="1" applyProtection="1">
      <alignment horizontal="left" wrapText="1"/>
    </xf>
    <xf numFmtId="0" fontId="11" fillId="4" borderId="13" xfId="0" applyFont="1" applyFill="1" applyBorder="1" applyProtection="1">
      <protection locked="0"/>
    </xf>
    <xf numFmtId="0" fontId="6" fillId="0" borderId="12" xfId="0" applyFont="1" applyBorder="1"/>
    <xf numFmtId="0" fontId="14" fillId="0" borderId="12" xfId="0" applyFont="1" applyBorder="1"/>
    <xf numFmtId="0" fontId="5" fillId="3" borderId="0" xfId="0" applyFont="1" applyFill="1" applyBorder="1" applyAlignment="1">
      <alignment horizontal="center"/>
    </xf>
    <xf numFmtId="0" fontId="21" fillId="0" borderId="20" xfId="0" applyFont="1" applyFill="1" applyBorder="1" applyAlignment="1">
      <alignment horizontal="left" vertical="center" wrapText="1"/>
    </xf>
    <xf numFmtId="0" fontId="21" fillId="0" borderId="20" xfId="0" applyFont="1" applyFill="1" applyBorder="1" applyAlignment="1">
      <alignment horizontal="justify" vertical="center" wrapText="1"/>
    </xf>
    <xf numFmtId="0" fontId="22" fillId="8" borderId="1" xfId="0" applyFont="1" applyFill="1" applyBorder="1" applyAlignment="1">
      <alignment horizontal="left"/>
    </xf>
    <xf numFmtId="0" fontId="22" fillId="8" borderId="14" xfId="0" applyFont="1" applyFill="1" applyBorder="1" applyAlignment="1">
      <alignment horizontal="left"/>
    </xf>
    <xf numFmtId="0" fontId="23" fillId="8" borderId="14" xfId="0" applyFont="1" applyFill="1" applyBorder="1" applyAlignment="1"/>
    <xf numFmtId="0" fontId="24" fillId="8" borderId="14" xfId="0" applyFont="1" applyFill="1" applyBorder="1" applyAlignment="1">
      <alignment horizontal="center"/>
    </xf>
    <xf numFmtId="0" fontId="23" fillId="8" borderId="14" xfId="0" applyFont="1" applyFill="1" applyBorder="1"/>
    <xf numFmtId="0" fontId="23" fillId="8" borderId="3" xfId="0" applyFont="1" applyFill="1" applyBorder="1"/>
    <xf numFmtId="0" fontId="23" fillId="8" borderId="0" xfId="0" applyFont="1" applyFill="1" applyBorder="1"/>
    <xf numFmtId="0" fontId="23" fillId="8" borderId="6" xfId="0" applyFont="1" applyFill="1" applyBorder="1"/>
    <xf numFmtId="0" fontId="25" fillId="8" borderId="7" xfId="0" applyFont="1" applyFill="1" applyBorder="1" applyAlignment="1">
      <alignment horizontal="left"/>
    </xf>
    <xf numFmtId="0" fontId="25" fillId="8" borderId="15" xfId="0" applyFont="1" applyFill="1" applyBorder="1" applyAlignment="1">
      <alignment horizontal="left"/>
    </xf>
    <xf numFmtId="0" fontId="23" fillId="8" borderId="15" xfId="0" applyFont="1" applyFill="1" applyBorder="1"/>
    <xf numFmtId="0" fontId="24" fillId="8" borderId="15" xfId="0" applyFont="1" applyFill="1" applyBorder="1" applyAlignment="1">
      <alignment horizontal="center"/>
    </xf>
    <xf numFmtId="0" fontId="23" fillId="8" borderId="9" xfId="0" applyFont="1" applyFill="1" applyBorder="1"/>
    <xf numFmtId="1" fontId="26" fillId="8" borderId="2" xfId="0" applyNumberFormat="1" applyFont="1" applyFill="1" applyBorder="1" applyAlignment="1" applyProtection="1">
      <alignment horizontal="center"/>
    </xf>
    <xf numFmtId="0" fontId="26" fillId="8" borderId="2" xfId="0" applyFont="1" applyFill="1" applyBorder="1" applyAlignment="1" applyProtection="1">
      <alignment horizontal="center"/>
    </xf>
    <xf numFmtId="0" fontId="26" fillId="8" borderId="5" xfId="0" applyFont="1" applyFill="1" applyBorder="1" applyAlignment="1" applyProtection="1">
      <alignment horizontal="center"/>
    </xf>
    <xf numFmtId="0" fontId="26" fillId="8" borderId="8" xfId="0" applyFont="1" applyFill="1" applyBorder="1" applyAlignment="1" applyProtection="1">
      <alignment horizontal="center" wrapText="1"/>
    </xf>
    <xf numFmtId="0" fontId="6" fillId="0" borderId="10" xfId="0" applyFont="1" applyBorder="1" applyAlignment="1">
      <alignment vertical="top" wrapText="1"/>
    </xf>
    <xf numFmtId="164" fontId="17" fillId="4" borderId="11" xfId="1" applyNumberFormat="1" applyFont="1" applyFill="1" applyBorder="1" applyAlignment="1" applyProtection="1">
      <alignment horizontal="center"/>
      <protection locked="0"/>
    </xf>
    <xf numFmtId="164" fontId="17" fillId="4" borderId="13" xfId="1" applyNumberFormat="1" applyFont="1" applyFill="1" applyBorder="1" applyAlignment="1" applyProtection="1">
      <alignment horizontal="center"/>
      <protection locked="0"/>
    </xf>
    <xf numFmtId="164" fontId="17" fillId="4" borderId="12" xfId="1" applyNumberFormat="1" applyFont="1" applyFill="1" applyBorder="1" applyAlignment="1" applyProtection="1">
      <alignment horizontal="center"/>
      <protection locked="0"/>
    </xf>
    <xf numFmtId="166" fontId="6" fillId="0" borderId="12" xfId="1" applyNumberFormat="1" applyFont="1" applyFill="1" applyBorder="1" applyAlignment="1" applyProtection="1">
      <alignment vertical="center"/>
      <protection locked="0"/>
    </xf>
    <xf numFmtId="0" fontId="6" fillId="0" borderId="10" xfId="0" applyFont="1" applyBorder="1" applyAlignment="1">
      <alignment horizontal="left" vertical="top" wrapText="1"/>
    </xf>
    <xf numFmtId="166" fontId="6" fillId="0" borderId="11" xfId="1" applyNumberFormat="1" applyFont="1" applyFill="1" applyBorder="1" applyAlignment="1" applyProtection="1">
      <alignment horizontal="center" vertical="center"/>
      <protection locked="0"/>
    </xf>
    <xf numFmtId="166" fontId="6" fillId="0" borderId="12" xfId="1" applyNumberFormat="1" applyFont="1" applyFill="1" applyBorder="1" applyAlignment="1" applyProtection="1">
      <alignment horizontal="center" vertical="center"/>
      <protection locked="0"/>
    </xf>
    <xf numFmtId="0" fontId="8" fillId="3" borderId="2" xfId="0" applyFont="1" applyFill="1" applyBorder="1" applyAlignment="1" applyProtection="1">
      <alignment horizontal="center" vertical="center" wrapText="1"/>
    </xf>
    <xf numFmtId="0" fontId="8" fillId="3" borderId="5" xfId="0" applyFont="1" applyFill="1" applyBorder="1" applyAlignment="1" applyProtection="1">
      <alignment horizontal="center" vertical="center" wrapText="1"/>
    </xf>
    <xf numFmtId="0" fontId="8" fillId="3" borderId="8" xfId="0" applyFont="1" applyFill="1" applyBorder="1" applyAlignment="1" applyProtection="1">
      <alignment horizontal="center" vertical="center" wrapText="1"/>
    </xf>
    <xf numFmtId="43" fontId="11" fillId="0" borderId="11" xfId="1" applyFont="1" applyFill="1" applyBorder="1" applyAlignment="1" applyProtection="1">
      <alignment horizontal="center" vertical="center" wrapText="1"/>
      <protection locked="0"/>
    </xf>
    <xf numFmtId="43" fontId="11" fillId="0" borderId="12" xfId="1" applyFont="1" applyFill="1" applyBorder="1" applyAlignment="1" applyProtection="1">
      <alignment horizontal="center" vertical="center" wrapText="1"/>
      <protection locked="0"/>
    </xf>
    <xf numFmtId="0" fontId="6" fillId="0" borderId="0" xfId="0" applyFont="1" applyAlignment="1">
      <alignment horizontal="left" wrapText="1"/>
    </xf>
    <xf numFmtId="0" fontId="5" fillId="3" borderId="0" xfId="0" applyFont="1" applyFill="1" applyBorder="1" applyAlignment="1">
      <alignment horizontal="center"/>
    </xf>
    <xf numFmtId="0" fontId="8" fillId="3" borderId="10" xfId="0" applyFont="1" applyFill="1" applyBorder="1" applyAlignment="1" applyProtection="1">
      <alignment horizontal="center" vertical="center"/>
    </xf>
    <xf numFmtId="164" fontId="17" fillId="4" borderId="10" xfId="1" applyNumberFormat="1" applyFont="1" applyFill="1" applyBorder="1" applyAlignment="1" applyProtection="1">
      <alignment horizontal="center"/>
      <protection locked="0"/>
    </xf>
    <xf numFmtId="0" fontId="12" fillId="5" borderId="6" xfId="0" applyFont="1" applyFill="1" applyBorder="1" applyAlignment="1">
      <alignment horizontal="left" vertical="center" wrapText="1"/>
    </xf>
    <xf numFmtId="0" fontId="7" fillId="3" borderId="4" xfId="0" applyFont="1" applyFill="1" applyBorder="1" applyAlignment="1">
      <alignment horizontal="left"/>
    </xf>
    <xf numFmtId="0" fontId="7" fillId="3" borderId="0" xfId="0" applyFont="1" applyFill="1" applyBorder="1" applyAlignment="1">
      <alignment horizontal="left"/>
    </xf>
    <xf numFmtId="164" fontId="11" fillId="0" borderId="11" xfId="1" applyNumberFormat="1" applyFont="1" applyFill="1" applyBorder="1" applyAlignment="1" applyProtection="1">
      <alignment horizontal="center" vertical="center" wrapText="1"/>
      <protection locked="0"/>
    </xf>
    <xf numFmtId="164" fontId="11" fillId="0" borderId="12" xfId="1" applyNumberFormat="1" applyFont="1" applyFill="1" applyBorder="1" applyAlignment="1" applyProtection="1">
      <alignment horizontal="center" vertical="center" wrapText="1"/>
      <protection locked="0"/>
    </xf>
    <xf numFmtId="0" fontId="3" fillId="3" borderId="0" xfId="0" applyFont="1" applyFill="1" applyBorder="1"/>
    <xf numFmtId="0" fontId="8" fillId="3" borderId="4" xfId="0" applyFont="1" applyFill="1" applyBorder="1" applyAlignment="1" applyProtection="1">
      <alignment horizontal="center" vertical="center"/>
    </xf>
    <xf numFmtId="0" fontId="8" fillId="3" borderId="6" xfId="0" applyFont="1" applyFill="1" applyBorder="1" applyAlignment="1" applyProtection="1">
      <alignment horizontal="center" vertical="center"/>
    </xf>
    <xf numFmtId="0" fontId="25" fillId="8" borderId="4" xfId="0" applyFont="1" applyFill="1" applyBorder="1" applyAlignment="1">
      <alignment horizontal="left"/>
    </xf>
    <xf numFmtId="0" fontId="25" fillId="8" borderId="0" xfId="0" applyFont="1" applyFill="1" applyBorder="1" applyAlignment="1">
      <alignment horizontal="left"/>
    </xf>
    <xf numFmtId="0" fontId="24" fillId="8" borderId="0" xfId="0" applyFont="1" applyFill="1" applyBorder="1" applyAlignment="1">
      <alignment horizontal="center"/>
    </xf>
    <xf numFmtId="0" fontId="26" fillId="8" borderId="10" xfId="0" applyFont="1" applyFill="1" applyBorder="1" applyAlignment="1" applyProtection="1">
      <alignment horizontal="center" vertical="center"/>
    </xf>
    <xf numFmtId="164" fontId="17" fillId="4" borderId="11" xfId="1" applyNumberFormat="1" applyFont="1" applyFill="1" applyBorder="1" applyAlignment="1" applyProtection="1">
      <alignment horizontal="center"/>
      <protection locked="0"/>
    </xf>
    <xf numFmtId="164" fontId="17" fillId="4" borderId="13" xfId="1" applyNumberFormat="1" applyFont="1" applyFill="1" applyBorder="1" applyAlignment="1" applyProtection="1">
      <alignment horizontal="center"/>
      <protection locked="0"/>
    </xf>
    <xf numFmtId="164" fontId="17" fillId="4" borderId="12" xfId="1" applyNumberFormat="1" applyFont="1" applyFill="1" applyBorder="1" applyAlignment="1" applyProtection="1">
      <alignment horizontal="center"/>
      <protection locked="0"/>
    </xf>
    <xf numFmtId="0" fontId="26" fillId="8" borderId="2" xfId="0" applyFont="1" applyFill="1" applyBorder="1" applyAlignment="1" applyProtection="1">
      <alignment horizontal="center" vertical="center"/>
    </xf>
    <xf numFmtId="0" fontId="26" fillId="8" borderId="5" xfId="0" applyFont="1" applyFill="1" applyBorder="1" applyAlignment="1" applyProtection="1">
      <alignment horizontal="center" vertical="center"/>
    </xf>
    <xf numFmtId="0" fontId="26" fillId="8" borderId="8" xfId="0" applyFont="1" applyFill="1" applyBorder="1" applyAlignment="1" applyProtection="1">
      <alignment horizontal="center" vertical="center"/>
    </xf>
    <xf numFmtId="0" fontId="26" fillId="8" borderId="2" xfId="0" applyFont="1" applyFill="1" applyBorder="1" applyAlignment="1" applyProtection="1">
      <alignment horizontal="center" vertical="center" wrapText="1"/>
    </xf>
    <xf numFmtId="0" fontId="26" fillId="8" borderId="5" xfId="0" applyFont="1" applyFill="1" applyBorder="1" applyAlignment="1" applyProtection="1">
      <alignment horizontal="center" vertical="center" wrapText="1"/>
    </xf>
    <xf numFmtId="0" fontId="26" fillId="8" borderId="8" xfId="0" applyFont="1" applyFill="1" applyBorder="1" applyAlignment="1" applyProtection="1">
      <alignment horizontal="center" vertical="center" wrapText="1"/>
    </xf>
    <xf numFmtId="0" fontId="6" fillId="0" borderId="11" xfId="0" applyFont="1" applyBorder="1" applyAlignment="1">
      <alignment horizontal="center" vertical="top" wrapText="1"/>
    </xf>
    <xf numFmtId="0" fontId="6" fillId="0" borderId="13" xfId="0" applyFont="1" applyBorder="1" applyAlignment="1">
      <alignment horizontal="center" vertical="top" wrapText="1"/>
    </xf>
    <xf numFmtId="0" fontId="6" fillId="0" borderId="12" xfId="0" applyFont="1" applyBorder="1" applyAlignment="1">
      <alignment horizontal="center" vertical="top" wrapText="1"/>
    </xf>
    <xf numFmtId="164" fontId="11" fillId="0" borderId="7" xfId="1" applyNumberFormat="1" applyFont="1" applyFill="1" applyBorder="1" applyAlignment="1" applyProtection="1">
      <alignment horizontal="left" vertical="center" wrapText="1"/>
      <protection locked="0"/>
    </xf>
    <xf numFmtId="164" fontId="11" fillId="0" borderId="15" xfId="1" applyNumberFormat="1" applyFont="1" applyFill="1" applyBorder="1" applyAlignment="1" applyProtection="1">
      <alignment horizontal="left" vertical="center" wrapText="1"/>
      <protection locked="0"/>
    </xf>
    <xf numFmtId="43" fontId="11" fillId="0" borderId="11" xfId="1" applyFont="1" applyFill="1" applyBorder="1" applyAlignment="1" applyProtection="1">
      <alignment horizontal="left" vertical="center" wrapText="1"/>
      <protection locked="0"/>
    </xf>
    <xf numFmtId="43" fontId="11" fillId="0" borderId="12" xfId="1" applyFont="1" applyFill="1" applyBorder="1" applyAlignment="1" applyProtection="1">
      <alignment horizontal="left" vertical="center" wrapText="1"/>
      <protection locked="0"/>
    </xf>
    <xf numFmtId="0" fontId="8" fillId="3" borderId="1" xfId="0" applyFont="1" applyFill="1" applyBorder="1" applyAlignment="1" applyProtection="1">
      <alignment horizontal="center" vertical="center"/>
    </xf>
    <xf numFmtId="0" fontId="8" fillId="3" borderId="3" xfId="0" applyFont="1" applyFill="1" applyBorder="1" applyAlignment="1" applyProtection="1">
      <alignment horizontal="center" vertical="center"/>
    </xf>
    <xf numFmtId="0" fontId="8" fillId="3" borderId="7" xfId="0" applyFont="1" applyFill="1" applyBorder="1" applyAlignment="1" applyProtection="1">
      <alignment horizontal="center" vertical="center"/>
    </xf>
    <xf numFmtId="0" fontId="8" fillId="3" borderId="9" xfId="0" applyFont="1" applyFill="1" applyBorder="1" applyAlignment="1" applyProtection="1">
      <alignment horizontal="center" vertical="center"/>
    </xf>
    <xf numFmtId="0" fontId="20" fillId="0" borderId="22" xfId="0" applyFont="1" applyBorder="1" applyAlignment="1">
      <alignment horizontal="left" vertical="center" wrapText="1"/>
    </xf>
    <xf numFmtId="0" fontId="20" fillId="0" borderId="19" xfId="0" applyFont="1" applyBorder="1" applyAlignment="1">
      <alignment horizontal="left" vertical="center" wrapText="1"/>
    </xf>
    <xf numFmtId="0" fontId="20" fillId="0" borderId="18" xfId="0" applyFont="1" applyBorder="1" applyAlignment="1">
      <alignment horizontal="left" vertical="center" wrapText="1"/>
    </xf>
    <xf numFmtId="0" fontId="21" fillId="0" borderId="22" xfId="0" applyFont="1" applyBorder="1" applyAlignment="1">
      <alignment horizontal="justify" vertical="center" wrapText="1"/>
    </xf>
    <xf numFmtId="0" fontId="21" fillId="0" borderId="18" xfId="0" applyFont="1" applyBorder="1" applyAlignment="1">
      <alignment horizontal="justify" vertical="center" wrapText="1"/>
    </xf>
  </cellXfs>
  <cellStyles count="3">
    <cellStyle name="Comma" xfId="1" builtinId="3"/>
    <cellStyle name="Input1" xfId="2" xr:uid="{00000000-0005-0000-0000-000001000000}"/>
    <cellStyle name="Normal" xfId="0" builtinId="0"/>
  </cellStyles>
  <dxfs count="0"/>
  <tableStyles count="0" defaultTableStyle="TableStyleMedium9" defaultPivotStyle="PivotStyleLight16"/>
  <colors>
    <mruColors>
      <color rgb="FF8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10</xdr:col>
      <xdr:colOff>764722</xdr:colOff>
      <xdr:row>1</xdr:row>
      <xdr:rowOff>27213</xdr:rowOff>
    </xdr:from>
    <xdr:to>
      <xdr:col>12</xdr:col>
      <xdr:colOff>871765</xdr:colOff>
      <xdr:row>4</xdr:row>
      <xdr:rowOff>4535</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670847" y="201838"/>
          <a:ext cx="1916793" cy="786947"/>
        </a:xfrm>
        <a:prstGeom prst="rect">
          <a:avLst/>
        </a:prstGeom>
        <a:noFill/>
      </xdr:spPr>
    </xdr:pic>
    <xdr:clientData/>
  </xdr:twoCellAnchor>
  <xdr:twoCellAnchor editAs="oneCell">
    <xdr:from>
      <xdr:col>14</xdr:col>
      <xdr:colOff>979714</xdr:colOff>
      <xdr:row>40</xdr:row>
      <xdr:rowOff>54428</xdr:rowOff>
    </xdr:from>
    <xdr:to>
      <xdr:col>16</xdr:col>
      <xdr:colOff>1179</xdr:colOff>
      <xdr:row>43</xdr:row>
      <xdr:rowOff>907</xdr:rowOff>
    </xdr:to>
    <xdr:pic>
      <xdr:nvPicPr>
        <xdr:cNvPr id="5" name="Pictur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729857" y="8885464"/>
          <a:ext cx="1909989" cy="79375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762000</xdr:colOff>
      <xdr:row>1</xdr:row>
      <xdr:rowOff>31750</xdr:rowOff>
    </xdr:from>
    <xdr:to>
      <xdr:col>12</xdr:col>
      <xdr:colOff>862239</xdr:colOff>
      <xdr:row>4</xdr:row>
      <xdr:rowOff>15875</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88750" y="206375"/>
          <a:ext cx="1909989" cy="793750"/>
        </a:xfrm>
        <a:prstGeom prst="rect">
          <a:avLst/>
        </a:prstGeom>
        <a:noFill/>
      </xdr:spPr>
    </xdr:pic>
    <xdr:clientData/>
  </xdr:twoCellAnchor>
  <xdr:twoCellAnchor editAs="oneCell">
    <xdr:from>
      <xdr:col>14</xdr:col>
      <xdr:colOff>247650</xdr:colOff>
      <xdr:row>40</xdr:row>
      <xdr:rowOff>25400</xdr:rowOff>
    </xdr:from>
    <xdr:to>
      <xdr:col>16</xdr:col>
      <xdr:colOff>3174</xdr:colOff>
      <xdr:row>42</xdr:row>
      <xdr:rowOff>200026</xdr:rowOff>
    </xdr:to>
    <xdr:pic>
      <xdr:nvPicPr>
        <xdr:cNvPr id="3" name="Picture 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868525" y="8645525"/>
          <a:ext cx="1909989" cy="79375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714829</xdr:colOff>
      <xdr:row>1</xdr:row>
      <xdr:rowOff>0</xdr:rowOff>
    </xdr:from>
    <xdr:to>
      <xdr:col>12</xdr:col>
      <xdr:colOff>828675</xdr:colOff>
      <xdr:row>3</xdr:row>
      <xdr:rowOff>183697</xdr:rowOff>
    </xdr:to>
    <xdr:pic>
      <xdr:nvPicPr>
        <xdr:cNvPr id="3" name="Picture 2">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1615" y="0"/>
          <a:ext cx="1937203" cy="807358"/>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714829</xdr:colOff>
      <xdr:row>1</xdr:row>
      <xdr:rowOff>1</xdr:rowOff>
    </xdr:from>
    <xdr:to>
      <xdr:col>12</xdr:col>
      <xdr:colOff>828675</xdr:colOff>
      <xdr:row>3</xdr:row>
      <xdr:rowOff>163287</xdr:rowOff>
    </xdr:to>
    <xdr:pic>
      <xdr:nvPicPr>
        <xdr:cNvPr id="3" name="Picture 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641615" y="176894"/>
          <a:ext cx="1937203" cy="789214"/>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714829</xdr:colOff>
      <xdr:row>1</xdr:row>
      <xdr:rowOff>1</xdr:rowOff>
    </xdr:from>
    <xdr:to>
      <xdr:col>12</xdr:col>
      <xdr:colOff>828675</xdr:colOff>
      <xdr:row>3</xdr:row>
      <xdr:rowOff>166688</xdr:rowOff>
    </xdr:to>
    <xdr:pic>
      <xdr:nvPicPr>
        <xdr:cNvPr id="3" name="Picture 2">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85485" y="178595"/>
          <a:ext cx="1923596" cy="78581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714829</xdr:colOff>
      <xdr:row>1</xdr:row>
      <xdr:rowOff>0</xdr:rowOff>
    </xdr:from>
    <xdr:to>
      <xdr:col>12</xdr:col>
      <xdr:colOff>828675</xdr:colOff>
      <xdr:row>3</xdr:row>
      <xdr:rowOff>119062</xdr:rowOff>
    </xdr:to>
    <xdr:pic>
      <xdr:nvPicPr>
        <xdr:cNvPr id="3" name="Picture 2">
          <a:extLst>
            <a:ext uri="{FF2B5EF4-FFF2-40B4-BE49-F238E27FC236}">
              <a16:creationId xmlns:a16="http://schemas.microsoft.com/office/drawing/2014/main" id="{00000000-0008-0000-05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585485" y="178594"/>
          <a:ext cx="1923596" cy="738187"/>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8854440</xdr:colOff>
      <xdr:row>0</xdr:row>
      <xdr:rowOff>30480</xdr:rowOff>
    </xdr:from>
    <xdr:to>
      <xdr:col>2</xdr:col>
      <xdr:colOff>3810</xdr:colOff>
      <xdr:row>3</xdr:row>
      <xdr:rowOff>163830</xdr:rowOff>
    </xdr:to>
    <xdr:pic>
      <xdr:nvPicPr>
        <xdr:cNvPr id="4" name="image1.jpeg">
          <a:extLst>
            <a:ext uri="{FF2B5EF4-FFF2-40B4-BE49-F238E27FC236}">
              <a16:creationId xmlns:a16="http://schemas.microsoft.com/office/drawing/2014/main" id="{124F9224-B2DE-42B8-BA44-74772AD906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83440" y="30480"/>
          <a:ext cx="1413510" cy="7124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1\sbarlow\LOCALS~1\Temp\notesC51760\FY2009%20WAPC%20model%20_%20Country%20Energy_working_TUOS%20adj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tt.1%20Essential%20Energy%20Revenue%20Model%202020-21_Commercial%20in%20Confidence_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alcs"/>
      <sheetName val="Outcomes"/>
      <sheetName val="WAPC"/>
      <sheetName val="Trans"/>
      <sheetName val="DUOS (t+1)"/>
      <sheetName val="Network (t+1)"/>
      <sheetName val="NUOS (t+1)"/>
      <sheetName val="Equal_Bus"/>
      <sheetName val="Equal_Res"/>
      <sheetName val="DUOS (t)"/>
      <sheetName val="Network (t)"/>
      <sheetName val="Q (t-1) act"/>
      <sheetName val="Q (t+1)"/>
      <sheetName val="Q (t-1) adj (t+1)"/>
      <sheetName val="Q (t-1) adj (t)"/>
      <sheetName val="TCR(t+1) working"/>
      <sheetName val="TCR (t+1)"/>
      <sheetName val="Price Limits"/>
      <sheetName val="Qty for cpt"/>
      <sheetName val="Add DUOS for cpt"/>
      <sheetName val="cpt rev"/>
      <sheetName val="ESF"/>
      <sheetName val="ESF Revenue"/>
      <sheetName val="NUOS (t+1) incl cpt"/>
      <sheetName val="RE (t+1)"/>
      <sheetName val="RE (t)"/>
      <sheetName val="RE rev"/>
      <sheetName val="RE rev for PL"/>
    </sheetNames>
    <sheetDataSet>
      <sheetData sheetId="0" refreshError="1"/>
      <sheetData sheetId="1" refreshError="1"/>
      <sheetData sheetId="2" refreshError="1">
        <row r="4">
          <cell r="B4">
            <v>2009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on"/>
      <sheetName val="Control"/>
      <sheetName val="NUOS (t)"/>
      <sheetName val="ARR"/>
      <sheetName val="RV"/>
      <sheetName val="DUOS (t)"/>
      <sheetName val="DUOS (t-1)"/>
      <sheetName val="Side Constraint"/>
      <sheetName val="Trans"/>
      <sheetName val="TUOS (t)"/>
      <sheetName val="CCF"/>
      <sheetName val="CCF (t)"/>
      <sheetName val="QSS"/>
      <sheetName val="QSS (t)"/>
      <sheetName val="Q (t)"/>
    </sheetNames>
    <sheetDataSet>
      <sheetData sheetId="0"/>
      <sheetData sheetId="1"/>
      <sheetData sheetId="2">
        <row r="10">
          <cell r="B10" t="str">
            <v>BLNN2AU</v>
          </cell>
          <cell r="C10" t="str">
            <v>LV Residential Anytime</v>
          </cell>
          <cell r="D10" t="str">
            <v>t-2</v>
          </cell>
          <cell r="E10">
            <v>305.29391105604242</v>
          </cell>
          <cell r="F10">
            <v>10.502843730227699</v>
          </cell>
          <cell r="G10">
            <v>0</v>
          </cell>
          <cell r="H10">
            <v>0</v>
          </cell>
          <cell r="I10">
            <v>0</v>
          </cell>
          <cell r="J10">
            <v>0</v>
          </cell>
          <cell r="K10">
            <v>0</v>
          </cell>
          <cell r="L10">
            <v>0</v>
          </cell>
          <cell r="M10">
            <v>0</v>
          </cell>
          <cell r="N10">
            <v>0</v>
          </cell>
          <cell r="O10">
            <v>0</v>
          </cell>
        </row>
        <row r="11">
          <cell r="B11" t="str">
            <v>BLNT3AU</v>
          </cell>
          <cell r="C11" t="str">
            <v>LV Residential ToU</v>
          </cell>
          <cell r="D11" t="str">
            <v>t-2</v>
          </cell>
          <cell r="E11">
            <v>305.29391105604242</v>
          </cell>
          <cell r="F11">
            <v>0</v>
          </cell>
          <cell r="G11">
            <v>13.80612395247509</v>
          </cell>
          <cell r="H11">
            <v>11.954086464168544</v>
          </cell>
          <cell r="I11">
            <v>4.4683979198711103</v>
          </cell>
          <cell r="J11">
            <v>0</v>
          </cell>
          <cell r="K11">
            <v>0</v>
          </cell>
          <cell r="L11">
            <v>0</v>
          </cell>
          <cell r="M11">
            <v>0</v>
          </cell>
          <cell r="N11">
            <v>0</v>
          </cell>
          <cell r="O11">
            <v>0</v>
          </cell>
        </row>
        <row r="12">
          <cell r="B12" t="str">
            <v>BLNT3AL</v>
          </cell>
          <cell r="C12" t="str">
            <v>LV Residential ToU_Interval meter</v>
          </cell>
          <cell r="D12" t="str">
            <v>t</v>
          </cell>
          <cell r="E12">
            <v>305.29391105604242</v>
          </cell>
          <cell r="F12">
            <v>0</v>
          </cell>
          <cell r="G12">
            <v>14.325666685885659</v>
          </cell>
          <cell r="H12">
            <v>11.50245781355674</v>
          </cell>
          <cell r="I12">
            <v>4.4683979198711103</v>
          </cell>
          <cell r="J12">
            <v>0</v>
          </cell>
          <cell r="K12">
            <v>0</v>
          </cell>
          <cell r="L12">
            <v>0</v>
          </cell>
          <cell r="M12">
            <v>0</v>
          </cell>
          <cell r="N12">
            <v>0</v>
          </cell>
          <cell r="O12">
            <v>0</v>
          </cell>
        </row>
        <row r="13">
          <cell r="B13" t="str">
            <v>BLND1AR</v>
          </cell>
          <cell r="C13" t="str">
            <v>Small Residential-Opt in Demand</v>
          </cell>
          <cell r="D13" t="str">
            <v>t</v>
          </cell>
          <cell r="E13">
            <v>305.29391105604242</v>
          </cell>
          <cell r="F13">
            <v>0</v>
          </cell>
          <cell r="G13">
            <v>4.2624830383764873</v>
          </cell>
          <cell r="H13">
            <v>3.4302570052600285</v>
          </cell>
          <cell r="I13">
            <v>2.1212003830413972</v>
          </cell>
          <cell r="J13">
            <v>0</v>
          </cell>
          <cell r="K13">
            <v>3.9747932149271845</v>
          </cell>
          <cell r="L13">
            <v>0</v>
          </cell>
          <cell r="M13">
            <v>0</v>
          </cell>
          <cell r="N13">
            <v>0</v>
          </cell>
          <cell r="O13">
            <v>0</v>
          </cell>
        </row>
        <row r="14">
          <cell r="B14" t="str">
            <v>BLNC1AU</v>
          </cell>
          <cell r="C14" t="str">
            <v>Energy Saver 1</v>
          </cell>
          <cell r="D14" t="str">
            <v>t-2</v>
          </cell>
          <cell r="E14">
            <v>33.007823171290354</v>
          </cell>
          <cell r="F14">
            <v>2.2289294260888783</v>
          </cell>
          <cell r="G14">
            <v>0</v>
          </cell>
          <cell r="H14">
            <v>0</v>
          </cell>
          <cell r="I14">
            <v>0</v>
          </cell>
          <cell r="J14">
            <v>0</v>
          </cell>
          <cell r="K14">
            <v>0</v>
          </cell>
          <cell r="L14">
            <v>0</v>
          </cell>
          <cell r="M14">
            <v>0</v>
          </cell>
          <cell r="N14">
            <v>0</v>
          </cell>
          <cell r="O14">
            <v>0</v>
          </cell>
        </row>
        <row r="15">
          <cell r="B15" t="str">
            <v>BLNC2AU</v>
          </cell>
          <cell r="C15" t="str">
            <v>Energy Saver 2</v>
          </cell>
          <cell r="D15" t="str">
            <v>t-2</v>
          </cell>
          <cell r="E15">
            <v>33.007823171290354</v>
          </cell>
          <cell r="F15">
            <v>4.7573469905773269</v>
          </cell>
          <cell r="G15">
            <v>0</v>
          </cell>
          <cell r="H15">
            <v>0</v>
          </cell>
          <cell r="I15">
            <v>0</v>
          </cell>
          <cell r="J15">
            <v>0</v>
          </cell>
          <cell r="K15">
            <v>0</v>
          </cell>
          <cell r="L15">
            <v>0</v>
          </cell>
          <cell r="M15">
            <v>0</v>
          </cell>
          <cell r="N15">
            <v>0</v>
          </cell>
          <cell r="O15">
            <v>0</v>
          </cell>
        </row>
        <row r="16">
          <cell r="B16" t="str">
            <v>BLNN1AU</v>
          </cell>
          <cell r="C16" t="str">
            <v>LV Small business Anytime</v>
          </cell>
          <cell r="D16" t="str">
            <v>t-2</v>
          </cell>
          <cell r="E16">
            <v>305.29391105604242</v>
          </cell>
          <cell r="F16">
            <v>14.513660069026601</v>
          </cell>
          <cell r="G16">
            <v>0</v>
          </cell>
          <cell r="H16">
            <v>0</v>
          </cell>
          <cell r="I16">
            <v>0</v>
          </cell>
          <cell r="J16">
            <v>0</v>
          </cell>
          <cell r="K16">
            <v>0</v>
          </cell>
          <cell r="L16">
            <v>0</v>
          </cell>
          <cell r="M16">
            <v>0</v>
          </cell>
          <cell r="N16">
            <v>0</v>
          </cell>
          <cell r="O16">
            <v>0</v>
          </cell>
        </row>
        <row r="17">
          <cell r="B17" t="str">
            <v>BLNT2AU</v>
          </cell>
          <cell r="C17" t="str">
            <v>LV ToU &lt; 100MWh</v>
          </cell>
          <cell r="D17" t="str">
            <v>t-2</v>
          </cell>
          <cell r="E17">
            <v>1860.5009008122079</v>
          </cell>
          <cell r="F17">
            <v>0</v>
          </cell>
          <cell r="G17">
            <v>14.709006106315067</v>
          </cell>
          <cell r="H17">
            <v>12.796559040864702</v>
          </cell>
          <cell r="I17">
            <v>6.5480776243496894</v>
          </cell>
          <cell r="J17">
            <v>0</v>
          </cell>
          <cell r="K17">
            <v>0</v>
          </cell>
          <cell r="L17">
            <v>0</v>
          </cell>
          <cell r="M17">
            <v>0</v>
          </cell>
          <cell r="N17">
            <v>0</v>
          </cell>
          <cell r="O17">
            <v>0</v>
          </cell>
        </row>
        <row r="18">
          <cell r="B18" t="str">
            <v>BLNT2AL</v>
          </cell>
          <cell r="C18" t="str">
            <v>LV Business ToU_Interval meter</v>
          </cell>
          <cell r="D18" t="str">
            <v>t</v>
          </cell>
          <cell r="E18">
            <v>529.24571883061992</v>
          </cell>
          <cell r="F18">
            <v>0</v>
          </cell>
          <cell r="G18">
            <v>15.251655502983153</v>
          </cell>
          <cell r="H18">
            <v>12.32484420585258</v>
          </cell>
          <cell r="I18">
            <v>6.3357930548481614</v>
          </cell>
          <cell r="J18">
            <v>0</v>
          </cell>
          <cell r="K18">
            <v>0</v>
          </cell>
          <cell r="L18">
            <v>0</v>
          </cell>
          <cell r="M18">
            <v>0</v>
          </cell>
          <cell r="N18">
            <v>0</v>
          </cell>
          <cell r="O18">
            <v>0</v>
          </cell>
        </row>
        <row r="19">
          <cell r="B19" t="str">
            <v>BLNT1AO</v>
          </cell>
          <cell r="C19" t="str">
            <v>LV ToU &gt; 100 MWh/yr</v>
          </cell>
          <cell r="D19" t="str">
            <v>t-2</v>
          </cell>
          <cell r="E19">
            <v>1860.5009008122079</v>
          </cell>
          <cell r="F19">
            <v>0</v>
          </cell>
          <cell r="G19">
            <v>14.709006106315067</v>
          </cell>
          <cell r="H19">
            <v>12.796559040864702</v>
          </cell>
          <cell r="I19">
            <v>6.5480776243496894</v>
          </cell>
          <cell r="J19">
            <v>0</v>
          </cell>
          <cell r="K19">
            <v>0</v>
          </cell>
          <cell r="L19">
            <v>0</v>
          </cell>
          <cell r="M19">
            <v>0</v>
          </cell>
          <cell r="N19">
            <v>0</v>
          </cell>
          <cell r="O19">
            <v>0</v>
          </cell>
        </row>
        <row r="20">
          <cell r="B20" t="str">
            <v>BLND1AB</v>
          </cell>
          <cell r="C20" t="str">
            <v>Small business-Opt in Demand</v>
          </cell>
          <cell r="D20" t="str">
            <v>t</v>
          </cell>
          <cell r="E20">
            <v>529.24571883061992</v>
          </cell>
          <cell r="F20">
            <v>0</v>
          </cell>
          <cell r="G20">
            <v>6.1600181729534302</v>
          </cell>
          <cell r="H20">
            <v>4.8022623406222333</v>
          </cell>
          <cell r="I20">
            <v>2.8423862343191337</v>
          </cell>
          <cell r="J20">
            <v>0</v>
          </cell>
          <cell r="K20">
            <v>6.4590389742566758</v>
          </cell>
          <cell r="L20">
            <v>0</v>
          </cell>
          <cell r="M20">
            <v>0</v>
          </cell>
          <cell r="N20">
            <v>0</v>
          </cell>
          <cell r="O20">
            <v>0</v>
          </cell>
        </row>
        <row r="21">
          <cell r="B21" t="str">
            <v>BLNT1SU</v>
          </cell>
          <cell r="C21" t="str">
            <v>LV ToU &gt; 100 MWh/yr Sth U</v>
          </cell>
          <cell r="D21" t="str">
            <v>t-2</v>
          </cell>
          <cell r="E21">
            <v>2434.515307461289</v>
          </cell>
          <cell r="F21">
            <v>0</v>
          </cell>
          <cell r="G21">
            <v>15.349518985908778</v>
          </cell>
          <cell r="H21">
            <v>12.765471519769337</v>
          </cell>
          <cell r="I21">
            <v>6.6204486381950582</v>
          </cell>
          <cell r="J21">
            <v>0</v>
          </cell>
          <cell r="K21">
            <v>0</v>
          </cell>
          <cell r="L21">
            <v>0</v>
          </cell>
          <cell r="M21">
            <v>0</v>
          </cell>
          <cell r="N21">
            <v>0</v>
          </cell>
          <cell r="O21">
            <v>0</v>
          </cell>
        </row>
        <row r="23">
          <cell r="B23" t="str">
            <v>Tariff Class B; Low voltage - Large Business</v>
          </cell>
        </row>
        <row r="24">
          <cell r="B24" t="str">
            <v>BLND3AO</v>
          </cell>
          <cell r="C24" t="str">
            <v>LV ToU Demand 3 Rate</v>
          </cell>
          <cell r="D24" t="str">
            <v>t-2</v>
          </cell>
          <cell r="E24">
            <v>5465.957690318648</v>
          </cell>
          <cell r="F24">
            <v>0</v>
          </cell>
          <cell r="G24">
            <v>4.2784431511445824</v>
          </cell>
          <cell r="H24">
            <v>3.7133249801314459</v>
          </cell>
          <cell r="I24">
            <v>2.436388829663068</v>
          </cell>
          <cell r="J24">
            <v>0</v>
          </cell>
          <cell r="K24">
            <v>9.9525804546138268</v>
          </cell>
          <cell r="L24">
            <v>9.0047156494125069</v>
          </cell>
          <cell r="M24">
            <v>2.1847908842417643</v>
          </cell>
          <cell r="N24">
            <v>0</v>
          </cell>
          <cell r="O24">
            <v>0</v>
          </cell>
        </row>
        <row r="25">
          <cell r="B25" t="str">
            <v>BLND3TO</v>
          </cell>
          <cell r="C25" t="str">
            <v>LV ToU Demand-alternate tariff</v>
          </cell>
          <cell r="D25" t="str">
            <v>t-2</v>
          </cell>
          <cell r="E25">
            <v>5465.957690318648</v>
          </cell>
          <cell r="F25">
            <v>0</v>
          </cell>
          <cell r="G25">
            <v>13.119543074439756</v>
          </cell>
          <cell r="H25">
            <v>11.097337308737707</v>
          </cell>
          <cell r="I25">
            <v>4.7800122619608478</v>
          </cell>
          <cell r="J25">
            <v>0</v>
          </cell>
          <cell r="K25">
            <v>11.853746485422553</v>
          </cell>
          <cell r="M25">
            <v>0</v>
          </cell>
          <cell r="N25">
            <v>0</v>
          </cell>
          <cell r="O25">
            <v>0</v>
          </cell>
        </row>
        <row r="26">
          <cell r="B26" t="str">
            <v>BLNDTRS</v>
          </cell>
          <cell r="C26" t="str">
            <v>Transitional Demand</v>
          </cell>
          <cell r="D26" t="str">
            <v>t</v>
          </cell>
          <cell r="E26">
            <v>4264.138760483168</v>
          </cell>
          <cell r="F26">
            <v>0</v>
          </cell>
          <cell r="G26">
            <v>7.755297469534745</v>
          </cell>
          <cell r="H26">
            <v>6.7410696670425301</v>
          </cell>
          <cell r="I26">
            <v>3.806951761225275</v>
          </cell>
          <cell r="J26">
            <v>0</v>
          </cell>
          <cell r="K26">
            <v>6.6350536364092179</v>
          </cell>
          <cell r="L26">
            <v>6.0031437662750049</v>
          </cell>
          <cell r="M26">
            <v>1.4565272561611762</v>
          </cell>
          <cell r="N26">
            <v>0</v>
          </cell>
          <cell r="O26">
            <v>0</v>
          </cell>
        </row>
        <row r="27">
          <cell r="B27" t="str">
            <v>BLNS1AO</v>
          </cell>
          <cell r="C27" t="str">
            <v>LV ToU avg daily Demand</v>
          </cell>
          <cell r="D27" t="str">
            <v>t-2</v>
          </cell>
          <cell r="E27">
            <v>5559.1290641526275</v>
          </cell>
          <cell r="F27">
            <v>0</v>
          </cell>
          <cell r="G27">
            <v>3.929147624433952</v>
          </cell>
          <cell r="H27">
            <v>3.4215962927582324</v>
          </cell>
          <cell r="I27">
            <v>2.3141667204040774</v>
          </cell>
          <cell r="J27">
            <v>0</v>
          </cell>
          <cell r="K27">
            <v>10.962590198227328</v>
          </cell>
          <cell r="L27">
            <v>9.9185339888723423</v>
          </cell>
          <cell r="M27">
            <v>2.5349646633596161</v>
          </cell>
          <cell r="N27">
            <v>0</v>
          </cell>
          <cell r="O27">
            <v>0</v>
          </cell>
        </row>
        <row r="28">
          <cell r="B28" t="str">
            <v>BLND1CO</v>
          </cell>
          <cell r="C28" t="str">
            <v>LV 1 Rate Dmd Cent</v>
          </cell>
          <cell r="D28" t="str">
            <v>t-2</v>
          </cell>
          <cell r="E28">
            <v>7167.6668703945406</v>
          </cell>
          <cell r="F28">
            <v>0</v>
          </cell>
          <cell r="G28">
            <v>6.0507720642331151</v>
          </cell>
          <cell r="H28">
            <v>5.1967499963155745</v>
          </cell>
          <cell r="I28">
            <v>2.8379923717894058</v>
          </cell>
          <cell r="J28">
            <v>16.299089128890241</v>
          </cell>
          <cell r="K28">
            <v>0</v>
          </cell>
          <cell r="L28">
            <v>0</v>
          </cell>
          <cell r="M28">
            <v>0</v>
          </cell>
          <cell r="N28">
            <v>0</v>
          </cell>
          <cell r="O28">
            <v>0</v>
          </cell>
        </row>
        <row r="29">
          <cell r="B29" t="str">
            <v>BLND1SR</v>
          </cell>
          <cell r="C29" t="str">
            <v>LV 1 Rate Dmd Sth Rural</v>
          </cell>
          <cell r="D29" t="str">
            <v>t-2</v>
          </cell>
          <cell r="E29">
            <v>5559.1290641526275</v>
          </cell>
          <cell r="F29">
            <v>0</v>
          </cell>
          <cell r="G29">
            <v>12.485808268998371</v>
          </cell>
          <cell r="H29">
            <v>10.575158470979551</v>
          </cell>
          <cell r="I29">
            <v>4.4036171045032866</v>
          </cell>
          <cell r="J29">
            <v>10.825652154942023</v>
          </cell>
          <cell r="K29">
            <v>0</v>
          </cell>
          <cell r="L29">
            <v>0</v>
          </cell>
          <cell r="M29">
            <v>0</v>
          </cell>
          <cell r="N29">
            <v>3.9355754272789323</v>
          </cell>
          <cell r="O29">
            <v>0</v>
          </cell>
        </row>
        <row r="30">
          <cell r="B30" t="str">
            <v>BLND1SU</v>
          </cell>
          <cell r="C30" t="str">
            <v>LV 1 Rate Dmd Sth Urburn</v>
          </cell>
          <cell r="D30" t="str">
            <v>t-2</v>
          </cell>
          <cell r="E30">
            <v>1495.7318716331188</v>
          </cell>
          <cell r="F30">
            <v>0</v>
          </cell>
          <cell r="G30">
            <v>14.065484751463005</v>
          </cell>
          <cell r="H30">
            <v>11.894490988757589</v>
          </cell>
          <cell r="I30">
            <v>5.7816140265743297</v>
          </cell>
          <cell r="J30">
            <v>10.617936974582287</v>
          </cell>
          <cell r="K30">
            <v>0</v>
          </cell>
          <cell r="L30">
            <v>0</v>
          </cell>
          <cell r="M30">
            <v>0</v>
          </cell>
          <cell r="N30">
            <v>3.9405609161465502</v>
          </cell>
          <cell r="O30">
            <v>0</v>
          </cell>
        </row>
        <row r="31">
          <cell r="B31" t="str">
            <v>TLD</v>
          </cell>
          <cell r="C31" t="str">
            <v>Time of Day - LV Demand - FW</v>
          </cell>
          <cell r="D31" t="str">
            <v>t-2</v>
          </cell>
        </row>
        <row r="32">
          <cell r="B32" t="str">
            <v>BLND4NO</v>
          </cell>
          <cell r="C32" t="str">
            <v>LV 3 Rate Dmd Option 2 Nth U</v>
          </cell>
          <cell r="D32" t="str">
            <v>t-2</v>
          </cell>
        </row>
        <row r="34">
          <cell r="B34" t="str">
            <v>Tariff Class C; High voltage - demand</v>
          </cell>
        </row>
        <row r="35">
          <cell r="B35" t="str">
            <v>BHND3AO</v>
          </cell>
          <cell r="C35" t="str">
            <v>HV ToU mthly Demand</v>
          </cell>
          <cell r="D35" t="str">
            <v>t-2</v>
          </cell>
          <cell r="E35">
            <v>6765.9785450243717</v>
          </cell>
          <cell r="F35">
            <v>0</v>
          </cell>
          <cell r="G35">
            <v>3.2684908138701885</v>
          </cell>
          <cell r="H35">
            <v>2.8637326620411234</v>
          </cell>
          <cell r="I35">
            <v>2.3523452381577292</v>
          </cell>
          <cell r="J35">
            <v>0</v>
          </cell>
          <cell r="K35">
            <v>8.8050500614492062</v>
          </cell>
          <cell r="L35">
            <v>7.966473865120709</v>
          </cell>
          <cell r="M35">
            <v>2.3839385086497948</v>
          </cell>
          <cell r="N35">
            <v>0</v>
          </cell>
          <cell r="O35">
            <v>0</v>
          </cell>
        </row>
        <row r="36">
          <cell r="B36" t="str">
            <v>BHNS1AO</v>
          </cell>
          <cell r="C36" t="str">
            <v>HV ToU avg daily Demand</v>
          </cell>
          <cell r="D36" t="str">
            <v>t-2</v>
          </cell>
          <cell r="E36">
            <v>6576.326539479458</v>
          </cell>
          <cell r="F36">
            <v>0</v>
          </cell>
          <cell r="G36">
            <v>3.2294857497840721</v>
          </cell>
          <cell r="H36">
            <v>2.8696993258594885</v>
          </cell>
          <cell r="I36">
            <v>2.344905799522087</v>
          </cell>
          <cell r="J36">
            <v>0</v>
          </cell>
          <cell r="K36">
            <v>9.3237777762520615</v>
          </cell>
          <cell r="L36">
            <v>8.435798940418529</v>
          </cell>
          <cell r="M36">
            <v>2.5243056282931802</v>
          </cell>
          <cell r="N36">
            <v>0</v>
          </cell>
          <cell r="O36">
            <v>0</v>
          </cell>
        </row>
        <row r="37">
          <cell r="B37" t="str">
            <v>BHND1CO</v>
          </cell>
          <cell r="C37" t="str">
            <v>HV 1 Rate Dmd Cent U</v>
          </cell>
          <cell r="D37" t="str">
            <v>t-2</v>
          </cell>
          <cell r="E37">
            <v>9197.3357240546466</v>
          </cell>
          <cell r="F37">
            <v>0</v>
          </cell>
          <cell r="G37">
            <v>6.5646563884385616</v>
          </cell>
          <cell r="H37">
            <v>6.3788663945418271</v>
          </cell>
          <cell r="I37">
            <v>2.9470690874948029</v>
          </cell>
          <cell r="J37">
            <v>11.881907759990797</v>
          </cell>
          <cell r="K37">
            <v>0</v>
          </cell>
          <cell r="L37">
            <v>0</v>
          </cell>
          <cell r="M37">
            <v>0</v>
          </cell>
          <cell r="N37">
            <v>0</v>
          </cell>
          <cell r="O37">
            <v>0</v>
          </cell>
        </row>
        <row r="38">
          <cell r="B38" t="str">
            <v>BHND1SO</v>
          </cell>
          <cell r="C38" t="str">
            <v>HV 1 Rate Dmd Sth U</v>
          </cell>
          <cell r="D38" t="str">
            <v>t-2</v>
          </cell>
          <cell r="E38">
            <v>6855.6356130188879</v>
          </cell>
          <cell r="F38">
            <v>0</v>
          </cell>
          <cell r="G38">
            <v>5.9665767432150378</v>
          </cell>
          <cell r="H38">
            <v>5.8267751880129222</v>
          </cell>
          <cell r="I38">
            <v>4.2319237115165613</v>
          </cell>
          <cell r="J38">
            <v>8.5806864231874318</v>
          </cell>
          <cell r="K38">
            <v>0</v>
          </cell>
          <cell r="L38">
            <v>0</v>
          </cell>
          <cell r="M38">
            <v>0</v>
          </cell>
          <cell r="N38">
            <v>3.1601085460911991</v>
          </cell>
          <cell r="O38">
            <v>0</v>
          </cell>
        </row>
        <row r="40">
          <cell r="B40" t="str">
            <v>Tariff Class D; Subtransmission</v>
          </cell>
        </row>
        <row r="41">
          <cell r="B41" t="str">
            <v>BSSD3AO</v>
          </cell>
          <cell r="C41" t="str">
            <v>SUB TRANS 3 RATE DEMAND</v>
          </cell>
          <cell r="D41" t="str">
            <v>t-2</v>
          </cell>
          <cell r="E41">
            <v>6716.2293799810413</v>
          </cell>
          <cell r="F41">
            <v>0</v>
          </cell>
          <cell r="G41">
            <v>3.9940675810419677</v>
          </cell>
          <cell r="H41">
            <v>2.3969219920809337</v>
          </cell>
          <cell r="I41">
            <v>1.9955451174170447</v>
          </cell>
          <cell r="J41">
            <v>0</v>
          </cell>
          <cell r="K41">
            <v>3.3978493257502036</v>
          </cell>
          <cell r="L41">
            <v>2.4223418608350613</v>
          </cell>
          <cell r="M41">
            <v>0.96561948734161551</v>
          </cell>
          <cell r="N41">
            <v>0</v>
          </cell>
          <cell r="O41">
            <v>0</v>
          </cell>
        </row>
        <row r="42">
          <cell r="B42" t="str">
            <v/>
          </cell>
          <cell r="C42" t="str">
            <v/>
          </cell>
          <cell r="D42" t="str">
            <v/>
          </cell>
          <cell r="E42">
            <v>0</v>
          </cell>
          <cell r="F42">
            <v>0</v>
          </cell>
          <cell r="G42">
            <v>0</v>
          </cell>
          <cell r="H42">
            <v>0</v>
          </cell>
          <cell r="I42">
            <v>0</v>
          </cell>
          <cell r="J42">
            <v>0</v>
          </cell>
          <cell r="K42">
            <v>0</v>
          </cell>
          <cell r="L42">
            <v>0</v>
          </cell>
          <cell r="M42">
            <v>0</v>
          </cell>
          <cell r="N42">
            <v>0</v>
          </cell>
          <cell r="O42">
            <v>0</v>
          </cell>
        </row>
        <row r="43">
          <cell r="B43" t="str">
            <v>BSS04CU</v>
          </cell>
          <cell r="C43" t="str">
            <v>Peak Gold Mines</v>
          </cell>
          <cell r="D43" t="str">
            <v>t-2</v>
          </cell>
          <cell r="E43">
            <v>489318.69370807015</v>
          </cell>
          <cell r="F43">
            <v>0</v>
          </cell>
          <cell r="G43">
            <v>0.27825522764029181</v>
          </cell>
          <cell r="H43">
            <v>0.24540162473470284</v>
          </cell>
          <cell r="I43">
            <v>0.23806538330918298</v>
          </cell>
          <cell r="J43">
            <v>6.2431737459571739</v>
          </cell>
          <cell r="K43">
            <v>0</v>
          </cell>
          <cell r="L43">
            <v>0</v>
          </cell>
          <cell r="M43">
            <v>0</v>
          </cell>
          <cell r="N43">
            <v>0</v>
          </cell>
          <cell r="O43">
            <v>0</v>
          </cell>
        </row>
        <row r="44">
          <cell r="B44" t="str">
            <v>BSS05CU</v>
          </cell>
          <cell r="C44" t="str">
            <v>Oberon Timber Complex</v>
          </cell>
          <cell r="D44" t="str">
            <v>t-2</v>
          </cell>
          <cell r="E44">
            <v>500771.24052414997</v>
          </cell>
          <cell r="F44">
            <v>0</v>
          </cell>
          <cell r="G44">
            <v>0.26666609263476043</v>
          </cell>
          <cell r="H44">
            <v>0.23912860670418584</v>
          </cell>
          <cell r="I44">
            <v>0.23243029931566772</v>
          </cell>
          <cell r="J44">
            <v>3.2774514837003661</v>
          </cell>
          <cell r="K44">
            <v>0</v>
          </cell>
          <cell r="L44">
            <v>0</v>
          </cell>
          <cell r="M44">
            <v>0</v>
          </cell>
          <cell r="N44">
            <v>0</v>
          </cell>
          <cell r="O44">
            <v>0</v>
          </cell>
        </row>
        <row r="45">
          <cell r="B45" t="str">
            <v>BSS05NO</v>
          </cell>
          <cell r="C45" t="str">
            <v>Harwood Sugar</v>
          </cell>
          <cell r="D45" t="str">
            <v>t-2</v>
          </cell>
          <cell r="E45">
            <v>34043.180473347573</v>
          </cell>
          <cell r="F45">
            <v>0</v>
          </cell>
          <cell r="G45">
            <v>1.816101546172457</v>
          </cell>
          <cell r="H45">
            <v>1.1029976151440255</v>
          </cell>
          <cell r="I45">
            <v>1.0138994946427844</v>
          </cell>
          <cell r="J45">
            <v>7.3420613044597207</v>
          </cell>
          <cell r="K45">
            <v>0</v>
          </cell>
          <cell r="L45">
            <v>0</v>
          </cell>
          <cell r="M45">
            <v>0</v>
          </cell>
          <cell r="N45">
            <v>0</v>
          </cell>
          <cell r="O45">
            <v>0</v>
          </cell>
        </row>
        <row r="46">
          <cell r="B46" t="str">
            <v>BSS06CU</v>
          </cell>
          <cell r="C46" t="str">
            <v>Fletcher International Exports</v>
          </cell>
          <cell r="D46" t="str">
            <v>t-2</v>
          </cell>
          <cell r="E46">
            <v>297823.87702483544</v>
          </cell>
          <cell r="F46">
            <v>0</v>
          </cell>
          <cell r="G46">
            <v>0.27899948401679386</v>
          </cell>
          <cell r="H46">
            <v>0.24582691409270399</v>
          </cell>
          <cell r="I46">
            <v>0.23785273863018241</v>
          </cell>
          <cell r="J46">
            <v>5.6593443886625412</v>
          </cell>
          <cell r="K46">
            <v>0</v>
          </cell>
          <cell r="L46">
            <v>0</v>
          </cell>
          <cell r="M46">
            <v>0</v>
          </cell>
          <cell r="N46">
            <v>0</v>
          </cell>
          <cell r="O46">
            <v>0</v>
          </cell>
        </row>
        <row r="47">
          <cell r="B47" t="str">
            <v>BSS08CU</v>
          </cell>
          <cell r="C47" t="str">
            <v>Cadia Mine</v>
          </cell>
          <cell r="D47" t="str">
            <v>t-2</v>
          </cell>
          <cell r="E47">
            <v>1676813.5249389624</v>
          </cell>
          <cell r="F47">
            <v>0</v>
          </cell>
          <cell r="G47">
            <v>0.15079740002778436</v>
          </cell>
          <cell r="H47">
            <v>0.15079740002778436</v>
          </cell>
          <cell r="I47">
            <v>0.15079740002778436</v>
          </cell>
          <cell r="J47">
            <v>3.3677136940362473</v>
          </cell>
          <cell r="K47">
            <v>0</v>
          </cell>
          <cell r="L47">
            <v>0</v>
          </cell>
          <cell r="M47">
            <v>0</v>
          </cell>
          <cell r="N47">
            <v>0</v>
          </cell>
          <cell r="O47">
            <v>0</v>
          </cell>
        </row>
        <row r="48">
          <cell r="B48" t="str">
            <v>BSS10CU</v>
          </cell>
          <cell r="C48" t="str">
            <v>Ulan Coal Mine Cassilis Road</v>
          </cell>
          <cell r="D48" t="str">
            <v>t-2</v>
          </cell>
          <cell r="E48">
            <v>794932.47403242975</v>
          </cell>
          <cell r="F48">
            <v>0</v>
          </cell>
          <cell r="G48">
            <v>0.26592183625825844</v>
          </cell>
          <cell r="H48">
            <v>0.23785273863018241</v>
          </cell>
          <cell r="I48">
            <v>0.23200500995766657</v>
          </cell>
          <cell r="J48">
            <v>3.7464059749718182</v>
          </cell>
          <cell r="K48">
            <v>0</v>
          </cell>
          <cell r="L48">
            <v>0</v>
          </cell>
          <cell r="M48">
            <v>0</v>
          </cell>
          <cell r="N48">
            <v>0</v>
          </cell>
          <cell r="O48">
            <v>0</v>
          </cell>
        </row>
        <row r="49">
          <cell r="B49" t="str">
            <v>BSS11CU</v>
          </cell>
          <cell r="C49" t="str">
            <v>Cobar Mine</v>
          </cell>
          <cell r="D49" t="str">
            <v>t-2</v>
          </cell>
          <cell r="E49">
            <v>468423.80441832298</v>
          </cell>
          <cell r="F49">
            <v>0</v>
          </cell>
          <cell r="G49">
            <v>0.67802722416137473</v>
          </cell>
          <cell r="H49">
            <v>0.58946071535763478</v>
          </cell>
          <cell r="I49">
            <v>0.40488513398513482</v>
          </cell>
          <cell r="J49">
            <v>7.2475476623590467</v>
          </cell>
          <cell r="K49">
            <v>0</v>
          </cell>
          <cell r="L49">
            <v>0</v>
          </cell>
          <cell r="M49">
            <v>0</v>
          </cell>
          <cell r="N49">
            <v>0</v>
          </cell>
          <cell r="O49">
            <v>0</v>
          </cell>
        </row>
        <row r="50">
          <cell r="B50" t="str">
            <v>BSS12CU</v>
          </cell>
          <cell r="C50" t="str">
            <v>Endeavor Operations Pty Ltd</v>
          </cell>
          <cell r="D50" t="str">
            <v>t-2</v>
          </cell>
          <cell r="E50">
            <v>999133.65448265942</v>
          </cell>
          <cell r="F50">
            <v>0</v>
          </cell>
          <cell r="G50">
            <v>0.47420729933932254</v>
          </cell>
          <cell r="H50">
            <v>0.35682743653100468</v>
          </cell>
          <cell r="I50">
            <v>0.3287583389029286</v>
          </cell>
          <cell r="J50">
            <v>6.1821479319079744</v>
          </cell>
          <cell r="K50">
            <v>0</v>
          </cell>
          <cell r="L50">
            <v>0</v>
          </cell>
          <cell r="M50">
            <v>0</v>
          </cell>
          <cell r="N50">
            <v>0</v>
          </cell>
          <cell r="O50">
            <v>0</v>
          </cell>
        </row>
        <row r="51">
          <cell r="B51" t="str">
            <v>BSS13CU</v>
          </cell>
          <cell r="C51" t="str">
            <v>Uncle Bens-Bathurst</v>
          </cell>
          <cell r="D51" t="str">
            <v>t-2</v>
          </cell>
          <cell r="E51">
            <v>317250.9899910324</v>
          </cell>
          <cell r="F51">
            <v>0</v>
          </cell>
          <cell r="G51">
            <v>0.36639644708603059</v>
          </cell>
          <cell r="H51">
            <v>0.29579841365783932</v>
          </cell>
          <cell r="I51">
            <v>0.27878683933779325</v>
          </cell>
          <cell r="J51">
            <v>3.8543115357516835</v>
          </cell>
          <cell r="K51">
            <v>0</v>
          </cell>
          <cell r="L51">
            <v>0</v>
          </cell>
          <cell r="M51">
            <v>0</v>
          </cell>
          <cell r="N51">
            <v>0</v>
          </cell>
          <cell r="O51">
            <v>0</v>
          </cell>
        </row>
        <row r="52">
          <cell r="B52" t="str">
            <v>BSS20CU</v>
          </cell>
          <cell r="C52" t="str">
            <v>Nth Parkes Mine</v>
          </cell>
          <cell r="D52" t="str">
            <v>t-2</v>
          </cell>
          <cell r="E52">
            <v>1113505.9702013836</v>
          </cell>
          <cell r="F52">
            <v>0</v>
          </cell>
          <cell r="G52">
            <v>0.20117153150258305</v>
          </cell>
          <cell r="H52">
            <v>0.20117153150258305</v>
          </cell>
          <cell r="I52">
            <v>0.20117153150258305</v>
          </cell>
          <cell r="J52">
            <v>5.5836697179578376</v>
          </cell>
          <cell r="K52">
            <v>0</v>
          </cell>
          <cell r="L52">
            <v>0</v>
          </cell>
          <cell r="M52">
            <v>0</v>
          </cell>
          <cell r="N52">
            <v>0</v>
          </cell>
          <cell r="O52">
            <v>0</v>
          </cell>
        </row>
        <row r="53">
          <cell r="B53" t="str">
            <v>BSS25AO</v>
          </cell>
          <cell r="C53" t="str">
            <v>Tritton Mine</v>
          </cell>
          <cell r="D53" t="str">
            <v>t-2</v>
          </cell>
          <cell r="E53">
            <v>224064.68516093251</v>
          </cell>
          <cell r="F53">
            <v>0</v>
          </cell>
          <cell r="G53">
            <v>0.20117153150258305</v>
          </cell>
          <cell r="H53">
            <v>0.20117153150258305</v>
          </cell>
          <cell r="I53">
            <v>0.20117153150258305</v>
          </cell>
          <cell r="J53">
            <v>0</v>
          </cell>
          <cell r="K53">
            <v>3.7768710682586244</v>
          </cell>
          <cell r="L53">
            <v>3.6538561214567924</v>
          </cell>
          <cell r="M53">
            <v>3.0315823983990078</v>
          </cell>
          <cell r="N53">
            <v>0</v>
          </cell>
          <cell r="O53">
            <v>0</v>
          </cell>
        </row>
        <row r="54">
          <cell r="B54" t="str">
            <v>BSS26AO</v>
          </cell>
          <cell r="C54" t="str">
            <v>Lake Cowal Mine</v>
          </cell>
          <cell r="D54" t="str">
            <v>t-2</v>
          </cell>
          <cell r="E54">
            <v>956625.61715833901</v>
          </cell>
          <cell r="F54">
            <v>0</v>
          </cell>
          <cell r="G54">
            <v>0.21265434416861415</v>
          </cell>
          <cell r="H54">
            <v>0.20914570696510465</v>
          </cell>
          <cell r="I54">
            <v>0.20755087187260032</v>
          </cell>
          <cell r="J54">
            <v>0</v>
          </cell>
          <cell r="K54">
            <v>1.2854561647810421</v>
          </cell>
          <cell r="L54">
            <v>1.2315507386543958</v>
          </cell>
          <cell r="M54">
            <v>0.92889942921118618</v>
          </cell>
          <cell r="N54">
            <v>0</v>
          </cell>
          <cell r="O54">
            <v>0</v>
          </cell>
        </row>
        <row r="55">
          <cell r="B55" t="str">
            <v>BSS27AO</v>
          </cell>
          <cell r="C55" t="str">
            <v>Manildra Flour Mill</v>
          </cell>
          <cell r="D55" t="str">
            <v>t-1</v>
          </cell>
          <cell r="E55">
            <v>291704.11466729664</v>
          </cell>
          <cell r="F55">
            <v>0</v>
          </cell>
          <cell r="G55">
            <v>0.44188530813123506</v>
          </cell>
          <cell r="H55">
            <v>0.44188530813123506</v>
          </cell>
          <cell r="I55">
            <v>0.44188530813123506</v>
          </cell>
          <cell r="J55">
            <v>6.8913294043540709</v>
          </cell>
          <cell r="K55">
            <v>0</v>
          </cell>
          <cell r="L55">
            <v>0</v>
          </cell>
          <cell r="M55">
            <v>0</v>
          </cell>
          <cell r="N55">
            <v>0</v>
          </cell>
          <cell r="O55">
            <v>0</v>
          </cell>
        </row>
        <row r="56">
          <cell r="B56" t="str">
            <v>CRNP1</v>
          </cell>
          <cell r="C56" t="str">
            <v>Perilya Mine, Broken Hill          </v>
          </cell>
          <cell r="D56" t="str">
            <v>t-2</v>
          </cell>
          <cell r="E56">
            <v>699325.9383727496</v>
          </cell>
          <cell r="F56">
            <v>0</v>
          </cell>
          <cell r="G56">
            <v>0.15079740002778436</v>
          </cell>
          <cell r="H56">
            <v>0.15079740002778436</v>
          </cell>
          <cell r="I56">
            <v>0.15079740002778436</v>
          </cell>
          <cell r="J56">
            <v>0</v>
          </cell>
          <cell r="K56">
            <v>0</v>
          </cell>
          <cell r="L56">
            <v>0</v>
          </cell>
          <cell r="M56">
            <v>0</v>
          </cell>
          <cell r="N56">
            <v>0</v>
          </cell>
          <cell r="O56">
            <v>9.6102031910389538</v>
          </cell>
        </row>
        <row r="57">
          <cell r="B57" t="str">
            <v>CRNP2</v>
          </cell>
          <cell r="C57" t="str">
            <v>Bemax and Snapper      </v>
          </cell>
          <cell r="D57" t="str">
            <v>t-2</v>
          </cell>
          <cell r="E57">
            <v>418228.58739438787</v>
          </cell>
          <cell r="F57">
            <v>0</v>
          </cell>
          <cell r="G57">
            <v>3.1401038129603274</v>
          </cell>
          <cell r="H57">
            <v>3.1401038129603274</v>
          </cell>
          <cell r="I57">
            <v>0.81714622425582495</v>
          </cell>
          <cell r="J57">
            <v>0</v>
          </cell>
          <cell r="K57">
            <v>0</v>
          </cell>
          <cell r="L57">
            <v>0</v>
          </cell>
          <cell r="M57">
            <v>0</v>
          </cell>
          <cell r="N57">
            <v>0</v>
          </cell>
          <cell r="O57">
            <v>1.7835269487228589</v>
          </cell>
        </row>
        <row r="58">
          <cell r="B58" t="str">
            <v>BSS21SU</v>
          </cell>
          <cell r="C58" t="str">
            <v>IDT Blowering Dam</v>
          </cell>
          <cell r="D58" t="str">
            <v>t-2</v>
          </cell>
          <cell r="E58">
            <v>0</v>
          </cell>
          <cell r="F58">
            <v>0</v>
          </cell>
          <cell r="G58">
            <v>2.2759193511351756</v>
          </cell>
          <cell r="H58">
            <v>2.2759193511351756</v>
          </cell>
          <cell r="I58">
            <v>1.1285195877612202</v>
          </cell>
          <cell r="J58">
            <v>0</v>
          </cell>
          <cell r="K58">
            <v>0</v>
          </cell>
          <cell r="L58">
            <v>0</v>
          </cell>
          <cell r="M58">
            <v>0</v>
          </cell>
          <cell r="N58">
            <v>0</v>
          </cell>
          <cell r="O58">
            <v>0</v>
          </cell>
        </row>
        <row r="59">
          <cell r="B59" t="str">
            <v>BSS22SU</v>
          </cell>
          <cell r="C59" t="str">
            <v>IDT Cabramurra Aux</v>
          </cell>
          <cell r="D59" t="str">
            <v>t-2</v>
          </cell>
          <cell r="E59">
            <v>0</v>
          </cell>
          <cell r="F59">
            <v>0</v>
          </cell>
          <cell r="G59">
            <v>4.69897924444233</v>
          </cell>
          <cell r="H59">
            <v>4.69897924444233</v>
          </cell>
          <cell r="I59">
            <v>2.2373788273637238</v>
          </cell>
          <cell r="J59">
            <v>0</v>
          </cell>
          <cell r="K59">
            <v>0</v>
          </cell>
          <cell r="L59">
            <v>0</v>
          </cell>
          <cell r="M59">
            <v>0</v>
          </cell>
          <cell r="N59">
            <v>0</v>
          </cell>
          <cell r="O59">
            <v>0</v>
          </cell>
        </row>
        <row r="60">
          <cell r="B60" t="str">
            <v>BSS24NU</v>
          </cell>
          <cell r="C60" t="str">
            <v>Kirra - IDC</v>
          </cell>
          <cell r="D60" t="str">
            <v>t-2</v>
          </cell>
          <cell r="E60">
            <v>29565.246281378008</v>
          </cell>
          <cell r="F60">
            <v>0</v>
          </cell>
          <cell r="G60">
            <v>0.6138196349529722</v>
          </cell>
          <cell r="H60">
            <v>0.35364265159264441</v>
          </cell>
          <cell r="I60">
            <v>0.29111202364534422</v>
          </cell>
          <cell r="J60">
            <v>0</v>
          </cell>
          <cell r="K60">
            <v>5.415360782358607</v>
          </cell>
          <cell r="L60">
            <v>3.9103036394146704</v>
          </cell>
          <cell r="M60">
            <v>1.4933616855989047</v>
          </cell>
          <cell r="N60">
            <v>0</v>
          </cell>
          <cell r="O60">
            <v>0</v>
          </cell>
        </row>
        <row r="61">
          <cell r="B61" t="str">
            <v/>
          </cell>
          <cell r="C61" t="str">
            <v/>
          </cell>
          <cell r="D61" t="str">
            <v/>
          </cell>
          <cell r="E61">
            <v>0</v>
          </cell>
          <cell r="F61">
            <v>0</v>
          </cell>
          <cell r="G61">
            <v>0</v>
          </cell>
          <cell r="H61">
            <v>0</v>
          </cell>
          <cell r="I61">
            <v>0</v>
          </cell>
          <cell r="J61">
            <v>0</v>
          </cell>
          <cell r="K61">
            <v>0</v>
          </cell>
          <cell r="L61">
            <v>0</v>
          </cell>
          <cell r="M61">
            <v>0</v>
          </cell>
          <cell r="N61">
            <v>0</v>
          </cell>
          <cell r="O61">
            <v>0</v>
          </cell>
        </row>
        <row r="62">
          <cell r="B62" t="str">
            <v/>
          </cell>
          <cell r="C62" t="str">
            <v/>
          </cell>
          <cell r="D62" t="str">
            <v/>
          </cell>
          <cell r="E62">
            <v>0</v>
          </cell>
          <cell r="F62">
            <v>0</v>
          </cell>
          <cell r="G62">
            <v>0</v>
          </cell>
          <cell r="H62">
            <v>0</v>
          </cell>
          <cell r="I62">
            <v>0</v>
          </cell>
          <cell r="J62">
            <v>0</v>
          </cell>
          <cell r="K62">
            <v>0</v>
          </cell>
          <cell r="L62">
            <v>0</v>
          </cell>
          <cell r="M62">
            <v>0</v>
          </cell>
          <cell r="N62">
            <v>0</v>
          </cell>
          <cell r="O62">
            <v>0</v>
          </cell>
        </row>
        <row r="63">
          <cell r="B63" t="str">
            <v/>
          </cell>
          <cell r="C63" t="str">
            <v/>
          </cell>
          <cell r="D63" t="str">
            <v/>
          </cell>
          <cell r="E63">
            <v>0</v>
          </cell>
          <cell r="F63">
            <v>0</v>
          </cell>
          <cell r="G63">
            <v>0</v>
          </cell>
          <cell r="H63">
            <v>0</v>
          </cell>
          <cell r="I63">
            <v>0</v>
          </cell>
          <cell r="J63">
            <v>0</v>
          </cell>
          <cell r="K63">
            <v>0</v>
          </cell>
          <cell r="L63">
            <v>0</v>
          </cell>
          <cell r="M63">
            <v>0</v>
          </cell>
          <cell r="N63">
            <v>0</v>
          </cell>
          <cell r="O63">
            <v>0</v>
          </cell>
        </row>
        <row r="64">
          <cell r="B64" t="str">
            <v>Tariff Class E; unmetered</v>
          </cell>
        </row>
        <row r="65">
          <cell r="B65" t="str">
            <v>BLNP1AO</v>
          </cell>
          <cell r="C65" t="str">
            <v>LV Public Lighting NUOS</v>
          </cell>
          <cell r="D65" t="str">
            <v>t-2</v>
          </cell>
          <cell r="E65">
            <v>305.29391105604242</v>
          </cell>
          <cell r="F65">
            <v>15.705849250318636</v>
          </cell>
          <cell r="G65">
            <v>0</v>
          </cell>
          <cell r="H65">
            <v>0</v>
          </cell>
          <cell r="I65">
            <v>0</v>
          </cell>
          <cell r="J65">
            <v>0</v>
          </cell>
          <cell r="K65">
            <v>0</v>
          </cell>
          <cell r="L65">
            <v>0</v>
          </cell>
          <cell r="M65">
            <v>0</v>
          </cell>
          <cell r="N65">
            <v>0</v>
          </cell>
          <cell r="O65">
            <v>0</v>
          </cell>
        </row>
        <row r="66">
          <cell r="B66" t="str">
            <v>BLNP3AO</v>
          </cell>
          <cell r="C66" t="str">
            <v>LV Public Lighting ToU NUOS</v>
          </cell>
          <cell r="D66" t="str">
            <v>t-2</v>
          </cell>
          <cell r="E66">
            <v>0</v>
          </cell>
          <cell r="F66">
            <v>0</v>
          </cell>
          <cell r="G66">
            <v>16.784139920789336</v>
          </cell>
          <cell r="H66">
            <v>14.157695168882997</v>
          </cell>
          <cell r="I66">
            <v>6.831010464083068</v>
          </cell>
          <cell r="J66">
            <v>0</v>
          </cell>
          <cell r="K66">
            <v>0</v>
          </cell>
          <cell r="L66">
            <v>0</v>
          </cell>
          <cell r="M66">
            <v>0</v>
          </cell>
          <cell r="N66">
            <v>0</v>
          </cell>
          <cell r="O66">
            <v>0</v>
          </cell>
        </row>
      </sheetData>
      <sheetData sheetId="3"/>
      <sheetData sheetId="4"/>
      <sheetData sheetId="5">
        <row r="10">
          <cell r="B10" t="str">
            <v>BLNN2AU</v>
          </cell>
          <cell r="C10" t="str">
            <v>LV Residential Anytime</v>
          </cell>
          <cell r="D10" t="str">
            <v>t-2</v>
          </cell>
          <cell r="E10">
            <v>305.29391105604242</v>
          </cell>
          <cell r="F10">
            <v>8.0981673118205411</v>
          </cell>
        </row>
        <row r="11">
          <cell r="B11" t="str">
            <v>BLNT3AU</v>
          </cell>
          <cell r="C11" t="str">
            <v>LV Residential ToU</v>
          </cell>
          <cell r="D11" t="str">
            <v>t-2</v>
          </cell>
          <cell r="E11">
            <v>305.29391105604242</v>
          </cell>
          <cell r="G11">
            <v>10.390854668211407</v>
          </cell>
          <cell r="H11">
            <v>9.0325730122360568</v>
          </cell>
          <cell r="I11">
            <v>2.6067605742417239</v>
          </cell>
        </row>
        <row r="12">
          <cell r="B12" t="str">
            <v>BLNT3AL</v>
          </cell>
          <cell r="C12" t="str">
            <v>LV Residential ToU_Interval meter</v>
          </cell>
          <cell r="D12" t="str">
            <v>t</v>
          </cell>
          <cell r="E12">
            <v>305.29391105604242</v>
          </cell>
          <cell r="G12">
            <v>10.910397401621976</v>
          </cell>
          <cell r="H12">
            <v>8.5809443616242529</v>
          </cell>
          <cell r="I12">
            <v>2.6067605742417239</v>
          </cell>
        </row>
        <row r="13">
          <cell r="B13" t="str">
            <v>BLND1AR</v>
          </cell>
          <cell r="C13" t="str">
            <v>Small Residential-Opt in Demand</v>
          </cell>
          <cell r="D13" t="str">
            <v>t</v>
          </cell>
          <cell r="E13">
            <v>305.29391105604242</v>
          </cell>
          <cell r="G13">
            <v>0.84721375411280431</v>
          </cell>
          <cell r="H13">
            <v>0.50874355332754184</v>
          </cell>
          <cell r="I13">
            <v>0.25956303741201114</v>
          </cell>
          <cell r="K13">
            <v>3.9747932149271845</v>
          </cell>
        </row>
        <row r="14">
          <cell r="B14" t="str">
            <v>BLNC1AU</v>
          </cell>
          <cell r="C14" t="str">
            <v>Energy Saver 1</v>
          </cell>
          <cell r="D14" t="str">
            <v>t-2</v>
          </cell>
          <cell r="E14">
            <v>33.007823171290354</v>
          </cell>
          <cell r="F14">
            <v>0.36729208045949219</v>
          </cell>
        </row>
        <row r="15">
          <cell r="B15" t="str">
            <v>BLNC2AU</v>
          </cell>
          <cell r="C15" t="str">
            <v>Energy Saver 2</v>
          </cell>
          <cell r="D15" t="str">
            <v>t-2</v>
          </cell>
          <cell r="E15">
            <v>33.007823171290354</v>
          </cell>
          <cell r="F15">
            <v>2.4506212074658968</v>
          </cell>
        </row>
        <row r="16">
          <cell r="B16" t="str">
            <v>BLNN1AU</v>
          </cell>
          <cell r="C16" t="str">
            <v>LV Small business Anytime</v>
          </cell>
          <cell r="D16" t="str">
            <v>t-2</v>
          </cell>
          <cell r="E16">
            <v>305.29391105604242</v>
          </cell>
          <cell r="F16">
            <v>11.668234761929696</v>
          </cell>
          <cell r="G16">
            <v>0</v>
          </cell>
          <cell r="H16">
            <v>0</v>
          </cell>
          <cell r="I16">
            <v>0</v>
          </cell>
        </row>
        <row r="17">
          <cell r="B17" t="str">
            <v>BLNT2AU</v>
          </cell>
          <cell r="C17" t="str">
            <v>LV ToU &lt; 100MWh</v>
          </cell>
          <cell r="D17" t="str">
            <v>t-2</v>
          </cell>
          <cell r="E17">
            <v>1860.5009008122079</v>
          </cell>
          <cell r="G17">
            <v>10.852987933361637</v>
          </cell>
          <cell r="H17">
            <v>9.4342967002424682</v>
          </cell>
          <cell r="I17">
            <v>4.2456913900305562</v>
          </cell>
        </row>
        <row r="18">
          <cell r="B18" t="str">
            <v>BLNT2AL</v>
          </cell>
          <cell r="C18" t="str">
            <v>LV Business ToU_Interval meter</v>
          </cell>
          <cell r="D18" t="str">
            <v>t</v>
          </cell>
          <cell r="E18">
            <v>529.24571883061992</v>
          </cell>
          <cell r="G18">
            <v>11.395637330029723</v>
          </cell>
          <cell r="H18">
            <v>8.9625818652303462</v>
          </cell>
          <cell r="I18">
            <v>4.0334068205290281</v>
          </cell>
        </row>
        <row r="19">
          <cell r="B19" t="str">
            <v>BLNT1AO</v>
          </cell>
          <cell r="C19" t="str">
            <v>LV ToU &gt; 100 MWh/yr</v>
          </cell>
          <cell r="D19" t="str">
            <v>t-2</v>
          </cell>
          <cell r="E19">
            <v>1860.5009008122079</v>
          </cell>
          <cell r="G19">
            <v>10.852987933361637</v>
          </cell>
          <cell r="H19">
            <v>9.4342967002424682</v>
          </cell>
          <cell r="I19">
            <v>4.2456913900305562</v>
          </cell>
        </row>
        <row r="20">
          <cell r="B20" t="str">
            <v>BLND1AB</v>
          </cell>
          <cell r="C20" t="str">
            <v>Small business-Opt in Demand</v>
          </cell>
          <cell r="D20" t="str">
            <v>t</v>
          </cell>
          <cell r="E20">
            <v>529.24571883061992</v>
          </cell>
          <cell r="G20">
            <v>2.3039999999999998</v>
          </cell>
          <cell r="H20">
            <v>1.44</v>
          </cell>
          <cell r="I20">
            <v>0.53999999999999992</v>
          </cell>
          <cell r="K20">
            <v>6.4590389742566758</v>
          </cell>
        </row>
        <row r="21">
          <cell r="B21" t="str">
            <v>BLNT1SU</v>
          </cell>
          <cell r="C21" t="str">
            <v>LV ToU &gt; 100 MWh/yr Sth U</v>
          </cell>
          <cell r="D21" t="str">
            <v>t-2</v>
          </cell>
          <cell r="E21">
            <v>2434.515307461289</v>
          </cell>
          <cell r="G21">
            <v>11.493500812955348</v>
          </cell>
          <cell r="H21">
            <v>9.4032091791471029</v>
          </cell>
          <cell r="I21">
            <v>4.318062403875925</v>
          </cell>
        </row>
        <row r="23">
          <cell r="B23" t="str">
            <v>Tariff Class B; Low voltage - Large Business</v>
          </cell>
        </row>
        <row r="24">
          <cell r="B24" t="str">
            <v>BLND3AO</v>
          </cell>
          <cell r="C24" t="str">
            <v>LV ToU Demand 3 Rate</v>
          </cell>
          <cell r="D24" t="str">
            <v>t-2</v>
          </cell>
          <cell r="E24">
            <v>5465.957690318648</v>
          </cell>
          <cell r="G24">
            <v>0.77317518400213903</v>
          </cell>
          <cell r="H24">
            <v>0.64574941357707771</v>
          </cell>
          <cell r="I24">
            <v>0.1768340681182797</v>
          </cell>
          <cell r="K24">
            <v>9.9525804546138268</v>
          </cell>
          <cell r="L24">
            <v>9.0047156494125069</v>
          </cell>
          <cell r="M24">
            <v>2.1847908842417643</v>
          </cell>
        </row>
        <row r="25">
          <cell r="B25" t="str">
            <v>BLND3TO</v>
          </cell>
          <cell r="C25" t="str">
            <v>LV ToU Demand-alternate tariff</v>
          </cell>
          <cell r="D25" t="str">
            <v>t-2</v>
          </cell>
          <cell r="E25">
            <v>5465.957690318648</v>
          </cell>
          <cell r="G25">
            <v>9.6142751072973134</v>
          </cell>
          <cell r="H25">
            <v>8.0297617421833394</v>
          </cell>
          <cell r="I25">
            <v>2.5204575004160605</v>
          </cell>
          <cell r="K25">
            <v>11.853746485422553</v>
          </cell>
        </row>
        <row r="26">
          <cell r="B26" t="str">
            <v>BLNDTRS</v>
          </cell>
          <cell r="C26" t="str">
            <v>Transitional Demand</v>
          </cell>
          <cell r="D26" t="str">
            <v>t</v>
          </cell>
          <cell r="E26">
            <v>4264.138760483168</v>
          </cell>
          <cell r="G26">
            <v>4.1331127671219727</v>
          </cell>
          <cell r="H26">
            <v>3.575265175798874</v>
          </cell>
          <cell r="I26">
            <v>1.5331198420890382</v>
          </cell>
          <cell r="K26">
            <v>6.6350536364092179</v>
          </cell>
          <cell r="L26">
            <v>6.0031437662750049</v>
          </cell>
          <cell r="M26">
            <v>1.4565272561611762</v>
          </cell>
        </row>
        <row r="27">
          <cell r="B27" t="str">
            <v>BLNS1AO</v>
          </cell>
          <cell r="C27" t="str">
            <v>LV ToU avg daily Demand</v>
          </cell>
          <cell r="D27" t="str">
            <v>t-2</v>
          </cell>
          <cell r="E27">
            <v>5559.1290641526275</v>
          </cell>
          <cell r="G27">
            <v>0.42387965729150762</v>
          </cell>
          <cell r="H27">
            <v>0.35402072620386454</v>
          </cell>
          <cell r="I27">
            <v>5.4604411240729268E-2</v>
          </cell>
          <cell r="K27">
            <v>10.962590198227328</v>
          </cell>
          <cell r="L27">
            <v>9.9185339888723423</v>
          </cell>
          <cell r="M27">
            <v>2.5349646633596161</v>
          </cell>
        </row>
        <row r="28">
          <cell r="B28" t="str">
            <v>BLND1CO</v>
          </cell>
          <cell r="C28" t="str">
            <v>LV 1 Rate Dmd Cent</v>
          </cell>
          <cell r="D28" t="str">
            <v>t-2</v>
          </cell>
          <cell r="E28">
            <v>7167.6668703945406</v>
          </cell>
          <cell r="G28">
            <v>1.9034618440996351</v>
          </cell>
          <cell r="H28">
            <v>1.5897553297446261</v>
          </cell>
          <cell r="I28">
            <v>0.31856213517841453</v>
          </cell>
          <cell r="J28">
            <v>16.299089128890241</v>
          </cell>
        </row>
        <row r="29">
          <cell r="B29" t="str">
            <v>BLND1SR</v>
          </cell>
          <cell r="C29" t="str">
            <v>LV 1 Rate Dmd Sth Rural</v>
          </cell>
          <cell r="D29" t="str">
            <v>t-2</v>
          </cell>
          <cell r="E29">
            <v>5559.1290641526275</v>
          </cell>
          <cell r="G29">
            <v>7.5496629532004453</v>
          </cell>
          <cell r="H29">
            <v>6.3054150283233756</v>
          </cell>
          <cell r="I29">
            <v>1.8339437559311331</v>
          </cell>
          <cell r="J29">
            <v>10.825652154942023</v>
          </cell>
          <cell r="N29">
            <v>3.9355754272789323</v>
          </cell>
        </row>
        <row r="30">
          <cell r="B30" t="str">
            <v>BLND1SU</v>
          </cell>
          <cell r="C30" t="str">
            <v>LV 1 Rate Dmd Sth Urburn</v>
          </cell>
          <cell r="D30" t="str">
            <v>t-2</v>
          </cell>
          <cell r="E30">
            <v>1495.7318716331188</v>
          </cell>
          <cell r="G30">
            <v>9.1293394356650808</v>
          </cell>
          <cell r="H30">
            <v>7.6247475461014149</v>
          </cell>
          <cell r="I30">
            <v>3.2119406780021764</v>
          </cell>
          <cell r="J30">
            <v>10.617936974582287</v>
          </cell>
          <cell r="N30">
            <v>3.9405609161465502</v>
          </cell>
        </row>
        <row r="31">
          <cell r="B31" t="str">
            <v>TLD</v>
          </cell>
          <cell r="C31" t="str">
            <v>Time of Day - LV Demand - FW</v>
          </cell>
          <cell r="D31" t="str">
            <v>t-2</v>
          </cell>
        </row>
        <row r="32">
          <cell r="B32" t="str">
            <v>BLND4NO</v>
          </cell>
          <cell r="C32" t="str">
            <v>LV 3 Rate Dmd Option 2 Nth U</v>
          </cell>
          <cell r="D32" t="str">
            <v>t-2</v>
          </cell>
        </row>
        <row r="34">
          <cell r="B34" t="str">
            <v>Tariff Class C; High voltage - demand</v>
          </cell>
        </row>
        <row r="35">
          <cell r="B35" t="str">
            <v>BHND3AO</v>
          </cell>
          <cell r="C35" t="str">
            <v>HV ToU mthly Demand</v>
          </cell>
          <cell r="D35" t="str">
            <v>t-2</v>
          </cell>
          <cell r="E35">
            <v>6765.9785450243717</v>
          </cell>
          <cell r="G35">
            <v>0.59302537013018031</v>
          </cell>
          <cell r="H35">
            <v>0.49528980355483565</v>
          </cell>
          <cell r="I35">
            <v>0.26540759245417977</v>
          </cell>
          <cell r="K35">
            <v>8.8050500614492062</v>
          </cell>
          <cell r="L35">
            <v>7.966473865120709</v>
          </cell>
          <cell r="M35">
            <v>2.3839385086497948</v>
          </cell>
        </row>
        <row r="36">
          <cell r="B36" t="str">
            <v>BHNS1AO</v>
          </cell>
          <cell r="C36" t="str">
            <v>HV ToU avg daily Demand</v>
          </cell>
          <cell r="D36" t="str">
            <v>t-2</v>
          </cell>
          <cell r="E36">
            <v>6576.326539479458</v>
          </cell>
          <cell r="G36">
            <v>0.55402030604406405</v>
          </cell>
          <cell r="H36">
            <v>0.50125646737320073</v>
          </cell>
          <cell r="I36">
            <v>0.25796815381853733</v>
          </cell>
          <cell r="K36">
            <v>9.3237777762520615</v>
          </cell>
          <cell r="L36">
            <v>8.435798940418529</v>
          </cell>
          <cell r="M36">
            <v>2.5243056282931802</v>
          </cell>
        </row>
        <row r="37">
          <cell r="B37" t="str">
            <v>BHND1CO</v>
          </cell>
          <cell r="C37" t="str">
            <v>HV 1 Rate Dmd Cent U</v>
          </cell>
          <cell r="D37" t="str">
            <v>t-2</v>
          </cell>
          <cell r="E37">
            <v>9197.3357240546466</v>
          </cell>
          <cell r="G37">
            <v>2.416198870627035</v>
          </cell>
          <cell r="H37">
            <v>2.2304088767303005</v>
          </cell>
          <cell r="I37">
            <v>0.48424430913770666</v>
          </cell>
          <cell r="J37">
            <v>11.881907759990797</v>
          </cell>
        </row>
        <row r="38">
          <cell r="B38" t="str">
            <v>BHND1SO</v>
          </cell>
          <cell r="C38" t="str">
            <v>HV 1 Rate Dmd Sth U</v>
          </cell>
          <cell r="D38" t="str">
            <v>t-2</v>
          </cell>
          <cell r="E38">
            <v>6855.6356130188879</v>
          </cell>
          <cell r="G38">
            <v>1.8181192254035115</v>
          </cell>
          <cell r="H38">
            <v>1.6783176702013958</v>
          </cell>
          <cell r="I38">
            <v>1.7690989331594655</v>
          </cell>
          <cell r="J38">
            <v>8.5806864231874318</v>
          </cell>
          <cell r="N38">
            <v>3.1601085460911991</v>
          </cell>
        </row>
        <row r="40">
          <cell r="B40" t="str">
            <v>Tariff Class D; Subtransmission</v>
          </cell>
        </row>
        <row r="41">
          <cell r="B41" t="str">
            <v>BSSD3AO</v>
          </cell>
          <cell r="C41" t="str">
            <v>SUB TRANS 3 RATE DEMAND</v>
          </cell>
          <cell r="D41" t="str">
            <v>t-2</v>
          </cell>
          <cell r="E41">
            <v>6716.2293799810413</v>
          </cell>
          <cell r="G41">
            <v>0.21127992545075025</v>
          </cell>
          <cell r="H41">
            <v>0.11242528431654031</v>
          </cell>
          <cell r="I41">
            <v>9.6328039587260911E-2</v>
          </cell>
          <cell r="K41">
            <v>3.3978493257502036</v>
          </cell>
          <cell r="L41">
            <v>2.4223418608350613</v>
          </cell>
          <cell r="M41">
            <v>0.96561948734161551</v>
          </cell>
        </row>
        <row r="43">
          <cell r="B43" t="str">
            <v>BSS04CU</v>
          </cell>
          <cell r="C43" t="str">
            <v>Peak Gold Mines</v>
          </cell>
          <cell r="D43" t="str">
            <v>t-2</v>
          </cell>
          <cell r="E43">
            <v>365091.19370807015</v>
          </cell>
          <cell r="G43">
            <v>7.7083696137708782E-2</v>
          </cell>
          <cell r="H43">
            <v>4.4230093232119801E-2</v>
          </cell>
          <cell r="I43">
            <v>3.6893851806599924E-2</v>
          </cell>
          <cell r="J43">
            <v>3.527349935261554</v>
          </cell>
        </row>
        <row r="44">
          <cell r="B44" t="str">
            <v>BSS05CU</v>
          </cell>
          <cell r="C44" t="str">
            <v>Oberon Timber Complex</v>
          </cell>
          <cell r="D44" t="str">
            <v>t-2</v>
          </cell>
          <cell r="E44">
            <v>234152.74052414994</v>
          </cell>
          <cell r="G44">
            <v>6.5494561132177387E-2</v>
          </cell>
          <cell r="H44">
            <v>3.7957075201602811E-2</v>
          </cell>
          <cell r="I44">
            <v>3.1258767813084662E-2</v>
          </cell>
          <cell r="J44">
            <v>1.580906866029782</v>
          </cell>
        </row>
        <row r="45">
          <cell r="B45" t="str">
            <v>BSS05NO</v>
          </cell>
          <cell r="C45" t="str">
            <v>Harwood Sugar</v>
          </cell>
          <cell r="D45" t="str">
            <v>t-2</v>
          </cell>
          <cell r="E45">
            <v>248.9304733475737</v>
          </cell>
          <cell r="G45">
            <v>1.614930014669874</v>
          </cell>
          <cell r="H45">
            <v>0.90182608364144246</v>
          </cell>
          <cell r="I45">
            <v>0.81272796314020124</v>
          </cell>
          <cell r="J45">
            <v>3.2981189712989334</v>
          </cell>
        </row>
        <row r="46">
          <cell r="B46" t="str">
            <v>BSS06CU</v>
          </cell>
          <cell r="C46" t="str">
            <v>Fletcher International Exports</v>
          </cell>
          <cell r="D46" t="str">
            <v>t-2</v>
          </cell>
          <cell r="E46">
            <v>209893.87702483541</v>
          </cell>
          <cell r="G46">
            <v>7.7827952514210805E-2</v>
          </cell>
          <cell r="H46">
            <v>4.4655382590120953E-2</v>
          </cell>
          <cell r="I46">
            <v>3.6681207127599355E-2</v>
          </cell>
          <cell r="J46">
            <v>2.9435339690654723</v>
          </cell>
        </row>
        <row r="47">
          <cell r="B47" t="str">
            <v>BSS08CU</v>
          </cell>
          <cell r="C47" t="str">
            <v>Cadia Mine</v>
          </cell>
          <cell r="D47" t="str">
            <v>t-2</v>
          </cell>
          <cell r="E47">
            <v>56573.30013305242</v>
          </cell>
          <cell r="G47">
            <v>0</v>
          </cell>
          <cell r="H47">
            <v>0</v>
          </cell>
          <cell r="I47">
            <v>0</v>
          </cell>
          <cell r="J47">
            <v>0.14704379552889829</v>
          </cell>
        </row>
        <row r="48">
          <cell r="B48" t="str">
            <v>BSS10CU</v>
          </cell>
          <cell r="C48" t="str">
            <v>Ulan Coal Mine Cassilis Road</v>
          </cell>
          <cell r="D48" t="str">
            <v>t-2</v>
          </cell>
          <cell r="E48">
            <v>233023.47755970262</v>
          </cell>
          <cell r="G48">
            <v>6.4750304755675378E-2</v>
          </cell>
          <cell r="H48">
            <v>3.6681207127599355E-2</v>
          </cell>
          <cell r="I48">
            <v>3.0833478455083517E-2</v>
          </cell>
          <cell r="J48">
            <v>0.18776525155750856</v>
          </cell>
        </row>
        <row r="49">
          <cell r="B49" t="str">
            <v>BSS11CU</v>
          </cell>
          <cell r="C49" t="str">
            <v>Cobar Mine</v>
          </cell>
          <cell r="D49" t="str">
            <v>t-2</v>
          </cell>
          <cell r="E49">
            <v>2919.2731249936178</v>
          </cell>
          <cell r="G49">
            <v>0.47685569265879163</v>
          </cell>
          <cell r="H49">
            <v>0.38828918385505173</v>
          </cell>
          <cell r="I49">
            <v>0.20371360248255177</v>
          </cell>
          <cell r="J49">
            <v>4.6707403742476501</v>
          </cell>
        </row>
        <row r="50">
          <cell r="B50" t="str">
            <v>BSS12CU</v>
          </cell>
          <cell r="C50" t="str">
            <v>Endeavor Operations Pty Ltd</v>
          </cell>
          <cell r="D50" t="str">
            <v>t-2</v>
          </cell>
          <cell r="E50">
            <v>742895.65448265942</v>
          </cell>
          <cell r="G50">
            <v>0.2730357678367395</v>
          </cell>
          <cell r="H50">
            <v>0.15565590502842161</v>
          </cell>
          <cell r="I50">
            <v>0.12758680740034559</v>
          </cell>
          <cell r="J50">
            <v>3.9458346635346873</v>
          </cell>
        </row>
        <row r="51">
          <cell r="B51" t="str">
            <v>BSS13CU</v>
          </cell>
          <cell r="C51" t="str">
            <v>Uncle Bens-Bathurst</v>
          </cell>
          <cell r="D51" t="str">
            <v>t-2</v>
          </cell>
          <cell r="E51">
            <v>261115.48999103237</v>
          </cell>
          <cell r="G51">
            <v>0.16522491558344751</v>
          </cell>
          <cell r="H51">
            <v>9.4626882155256289E-2</v>
          </cell>
          <cell r="I51">
            <v>7.7615307835210215E-2</v>
          </cell>
          <cell r="J51">
            <v>0.8793920700068818</v>
          </cell>
        </row>
        <row r="52">
          <cell r="B52" t="str">
            <v>BSS20CU</v>
          </cell>
          <cell r="C52" t="str">
            <v>Nth Parkes Mine</v>
          </cell>
          <cell r="D52" t="str">
            <v>t-2</v>
          </cell>
          <cell r="E52">
            <v>256024.97020138349</v>
          </cell>
          <cell r="G52">
            <v>0</v>
          </cell>
          <cell r="H52">
            <v>0</v>
          </cell>
          <cell r="I52">
            <v>0</v>
          </cell>
          <cell r="J52">
            <v>0.88003000404388354</v>
          </cell>
        </row>
        <row r="53">
          <cell r="B53" t="str">
            <v>BSS25AO</v>
          </cell>
          <cell r="C53" t="str">
            <v>Tritton Mine</v>
          </cell>
          <cell r="D53" t="str">
            <v>t-2</v>
          </cell>
          <cell r="E53">
            <v>3458.6851609324963</v>
          </cell>
          <cell r="G53">
            <v>0</v>
          </cell>
          <cell r="H53">
            <v>0</v>
          </cell>
          <cell r="I53">
            <v>0</v>
          </cell>
          <cell r="J53">
            <v>0</v>
          </cell>
          <cell r="K53">
            <v>2.7771395077475214</v>
          </cell>
          <cell r="L53">
            <v>2.6541245609456889</v>
          </cell>
          <cell r="M53">
            <v>2.2817837280156805</v>
          </cell>
        </row>
        <row r="54">
          <cell r="B54" t="str">
            <v>BSS26AO</v>
          </cell>
          <cell r="C54" t="str">
            <v>Lake Cowal Mine</v>
          </cell>
          <cell r="D54" t="str">
            <v>t-2</v>
          </cell>
          <cell r="E54">
            <v>109386.61715833889</v>
          </cell>
          <cell r="G54">
            <v>1.1482812666031104E-2</v>
          </cell>
          <cell r="H54">
            <v>7.9741754625215992E-3</v>
          </cell>
          <cell r="I54">
            <v>6.3793403700172779E-3</v>
          </cell>
          <cell r="J54">
            <v>0</v>
          </cell>
          <cell r="K54">
            <v>0.18457558137249996</v>
          </cell>
          <cell r="L54">
            <v>0.1306701552458539</v>
          </cell>
          <cell r="M54">
            <v>0.10323899165477964</v>
          </cell>
        </row>
        <row r="55">
          <cell r="B55" t="str">
            <v>BSS27AO</v>
          </cell>
          <cell r="C55" t="str">
            <v>Manildra Flour Mill</v>
          </cell>
          <cell r="D55" t="str">
            <v>t-1</v>
          </cell>
          <cell r="E55">
            <v>135501.11466729667</v>
          </cell>
          <cell r="G55">
            <v>0.24071377662865198</v>
          </cell>
          <cell r="H55">
            <v>0.24071377662865198</v>
          </cell>
          <cell r="I55">
            <v>0.24071377662865198</v>
          </cell>
          <cell r="J55">
            <v>3.0229567566721882</v>
          </cell>
        </row>
        <row r="56">
          <cell r="B56" t="str">
            <v>CRNP1</v>
          </cell>
          <cell r="C56" t="str">
            <v>Perilya Mine, Broken Hill          </v>
          </cell>
          <cell r="D56" t="str">
            <v>t-2</v>
          </cell>
          <cell r="E56">
            <v>117371.57094170499</v>
          </cell>
          <cell r="G56">
            <v>0</v>
          </cell>
          <cell r="H56">
            <v>0</v>
          </cell>
          <cell r="I56">
            <v>0</v>
          </cell>
        </row>
        <row r="57">
          <cell r="B57" t="str">
            <v>CRNP2</v>
          </cell>
          <cell r="C57" t="str">
            <v>Bemax and Snapper      </v>
          </cell>
          <cell r="D57" t="str">
            <v>t-2</v>
          </cell>
          <cell r="E57">
            <v>320155.08739438787</v>
          </cell>
          <cell r="G57">
            <v>0</v>
          </cell>
          <cell r="H57">
            <v>0</v>
          </cell>
          <cell r="I57">
            <v>0</v>
          </cell>
        </row>
        <row r="58">
          <cell r="B58" t="str">
            <v>BSS21SU</v>
          </cell>
          <cell r="C58" t="str">
            <v>IDT Blowering Dam</v>
          </cell>
          <cell r="D58" t="str">
            <v>t-2</v>
          </cell>
          <cell r="E58">
            <v>0</v>
          </cell>
          <cell r="G58">
            <v>0</v>
          </cell>
          <cell r="H58">
            <v>0</v>
          </cell>
          <cell r="I58">
            <v>0</v>
          </cell>
        </row>
        <row r="59">
          <cell r="B59" t="str">
            <v>BSS22SU</v>
          </cell>
          <cell r="C59" t="str">
            <v>IDT Cabramurra Aux</v>
          </cell>
          <cell r="D59" t="str">
            <v>t-2</v>
          </cell>
          <cell r="E59">
            <v>0</v>
          </cell>
          <cell r="G59">
            <v>0</v>
          </cell>
          <cell r="H59">
            <v>0</v>
          </cell>
          <cell r="I59">
            <v>0</v>
          </cell>
        </row>
        <row r="60">
          <cell r="B60" t="str">
            <v>BSS24NU</v>
          </cell>
          <cell r="C60" t="str">
            <v>Kirra - IDC</v>
          </cell>
          <cell r="D60" t="str">
            <v>t-2</v>
          </cell>
          <cell r="E60">
            <v>7918.7127939915608</v>
          </cell>
          <cell r="G60">
            <v>0.24400976915316092</v>
          </cell>
          <cell r="H60">
            <v>0.14066445515888099</v>
          </cell>
          <cell r="I60">
            <v>0.1157850277158136</v>
          </cell>
          <cell r="K60">
            <v>4.0796944889655498</v>
          </cell>
          <cell r="L60">
            <v>2.9085539193698775</v>
          </cell>
          <cell r="M60">
            <v>1.1594451122506404</v>
          </cell>
        </row>
        <row r="64">
          <cell r="B64" t="str">
            <v>Tariff Class E; unmetered</v>
          </cell>
        </row>
        <row r="65">
          <cell r="B65" t="str">
            <v>BLNP1AO</v>
          </cell>
          <cell r="C65" t="str">
            <v>LV Public Lighting NUOS</v>
          </cell>
          <cell r="D65" t="str">
            <v>t-2</v>
          </cell>
          <cell r="E65">
            <v>305.29391105604242</v>
          </cell>
          <cell r="F65">
            <v>12.872715600863916</v>
          </cell>
          <cell r="G65">
            <v>0</v>
          </cell>
          <cell r="H65">
            <v>0</v>
          </cell>
          <cell r="I65">
            <v>0</v>
          </cell>
        </row>
        <row r="66">
          <cell r="B66" t="str">
            <v>BLNP3AO</v>
          </cell>
          <cell r="C66" t="str">
            <v>LV Public Lighting ToU NUOS</v>
          </cell>
          <cell r="D66" t="str">
            <v>t-2</v>
          </cell>
          <cell r="E66">
            <v>0</v>
          </cell>
          <cell r="F66">
            <v>0</v>
          </cell>
          <cell r="G66">
            <v>12.940413405478091</v>
          </cell>
          <cell r="H66">
            <v>10.807724485902948</v>
          </cell>
          <cell r="I66">
            <v>4.5409158874061202</v>
          </cell>
        </row>
      </sheetData>
      <sheetData sheetId="6"/>
      <sheetData sheetId="7"/>
      <sheetData sheetId="8"/>
      <sheetData sheetId="9">
        <row r="10">
          <cell r="B10" t="str">
            <v>BLNN2AU</v>
          </cell>
          <cell r="C10" t="str">
            <v>LV Residential Anytime</v>
          </cell>
          <cell r="D10" t="str">
            <v>t-2</v>
          </cell>
          <cell r="F10">
            <v>2.0784966605225752</v>
          </cell>
        </row>
        <row r="11">
          <cell r="B11" t="str">
            <v>BLNT3AU</v>
          </cell>
          <cell r="C11" t="str">
            <v>LV Residential ToU</v>
          </cell>
          <cell r="D11" t="str">
            <v>t-2</v>
          </cell>
          <cell r="G11">
            <v>3.0890895263790998</v>
          </cell>
          <cell r="H11">
            <v>2.5953336940479033</v>
          </cell>
          <cell r="I11">
            <v>1.5354575877448029</v>
          </cell>
        </row>
        <row r="12">
          <cell r="B12" t="str">
            <v>BLNT3AL</v>
          </cell>
          <cell r="C12" t="str">
            <v>LV Residential ToU_Interval meter</v>
          </cell>
          <cell r="D12" t="str">
            <v>t</v>
          </cell>
          <cell r="G12">
            <v>3.0890895263790998</v>
          </cell>
          <cell r="H12">
            <v>2.5953336940479033</v>
          </cell>
          <cell r="I12">
            <v>1.5354575877448029</v>
          </cell>
        </row>
        <row r="13">
          <cell r="B13" t="str">
            <v>BLND1AR</v>
          </cell>
          <cell r="C13" t="str">
            <v>Small Residential-Opt in Demand</v>
          </cell>
          <cell r="D13" t="str">
            <v>t</v>
          </cell>
          <cell r="G13">
            <v>3.0890895263790998</v>
          </cell>
          <cell r="H13">
            <v>2.5953336940479033</v>
          </cell>
          <cell r="I13">
            <v>1.5354575877448029</v>
          </cell>
        </row>
        <row r="14">
          <cell r="B14" t="str">
            <v>BLNC1AU</v>
          </cell>
          <cell r="C14" t="str">
            <v>Energy Saver 1</v>
          </cell>
          <cell r="D14" t="str">
            <v>t-2</v>
          </cell>
          <cell r="F14">
            <v>1.5354575877448029</v>
          </cell>
        </row>
        <row r="15">
          <cell r="B15" t="str">
            <v>BLNC2AU</v>
          </cell>
          <cell r="C15" t="str">
            <v>Energy Saver 2</v>
          </cell>
          <cell r="D15" t="str">
            <v>t-2</v>
          </cell>
          <cell r="F15">
            <v>1.980546025226847</v>
          </cell>
        </row>
        <row r="16">
          <cell r="B16" t="str">
            <v>BLNN1AU</v>
          </cell>
          <cell r="C16" t="str">
            <v>LV Small business Anytime</v>
          </cell>
          <cell r="D16" t="str">
            <v>t-2</v>
          </cell>
          <cell r="F16">
            <v>2.0784966605225752</v>
          </cell>
        </row>
        <row r="17">
          <cell r="B17" t="str">
            <v>BLNT2AU</v>
          </cell>
          <cell r="C17" t="str">
            <v>LV ToU &lt; 100MWh</v>
          </cell>
          <cell r="D17" t="str">
            <v>t-2</v>
          </cell>
          <cell r="G17">
            <v>3.0890895263790998</v>
          </cell>
          <cell r="H17">
            <v>2.5953336940479033</v>
          </cell>
          <cell r="I17">
            <v>1.5354575877448029</v>
          </cell>
        </row>
        <row r="18">
          <cell r="B18" t="str">
            <v>BLNT2AL</v>
          </cell>
          <cell r="C18" t="str">
            <v>LV Business ToU_Interval meter</v>
          </cell>
          <cell r="D18" t="str">
            <v>t</v>
          </cell>
          <cell r="G18">
            <v>3.0890895263790998</v>
          </cell>
          <cell r="H18">
            <v>2.5953336940479033</v>
          </cell>
          <cell r="I18">
            <v>1.5354575877448029</v>
          </cell>
        </row>
        <row r="19">
          <cell r="B19" t="str">
            <v>BLNT1AO</v>
          </cell>
          <cell r="C19" t="str">
            <v>LV ToU &gt; 100 MWh/yr</v>
          </cell>
          <cell r="D19" t="str">
            <v>t-2</v>
          </cell>
          <cell r="G19">
            <v>3.0890895263790998</v>
          </cell>
          <cell r="H19">
            <v>2.5953336940479033</v>
          </cell>
          <cell r="I19">
            <v>1.5354575877448029</v>
          </cell>
        </row>
        <row r="20">
          <cell r="B20" t="str">
            <v>BLND1AB</v>
          </cell>
          <cell r="C20" t="str">
            <v>Small business-Opt in Demand</v>
          </cell>
          <cell r="D20" t="str">
            <v>t</v>
          </cell>
          <cell r="G20">
            <v>3.0890895263790998</v>
          </cell>
          <cell r="H20">
            <v>2.5953336940479033</v>
          </cell>
          <cell r="I20">
            <v>1.5354575877448029</v>
          </cell>
        </row>
        <row r="21">
          <cell r="B21" t="str">
            <v>BLNT1SU</v>
          </cell>
          <cell r="C21" t="str">
            <v>LV ToU &gt; 100 MWh/yr Sth U</v>
          </cell>
          <cell r="D21" t="str">
            <v>t-2</v>
          </cell>
          <cell r="G21">
            <v>3.0890895263790998</v>
          </cell>
          <cell r="H21">
            <v>2.5953336940479033</v>
          </cell>
          <cell r="I21">
            <v>1.5354575877448029</v>
          </cell>
        </row>
        <row r="23">
          <cell r="B23" t="str">
            <v>Tariff Class B; Low voltage - Large Business</v>
          </cell>
        </row>
        <row r="24">
          <cell r="B24" t="str">
            <v>BLND3AO</v>
          </cell>
          <cell r="C24" t="str">
            <v>LV ToU Demand 3 Rate</v>
          </cell>
          <cell r="D24" t="str">
            <v>t-2</v>
          </cell>
          <cell r="G24">
            <v>2.7383393205681132</v>
          </cell>
          <cell r="H24">
            <v>2.300646919980037</v>
          </cell>
          <cell r="I24">
            <v>1.4926261149704574</v>
          </cell>
        </row>
        <row r="25">
          <cell r="B25" t="str">
            <v>BLND3TO</v>
          </cell>
          <cell r="C25" t="str">
            <v>LV ToU Demand-alternate tariff</v>
          </cell>
          <cell r="D25" t="str">
            <v>t-2</v>
          </cell>
          <cell r="G25">
            <v>2.7383393205681132</v>
          </cell>
          <cell r="H25">
            <v>2.300646919980037</v>
          </cell>
          <cell r="I25">
            <v>1.4926261149704574</v>
          </cell>
        </row>
        <row r="26">
          <cell r="B26" t="str">
            <v>BLNDTRS</v>
          </cell>
          <cell r="C26" t="str">
            <v>Transitional Demand</v>
          </cell>
          <cell r="D26" t="str">
            <v>t</v>
          </cell>
          <cell r="G26">
            <v>2.8552560558384421</v>
          </cell>
          <cell r="H26">
            <v>2.3988758446693259</v>
          </cell>
          <cell r="I26">
            <v>1.5069032725619058</v>
          </cell>
        </row>
        <row r="27">
          <cell r="B27" t="str">
            <v>BLNS1AO</v>
          </cell>
          <cell r="C27" t="str">
            <v>LV ToU avg daily Demand</v>
          </cell>
          <cell r="D27" t="str">
            <v>t-2</v>
          </cell>
          <cell r="G27">
            <v>2.7383393205681132</v>
          </cell>
          <cell r="H27">
            <v>2.300646919980037</v>
          </cell>
          <cell r="I27">
            <v>1.4926336625890173</v>
          </cell>
        </row>
        <row r="28">
          <cell r="B28" t="str">
            <v>BLND1CO</v>
          </cell>
          <cell r="C28" t="str">
            <v>LV 1 Rate Dmd Cent</v>
          </cell>
          <cell r="D28" t="str">
            <v>t-2</v>
          </cell>
          <cell r="G28">
            <v>3.3803815735591498</v>
          </cell>
          <cell r="H28">
            <v>2.8400660199966183</v>
          </cell>
          <cell r="I28">
            <v>1.7525015900366603</v>
          </cell>
        </row>
        <row r="29">
          <cell r="B29" t="str">
            <v>BLND1SR</v>
          </cell>
          <cell r="C29" t="str">
            <v>LV 1 Rate Dmd Sth Rural</v>
          </cell>
          <cell r="D29" t="str">
            <v>t-2</v>
          </cell>
          <cell r="G29">
            <v>4.1692166692235944</v>
          </cell>
          <cell r="H29">
            <v>3.5028147960818439</v>
          </cell>
          <cell r="I29">
            <v>1.8027447019978233</v>
          </cell>
        </row>
        <row r="30">
          <cell r="B30" t="str">
            <v>BLND1SU</v>
          </cell>
          <cell r="C30" t="str">
            <v>LV 1 Rate Dmd Sth Urburn</v>
          </cell>
          <cell r="D30" t="str">
            <v>t-2</v>
          </cell>
          <cell r="G30">
            <v>4.1692166692235944</v>
          </cell>
          <cell r="H30">
            <v>3.5028147960818439</v>
          </cell>
          <cell r="I30">
            <v>1.8027447019978233</v>
          </cell>
        </row>
        <row r="31">
          <cell r="B31" t="str">
            <v>TLD</v>
          </cell>
          <cell r="C31" t="str">
            <v>Time of Day - LV Demand - FW</v>
          </cell>
          <cell r="D31" t="str">
            <v>t-2</v>
          </cell>
        </row>
        <row r="32">
          <cell r="B32" t="str">
            <v>BLND4NO</v>
          </cell>
          <cell r="C32" t="str">
            <v>LV 3 Rate Dmd Option 2 Nth U</v>
          </cell>
          <cell r="D32" t="str">
            <v>t-2</v>
          </cell>
        </row>
        <row r="34">
          <cell r="B34" t="str">
            <v>Tariff Class C; High voltage - demand</v>
          </cell>
        </row>
        <row r="35">
          <cell r="B35" t="str">
            <v>BHND3AO</v>
          </cell>
          <cell r="C35" t="str">
            <v>HV ToU mthly Demand</v>
          </cell>
          <cell r="D35" t="str">
            <v>t-2</v>
          </cell>
          <cell r="G35">
            <v>1.9208284548078629</v>
          </cell>
          <cell r="H35">
            <v>1.6138058695541426</v>
          </cell>
          <cell r="I35">
            <v>1.3323006567714044</v>
          </cell>
        </row>
        <row r="36">
          <cell r="B36" t="str">
            <v>BHNS1AO</v>
          </cell>
          <cell r="C36" t="str">
            <v>HV ToU avg daily Demand</v>
          </cell>
          <cell r="D36" t="str">
            <v>t-2</v>
          </cell>
          <cell r="G36">
            <v>1.9208284548078629</v>
          </cell>
          <cell r="H36">
            <v>1.6138058695541426</v>
          </cell>
          <cell r="I36">
            <v>1.3323006567714044</v>
          </cell>
        </row>
        <row r="37">
          <cell r="B37" t="str">
            <v>BHND1CO</v>
          </cell>
          <cell r="C37" t="str">
            <v>HV 1 Rate Dmd Cent U</v>
          </cell>
          <cell r="D37" t="str">
            <v>t-2</v>
          </cell>
          <cell r="G37">
            <v>3.3938205288793819</v>
          </cell>
          <cell r="H37">
            <v>3.3938205288793819</v>
          </cell>
          <cell r="I37">
            <v>1.7081877894249511</v>
          </cell>
        </row>
        <row r="38">
          <cell r="B38" t="str">
            <v>BHND1SO</v>
          </cell>
          <cell r="C38" t="str">
            <v>HV 1 Rate Dmd Sth U</v>
          </cell>
          <cell r="D38" t="str">
            <v>t-2</v>
          </cell>
          <cell r="G38">
            <v>3.3938205288793819</v>
          </cell>
          <cell r="H38">
            <v>3.3938205288793819</v>
          </cell>
          <cell r="I38">
            <v>1.7081877894249511</v>
          </cell>
        </row>
        <row r="40">
          <cell r="B40" t="str">
            <v>Tariff Class D; Subtransmission</v>
          </cell>
        </row>
        <row r="41">
          <cell r="B41" t="str">
            <v>BSSD3AO</v>
          </cell>
          <cell r="C41" t="str">
            <v>SUB TRANS 3 RATE DEMAND</v>
          </cell>
          <cell r="D41" t="str">
            <v>t-2</v>
          </cell>
          <cell r="G41">
            <v>3.5816161240886348</v>
          </cell>
          <cell r="H41">
            <v>2.0833251762618108</v>
          </cell>
          <cell r="I41">
            <v>1.6980455463272006</v>
          </cell>
        </row>
        <row r="42">
          <cell r="B42" t="str">
            <v/>
          </cell>
          <cell r="C42" t="str">
            <v/>
          </cell>
          <cell r="D42" t="str">
            <v/>
          </cell>
        </row>
        <row r="43">
          <cell r="B43" t="str">
            <v>BSS04CU</v>
          </cell>
          <cell r="C43" t="str">
            <v>Peak Gold Mines</v>
          </cell>
          <cell r="D43" t="str">
            <v>t-2</v>
          </cell>
          <cell r="E43">
            <v>124227.5</v>
          </cell>
          <cell r="J43">
            <v>2.7158238106956194</v>
          </cell>
        </row>
        <row r="44">
          <cell r="B44" t="str">
            <v>BSS05CU</v>
          </cell>
          <cell r="C44" t="str">
            <v>Oberon Timber Complex</v>
          </cell>
          <cell r="D44" t="str">
            <v>t-2</v>
          </cell>
          <cell r="E44">
            <v>266618.5</v>
          </cell>
          <cell r="J44">
            <v>1.6965446176705843</v>
          </cell>
        </row>
        <row r="45">
          <cell r="B45" t="str">
            <v>BSS05NO</v>
          </cell>
          <cell r="C45" t="str">
            <v>Harwood Sugar</v>
          </cell>
          <cell r="D45" t="str">
            <v>t-2</v>
          </cell>
          <cell r="E45">
            <v>33794.25</v>
          </cell>
          <cell r="J45">
            <v>4.0439423331607873</v>
          </cell>
        </row>
        <row r="46">
          <cell r="B46" t="str">
            <v>BSS06CU</v>
          </cell>
          <cell r="C46" t="str">
            <v>Fletcher International Exports</v>
          </cell>
          <cell r="D46" t="str">
            <v>t-2</v>
          </cell>
          <cell r="E46">
            <v>87930.000000000015</v>
          </cell>
          <cell r="J46">
            <v>2.7158104195970694</v>
          </cell>
        </row>
        <row r="47">
          <cell r="B47" t="str">
            <v>BSS08CU</v>
          </cell>
          <cell r="C47" t="str">
            <v>Cadia Mine</v>
          </cell>
          <cell r="D47" t="str">
            <v>t-2</v>
          </cell>
          <cell r="E47">
            <v>1620240.2248059099</v>
          </cell>
          <cell r="J47">
            <v>3.220669898507349</v>
          </cell>
        </row>
        <row r="48">
          <cell r="B48" t="str">
            <v>BSS10CU</v>
          </cell>
          <cell r="C48" t="str">
            <v>Ulan Coal Mine Cassilis Road</v>
          </cell>
          <cell r="D48" t="str">
            <v>t-2</v>
          </cell>
          <cell r="E48">
            <v>561908.99647272716</v>
          </cell>
          <cell r="J48">
            <v>3.5586407234143094</v>
          </cell>
        </row>
        <row r="49">
          <cell r="B49" t="str">
            <v>BSS11CU</v>
          </cell>
          <cell r="C49" t="str">
            <v>Cobar Mine</v>
          </cell>
          <cell r="D49" t="str">
            <v>t-2</v>
          </cell>
          <cell r="E49">
            <v>465504.53129332938</v>
          </cell>
          <cell r="J49">
            <v>2.576807288111397</v>
          </cell>
        </row>
        <row r="50">
          <cell r="B50" t="str">
            <v>BSS12CU</v>
          </cell>
          <cell r="C50" t="str">
            <v>Endeavor Operations Pty Ltd</v>
          </cell>
          <cell r="D50" t="str">
            <v>t-2</v>
          </cell>
          <cell r="E50">
            <v>256238</v>
          </cell>
          <cell r="J50">
            <v>2.2363132683732871</v>
          </cell>
        </row>
        <row r="51">
          <cell r="B51" t="str">
            <v>BSS13CU</v>
          </cell>
          <cell r="C51" t="str">
            <v>Uncle Bens-Bathurst</v>
          </cell>
          <cell r="D51" t="str">
            <v>t-2</v>
          </cell>
          <cell r="E51">
            <v>56135.5</v>
          </cell>
          <cell r="J51">
            <v>2.9749194657448017</v>
          </cell>
        </row>
        <row r="52">
          <cell r="B52" t="str">
            <v>BSS20CU</v>
          </cell>
          <cell r="C52" t="str">
            <v>Nth Parkes Mine</v>
          </cell>
          <cell r="D52" t="str">
            <v>t-2</v>
          </cell>
          <cell r="E52">
            <v>857481.00000000012</v>
          </cell>
          <cell r="J52">
            <v>4.7036397139139536</v>
          </cell>
        </row>
        <row r="53">
          <cell r="B53" t="str">
            <v>BSS25AO</v>
          </cell>
          <cell r="C53" t="str">
            <v>Tritton Mine</v>
          </cell>
          <cell r="D53" t="str">
            <v>t-2</v>
          </cell>
          <cell r="E53">
            <v>220606</v>
          </cell>
          <cell r="K53">
            <v>0.99973156051110323</v>
          </cell>
          <cell r="L53">
            <v>0.99973156051110323</v>
          </cell>
          <cell r="M53">
            <v>0.74979867038332737</v>
          </cell>
          <cell r="N53">
            <v>0</v>
          </cell>
        </row>
        <row r="54">
          <cell r="B54" t="str">
            <v>BSS26AO</v>
          </cell>
          <cell r="C54" t="str">
            <v>Lake Cowal Mine</v>
          </cell>
          <cell r="D54" t="str">
            <v>t-2</v>
          </cell>
          <cell r="E54">
            <v>847239.00000000012</v>
          </cell>
          <cell r="K54">
            <v>1.100880583408542</v>
          </cell>
          <cell r="L54">
            <v>1.100880583408542</v>
          </cell>
          <cell r="M54">
            <v>0.8256604375564065</v>
          </cell>
          <cell r="N54">
            <v>0</v>
          </cell>
        </row>
        <row r="55">
          <cell r="B55" t="str">
            <v>BSS27AO</v>
          </cell>
          <cell r="C55" t="str">
            <v>Manildra Flour Mill</v>
          </cell>
          <cell r="D55" t="str">
            <v>t-1</v>
          </cell>
          <cell r="E55">
            <v>156203</v>
          </cell>
          <cell r="J55">
            <v>3.8683726476818827</v>
          </cell>
        </row>
        <row r="56">
          <cell r="B56" t="str">
            <v>CRNP1</v>
          </cell>
          <cell r="C56" t="str">
            <v>Perilya Mine, Broken Hill          </v>
          </cell>
          <cell r="D56" t="str">
            <v>t-2</v>
          </cell>
          <cell r="E56">
            <v>581954.36743104458</v>
          </cell>
          <cell r="N56">
            <v>0</v>
          </cell>
          <cell r="O56">
            <v>9.6102031910389538</v>
          </cell>
        </row>
        <row r="57">
          <cell r="B57" t="str">
            <v>CRNP2</v>
          </cell>
          <cell r="C57" t="str">
            <v>Bemax and Snapper      </v>
          </cell>
          <cell r="D57" t="str">
            <v>t-2</v>
          </cell>
          <cell r="E57">
            <v>98073.5</v>
          </cell>
          <cell r="G57">
            <v>2.9389322814577441</v>
          </cell>
          <cell r="H57">
            <v>2.9389322814577441</v>
          </cell>
          <cell r="I57">
            <v>0.6159746927532419</v>
          </cell>
          <cell r="N57">
            <v>0</v>
          </cell>
          <cell r="O57">
            <v>1.7835269487228589</v>
          </cell>
        </row>
        <row r="58">
          <cell r="B58" t="str">
            <v>BSS21SU</v>
          </cell>
          <cell r="C58" t="str">
            <v>IDT Blowering Dam</v>
          </cell>
          <cell r="D58" t="str">
            <v>t-2</v>
          </cell>
          <cell r="G58">
            <v>2.2759193511351756</v>
          </cell>
          <cell r="H58">
            <v>2.2759193511351756</v>
          </cell>
          <cell r="I58">
            <v>1.1285195877612202</v>
          </cell>
          <cell r="N58">
            <v>0</v>
          </cell>
        </row>
        <row r="59">
          <cell r="B59" t="str">
            <v>BSS22SU</v>
          </cell>
          <cell r="C59" t="str">
            <v>IDT Cabramurra Aux</v>
          </cell>
          <cell r="D59" t="str">
            <v>t-2</v>
          </cell>
          <cell r="G59">
            <v>4.69897924444233</v>
          </cell>
          <cell r="H59">
            <v>4.69897924444233</v>
          </cell>
          <cell r="I59">
            <v>2.2373788273637238</v>
          </cell>
          <cell r="N59">
            <v>0</v>
          </cell>
        </row>
        <row r="60">
          <cell r="B60" t="str">
            <v>BSS24NU</v>
          </cell>
          <cell r="C60" t="str">
            <v>Kirra - IDC</v>
          </cell>
          <cell r="D60" t="str">
            <v>t-2</v>
          </cell>
          <cell r="E60">
            <v>21646.533487386445</v>
          </cell>
          <cell r="G60">
            <v>0.36980986579981129</v>
          </cell>
          <cell r="H60">
            <v>0.21297819643376339</v>
          </cell>
          <cell r="I60">
            <v>0.17532699592953063</v>
          </cell>
          <cell r="K60">
            <v>1.335666293393057</v>
          </cell>
          <cell r="L60">
            <v>1.0017497200447929</v>
          </cell>
          <cell r="M60">
            <v>0.33391657334826425</v>
          </cell>
          <cell r="N60">
            <v>0</v>
          </cell>
        </row>
        <row r="61">
          <cell r="B61" t="str">
            <v/>
          </cell>
          <cell r="C61" t="str">
            <v/>
          </cell>
          <cell r="D61" t="str">
            <v/>
          </cell>
        </row>
        <row r="62">
          <cell r="B62" t="str">
            <v/>
          </cell>
          <cell r="C62" t="str">
            <v/>
          </cell>
          <cell r="D62" t="str">
            <v/>
          </cell>
        </row>
        <row r="63">
          <cell r="B63" t="str">
            <v/>
          </cell>
          <cell r="C63" t="str">
            <v/>
          </cell>
          <cell r="D63" t="str">
            <v/>
          </cell>
        </row>
        <row r="64">
          <cell r="B64" t="str">
            <v>Tariff Class E; unmetered</v>
          </cell>
        </row>
        <row r="65">
          <cell r="B65" t="str">
            <v>BLNP1AO</v>
          </cell>
          <cell r="C65" t="str">
            <v>LV Public Lighting NUOS</v>
          </cell>
          <cell r="D65" t="str">
            <v>t-2</v>
          </cell>
          <cell r="F65">
            <v>2.0784966605225752</v>
          </cell>
          <cell r="N65">
            <v>0</v>
          </cell>
        </row>
        <row r="66">
          <cell r="B66" t="str">
            <v>BLNP3AO</v>
          </cell>
          <cell r="C66" t="str">
            <v>LV Public Lighting ToU NUOS</v>
          </cell>
          <cell r="D66" t="str">
            <v>t-2</v>
          </cell>
          <cell r="G66">
            <v>3.0890895263790998</v>
          </cell>
          <cell r="H66">
            <v>2.5953336940479033</v>
          </cell>
          <cell r="I66">
            <v>1.5354575877448029</v>
          </cell>
          <cell r="N66">
            <v>0</v>
          </cell>
        </row>
      </sheetData>
      <sheetData sheetId="10"/>
      <sheetData sheetId="11">
        <row r="10">
          <cell r="B10" t="str">
            <v>BLNN2AU</v>
          </cell>
          <cell r="C10" t="str">
            <v>LV Residential Anytime</v>
          </cell>
          <cell r="D10" t="str">
            <v>t-2</v>
          </cell>
          <cell r="F10">
            <v>0.31388810024239761</v>
          </cell>
        </row>
        <row r="11">
          <cell r="B11" t="str">
            <v>BLNT3AU</v>
          </cell>
          <cell r="C11" t="str">
            <v>LV Residential ToU</v>
          </cell>
          <cell r="D11" t="str">
            <v>t-2</v>
          </cell>
          <cell r="G11">
            <v>0.31388810024239761</v>
          </cell>
          <cell r="H11">
            <v>0.31388810024239761</v>
          </cell>
          <cell r="I11">
            <v>0.31388810024239761</v>
          </cell>
        </row>
        <row r="12">
          <cell r="B12" t="str">
            <v>BLNT3AL</v>
          </cell>
          <cell r="C12" t="str">
            <v>LV Residential ToU_Interval meter</v>
          </cell>
          <cell r="D12" t="str">
            <v>t</v>
          </cell>
          <cell r="G12">
            <v>0.31388810024239761</v>
          </cell>
          <cell r="H12">
            <v>0.31388810024239761</v>
          </cell>
          <cell r="I12">
            <v>0.31388810024239761</v>
          </cell>
        </row>
        <row r="13">
          <cell r="B13" t="str">
            <v>BLND1AR</v>
          </cell>
          <cell r="C13" t="str">
            <v>Small Residential-Opt in Demand</v>
          </cell>
          <cell r="D13" t="str">
            <v>t</v>
          </cell>
          <cell r="G13">
            <v>0.31388810024239761</v>
          </cell>
          <cell r="H13">
            <v>0.31388810024239761</v>
          </cell>
          <cell r="I13">
            <v>0.31388810024239761</v>
          </cell>
        </row>
        <row r="14">
          <cell r="B14" t="str">
            <v>BLNC1AU</v>
          </cell>
          <cell r="C14" t="str">
            <v>Energy Saver 1</v>
          </cell>
          <cell r="D14" t="str">
            <v>t-2</v>
          </cell>
          <cell r="F14">
            <v>0.31388810024239761</v>
          </cell>
        </row>
        <row r="15">
          <cell r="B15" t="str">
            <v>BLNC2AU</v>
          </cell>
          <cell r="C15" t="str">
            <v>Energy Saver 2</v>
          </cell>
          <cell r="D15" t="str">
            <v>t-2</v>
          </cell>
          <cell r="F15">
            <v>0.31388810024239761</v>
          </cell>
        </row>
        <row r="16">
          <cell r="B16" t="str">
            <v>BLNN1AU</v>
          </cell>
          <cell r="C16" t="str">
            <v>LV Small business Anytime</v>
          </cell>
          <cell r="D16" t="str">
            <v>t-2</v>
          </cell>
          <cell r="F16">
            <v>0.75463698893214504</v>
          </cell>
        </row>
        <row r="17">
          <cell r="B17" t="str">
            <v>BLNT2AU</v>
          </cell>
          <cell r="C17" t="str">
            <v>LV ToU &lt; 100MWh</v>
          </cell>
          <cell r="D17" t="str">
            <v>t-2</v>
          </cell>
          <cell r="G17">
            <v>0.75463698893214504</v>
          </cell>
          <cell r="H17">
            <v>0.75463698893214504</v>
          </cell>
          <cell r="I17">
            <v>0.75463698893214504</v>
          </cell>
        </row>
        <row r="18">
          <cell r="B18" t="str">
            <v>BLNT2AL</v>
          </cell>
          <cell r="C18" t="str">
            <v>LV Business ToU_Interval meter</v>
          </cell>
          <cell r="D18" t="str">
            <v>t</v>
          </cell>
          <cell r="G18">
            <v>0.75463698893214504</v>
          </cell>
          <cell r="H18">
            <v>0.75463698893214504</v>
          </cell>
          <cell r="I18">
            <v>0.75463698893214504</v>
          </cell>
        </row>
        <row r="19">
          <cell r="B19" t="str">
            <v>BLNT1AO</v>
          </cell>
          <cell r="C19" t="str">
            <v>LV ToU &gt; 100 MWh/yr</v>
          </cell>
          <cell r="D19" t="str">
            <v>t-2</v>
          </cell>
          <cell r="G19">
            <v>0.75463698893214504</v>
          </cell>
          <cell r="H19">
            <v>0.75463698893214504</v>
          </cell>
          <cell r="I19">
            <v>0.75463698893214504</v>
          </cell>
        </row>
        <row r="20">
          <cell r="B20" t="str">
            <v>BLND1AB</v>
          </cell>
          <cell r="C20" t="str">
            <v>Small business-Opt in Demand</v>
          </cell>
          <cell r="D20" t="str">
            <v>t</v>
          </cell>
          <cell r="G20">
            <v>0.75463698893214504</v>
          </cell>
          <cell r="H20">
            <v>0.75463698893214504</v>
          </cell>
          <cell r="I20">
            <v>0.75463698893214504</v>
          </cell>
        </row>
        <row r="21">
          <cell r="B21" t="str">
            <v>BLNT1SU</v>
          </cell>
          <cell r="C21" t="str">
            <v>LV ToU &gt; 100 MWh/yr Sth U</v>
          </cell>
          <cell r="D21" t="str">
            <v>t-2</v>
          </cell>
          <cell r="G21">
            <v>0.75463698893214504</v>
          </cell>
          <cell r="H21">
            <v>0.75463698893214504</v>
          </cell>
          <cell r="I21">
            <v>0.75463698893214504</v>
          </cell>
        </row>
        <row r="23">
          <cell r="B23" t="str">
            <v>Tariff Class B; Low voltage - Large Business</v>
          </cell>
        </row>
        <row r="24">
          <cell r="B24" t="str">
            <v>BLND3AO</v>
          </cell>
          <cell r="C24" t="str">
            <v>LV ToU Demand 3 Rate</v>
          </cell>
          <cell r="D24" t="str">
            <v>t-2</v>
          </cell>
          <cell r="G24">
            <v>0.75463698893214504</v>
          </cell>
          <cell r="H24">
            <v>0.75463698893214504</v>
          </cell>
          <cell r="I24">
            <v>0.75463698893214504</v>
          </cell>
        </row>
        <row r="25">
          <cell r="B25" t="str">
            <v>BLND3TO</v>
          </cell>
          <cell r="C25" t="str">
            <v>LV ToU Demand-alternate tariff</v>
          </cell>
          <cell r="D25" t="str">
            <v>t-2</v>
          </cell>
          <cell r="G25">
            <v>0.75463698893214504</v>
          </cell>
          <cell r="H25">
            <v>0.75463698893214504</v>
          </cell>
          <cell r="I25">
            <v>0.75463698893214504</v>
          </cell>
        </row>
        <row r="26">
          <cell r="B26" t="str">
            <v>BLNDTRS</v>
          </cell>
          <cell r="C26" t="str">
            <v>Transitional Demand</v>
          </cell>
          <cell r="D26" t="str">
            <v>t</v>
          </cell>
          <cell r="G26">
            <v>0.75463698893214504</v>
          </cell>
          <cell r="H26">
            <v>0.75463698893214504</v>
          </cell>
          <cell r="I26">
            <v>0.75463698893214504</v>
          </cell>
        </row>
        <row r="27">
          <cell r="B27" t="str">
            <v>BLNS1AO</v>
          </cell>
          <cell r="C27" t="str">
            <v>LV ToU avg daily Demand</v>
          </cell>
          <cell r="D27" t="str">
            <v>t-2</v>
          </cell>
          <cell r="G27">
            <v>0.75463698893214504</v>
          </cell>
          <cell r="H27">
            <v>0.75463698893214504</v>
          </cell>
          <cell r="I27">
            <v>0.75463698893214504</v>
          </cell>
        </row>
        <row r="28">
          <cell r="B28" t="str">
            <v>BLND1CO</v>
          </cell>
          <cell r="C28" t="str">
            <v>LV 1 Rate Dmd Cent</v>
          </cell>
          <cell r="D28" t="str">
            <v>t-2</v>
          </cell>
          <cell r="G28">
            <v>0.75463698893214504</v>
          </cell>
          <cell r="H28">
            <v>0.75463698893214504</v>
          </cell>
          <cell r="I28">
            <v>0.75463698893214504</v>
          </cell>
        </row>
        <row r="29">
          <cell r="B29" t="str">
            <v>BLND1SR</v>
          </cell>
          <cell r="C29" t="str">
            <v>LV 1 Rate Dmd Sth Rural</v>
          </cell>
          <cell r="D29" t="str">
            <v>t-2</v>
          </cell>
          <cell r="G29">
            <v>0.75463698893214504</v>
          </cell>
          <cell r="H29">
            <v>0.75463698893214504</v>
          </cell>
          <cell r="I29">
            <v>0.75463698893214504</v>
          </cell>
        </row>
        <row r="30">
          <cell r="B30" t="str">
            <v>BLND1SU</v>
          </cell>
          <cell r="C30" t="str">
            <v>LV 1 Rate Dmd Sth Urburn</v>
          </cell>
          <cell r="D30" t="str">
            <v>t-2</v>
          </cell>
          <cell r="G30">
            <v>0.75463698893214504</v>
          </cell>
          <cell r="H30">
            <v>0.75463698893214504</v>
          </cell>
          <cell r="I30">
            <v>0.75463698893214504</v>
          </cell>
        </row>
        <row r="31">
          <cell r="B31" t="str">
            <v>TLD</v>
          </cell>
          <cell r="C31" t="str">
            <v>Time of Day - LV Demand - FW</v>
          </cell>
          <cell r="D31" t="str">
            <v>t-2</v>
          </cell>
        </row>
        <row r="32">
          <cell r="B32" t="str">
            <v>BLND4NO</v>
          </cell>
          <cell r="C32" t="str">
            <v>LV 3 Rate Dmd Option 2 Nth U</v>
          </cell>
          <cell r="D32" t="str">
            <v>t-2</v>
          </cell>
        </row>
        <row r="34">
          <cell r="B34" t="str">
            <v>Tariff Class C; High voltage - demand</v>
          </cell>
        </row>
        <row r="35">
          <cell r="B35" t="str">
            <v>BHND3AO</v>
          </cell>
          <cell r="C35" t="str">
            <v>HV ToU mthly Demand</v>
          </cell>
          <cell r="D35" t="str">
            <v>t-2</v>
          </cell>
          <cell r="G35">
            <v>0.75463698893214504</v>
          </cell>
          <cell r="H35">
            <v>0.75463698893214504</v>
          </cell>
          <cell r="I35">
            <v>0.75463698893214504</v>
          </cell>
        </row>
        <row r="36">
          <cell r="B36" t="str">
            <v>BHNS1AO</v>
          </cell>
          <cell r="C36" t="str">
            <v>HV ToU avg daily Demand</v>
          </cell>
          <cell r="D36" t="str">
            <v>t-2</v>
          </cell>
          <cell r="G36">
            <v>0.75463698893214504</v>
          </cell>
          <cell r="H36">
            <v>0.75463698893214504</v>
          </cell>
          <cell r="I36">
            <v>0.75463698893214504</v>
          </cell>
        </row>
        <row r="37">
          <cell r="B37" t="str">
            <v>BHND1CO</v>
          </cell>
          <cell r="C37" t="str">
            <v>HV 1 Rate Dmd Cent U</v>
          </cell>
          <cell r="D37" t="str">
            <v>t-2</v>
          </cell>
          <cell r="G37">
            <v>0.75463698893214504</v>
          </cell>
          <cell r="H37">
            <v>0.75463698893214504</v>
          </cell>
          <cell r="I37">
            <v>0.75463698893214504</v>
          </cell>
        </row>
        <row r="38">
          <cell r="B38" t="str">
            <v>BHND1SO</v>
          </cell>
          <cell r="C38" t="str">
            <v>HV 1 Rate Dmd Sth U</v>
          </cell>
          <cell r="D38" t="str">
            <v>t-2</v>
          </cell>
          <cell r="G38">
            <v>0.75463698893214504</v>
          </cell>
          <cell r="H38">
            <v>0.75463698893214504</v>
          </cell>
          <cell r="I38">
            <v>0.75463698893214504</v>
          </cell>
        </row>
        <row r="40">
          <cell r="B40" t="str">
            <v>Tariff Class D; Subtransmission</v>
          </cell>
        </row>
        <row r="41">
          <cell r="B41" t="str">
            <v>BSSD3AO</v>
          </cell>
          <cell r="C41" t="str">
            <v>SUB TRANS 3 RATE DEMAND</v>
          </cell>
          <cell r="D41" t="str">
            <v>t-2</v>
          </cell>
          <cell r="G41">
            <v>0.20117153150258305</v>
          </cell>
          <cell r="H41">
            <v>0.20117153150258305</v>
          </cell>
          <cell r="I41">
            <v>0.20117153150258305</v>
          </cell>
        </row>
        <row r="42">
          <cell r="B42" t="str">
            <v/>
          </cell>
          <cell r="C42" t="str">
            <v/>
          </cell>
          <cell r="D42" t="str">
            <v/>
          </cell>
        </row>
        <row r="43">
          <cell r="B43" t="str">
            <v>BSS04CU</v>
          </cell>
          <cell r="C43" t="str">
            <v>Peak Gold Mines</v>
          </cell>
          <cell r="D43" t="str">
            <v>t-2</v>
          </cell>
          <cell r="G43">
            <v>0.20117153150258305</v>
          </cell>
          <cell r="H43">
            <v>0.20117153150258305</v>
          </cell>
          <cell r="I43">
            <v>0.20117153150258305</v>
          </cell>
        </row>
        <row r="44">
          <cell r="B44" t="str">
            <v>BSS05CU</v>
          </cell>
          <cell r="C44" t="str">
            <v>Oberon Timber Complex</v>
          </cell>
          <cell r="D44" t="str">
            <v>t-2</v>
          </cell>
          <cell r="G44">
            <v>0.20117153150258305</v>
          </cell>
          <cell r="H44">
            <v>0.20117153150258305</v>
          </cell>
          <cell r="I44">
            <v>0.20117153150258305</v>
          </cell>
        </row>
        <row r="45">
          <cell r="B45" t="str">
            <v>BSS05NO</v>
          </cell>
          <cell r="C45" t="str">
            <v>Harwood Sugar</v>
          </cell>
          <cell r="D45" t="str">
            <v>t-2</v>
          </cell>
          <cell r="G45">
            <v>0.20117153150258305</v>
          </cell>
          <cell r="H45">
            <v>0.20117153150258305</v>
          </cell>
          <cell r="I45">
            <v>0.20117153150258305</v>
          </cell>
        </row>
        <row r="46">
          <cell r="B46" t="str">
            <v>BSS06CU</v>
          </cell>
          <cell r="C46" t="str">
            <v>Fletcher International Exports</v>
          </cell>
          <cell r="D46" t="str">
            <v>t-2</v>
          </cell>
          <cell r="G46">
            <v>0.20117153150258305</v>
          </cell>
          <cell r="H46">
            <v>0.20117153150258305</v>
          </cell>
          <cell r="I46">
            <v>0.20117153150258305</v>
          </cell>
        </row>
        <row r="47">
          <cell r="B47" t="str">
            <v>BSS08CU</v>
          </cell>
          <cell r="C47" t="str">
            <v>Cadia Mine</v>
          </cell>
          <cell r="D47" t="str">
            <v>t-2</v>
          </cell>
          <cell r="G47">
            <v>0.15079740002778436</v>
          </cell>
          <cell r="H47">
            <v>0.15079740002778436</v>
          </cell>
          <cell r="I47">
            <v>0.15079740002778436</v>
          </cell>
        </row>
        <row r="48">
          <cell r="B48" t="str">
            <v>BSS10CU</v>
          </cell>
          <cell r="C48" t="str">
            <v>Ulan Coal Mine Cassilis Road</v>
          </cell>
          <cell r="D48" t="str">
            <v>t-2</v>
          </cell>
          <cell r="G48">
            <v>0.20117153150258305</v>
          </cell>
          <cell r="H48">
            <v>0.20117153150258305</v>
          </cell>
          <cell r="I48">
            <v>0.20117153150258305</v>
          </cell>
        </row>
        <row r="49">
          <cell r="B49" t="str">
            <v>BSS11CU</v>
          </cell>
          <cell r="C49" t="str">
            <v>Cobar Mine</v>
          </cell>
          <cell r="D49" t="str">
            <v>t-2</v>
          </cell>
          <cell r="G49">
            <v>0.20117153150258305</v>
          </cell>
          <cell r="H49">
            <v>0.20117153150258305</v>
          </cell>
          <cell r="I49">
            <v>0.20117153150258305</v>
          </cell>
        </row>
        <row r="50">
          <cell r="B50" t="str">
            <v>BSS12CU</v>
          </cell>
          <cell r="C50" t="str">
            <v>Endeavor Operations Pty Ltd</v>
          </cell>
          <cell r="D50" t="str">
            <v>t-2</v>
          </cell>
          <cell r="G50">
            <v>0.20117153150258305</v>
          </cell>
          <cell r="H50">
            <v>0.20117153150258305</v>
          </cell>
          <cell r="I50">
            <v>0.20117153150258305</v>
          </cell>
        </row>
        <row r="51">
          <cell r="B51" t="str">
            <v>BSS13CU</v>
          </cell>
          <cell r="C51" t="str">
            <v>Uncle Bens-Bathurst</v>
          </cell>
          <cell r="D51" t="str">
            <v>t-2</v>
          </cell>
          <cell r="G51">
            <v>0.20117153150258305</v>
          </cell>
          <cell r="H51">
            <v>0.20117153150258305</v>
          </cell>
          <cell r="I51">
            <v>0.20117153150258305</v>
          </cell>
        </row>
        <row r="52">
          <cell r="B52" t="str">
            <v>BSS20CU</v>
          </cell>
          <cell r="C52" t="str">
            <v>Nth Parkes Mine</v>
          </cell>
          <cell r="D52" t="str">
            <v>t-2</v>
          </cell>
          <cell r="G52">
            <v>0.20117153150258305</v>
          </cell>
          <cell r="H52">
            <v>0.20117153150258305</v>
          </cell>
          <cell r="I52">
            <v>0.20117153150258305</v>
          </cell>
        </row>
        <row r="53">
          <cell r="B53" t="str">
            <v>BSS25AO</v>
          </cell>
          <cell r="C53" t="str">
            <v>Tritton Mine</v>
          </cell>
          <cell r="D53" t="str">
            <v>t-2</v>
          </cell>
          <cell r="G53">
            <v>0.20117153150258305</v>
          </cell>
          <cell r="H53">
            <v>0.20117153150258305</v>
          </cell>
          <cell r="I53">
            <v>0.20117153150258305</v>
          </cell>
        </row>
        <row r="54">
          <cell r="B54" t="str">
            <v>BSS26AO</v>
          </cell>
          <cell r="C54" t="str">
            <v>Lake Cowal Mine</v>
          </cell>
          <cell r="D54" t="str">
            <v>t-2</v>
          </cell>
          <cell r="G54">
            <v>0.20117153150258305</v>
          </cell>
          <cell r="H54">
            <v>0.20117153150258305</v>
          </cell>
          <cell r="I54">
            <v>0.20117153150258305</v>
          </cell>
        </row>
        <row r="55">
          <cell r="B55" t="str">
            <v>BSS27AO</v>
          </cell>
          <cell r="C55" t="str">
            <v>Manildra Flour Mill</v>
          </cell>
          <cell r="D55" t="str">
            <v>t-1</v>
          </cell>
          <cell r="G55">
            <v>0.20117153150258305</v>
          </cell>
          <cell r="H55">
            <v>0.20117153150258305</v>
          </cell>
          <cell r="I55">
            <v>0.20117153150258305</v>
          </cell>
        </row>
        <row r="56">
          <cell r="B56" t="str">
            <v>CRNP1</v>
          </cell>
          <cell r="C56" t="str">
            <v>Perilya Mine, Broken Hill          </v>
          </cell>
          <cell r="D56" t="str">
            <v>t-2</v>
          </cell>
          <cell r="G56">
            <v>0.15079740002778436</v>
          </cell>
          <cell r="H56">
            <v>0.15079740002778436</v>
          </cell>
          <cell r="I56">
            <v>0.15079740002778436</v>
          </cell>
        </row>
        <row r="57">
          <cell r="B57" t="str">
            <v>CRNP2</v>
          </cell>
          <cell r="C57" t="str">
            <v>Bemax and Snapper      </v>
          </cell>
          <cell r="D57" t="str">
            <v>t-2</v>
          </cell>
          <cell r="G57">
            <v>0.20117153150258305</v>
          </cell>
          <cell r="H57">
            <v>0.20117153150258305</v>
          </cell>
          <cell r="I57">
            <v>0.20117153150258305</v>
          </cell>
        </row>
        <row r="58">
          <cell r="B58" t="str">
            <v>BSS21SU</v>
          </cell>
          <cell r="C58" t="str">
            <v>IDT Blowering Dam</v>
          </cell>
          <cell r="D58" t="str">
            <v>t-2</v>
          </cell>
          <cell r="F58">
            <v>0</v>
          </cell>
          <cell r="G58">
            <v>0</v>
          </cell>
          <cell r="H58">
            <v>0</v>
          </cell>
          <cell r="I58">
            <v>0</v>
          </cell>
        </row>
        <row r="59">
          <cell r="B59" t="str">
            <v>BSS22SU</v>
          </cell>
          <cell r="C59" t="str">
            <v>IDT Cabramurra Aux</v>
          </cell>
          <cell r="D59" t="str">
            <v>t-2</v>
          </cell>
          <cell r="F59">
            <v>0</v>
          </cell>
          <cell r="G59">
            <v>0</v>
          </cell>
          <cell r="H59">
            <v>0</v>
          </cell>
          <cell r="I59">
            <v>0</v>
          </cell>
        </row>
        <row r="60">
          <cell r="B60" t="str">
            <v>BSS24NU</v>
          </cell>
          <cell r="C60" t="str">
            <v>Kirra - IDC</v>
          </cell>
          <cell r="D60" t="str">
            <v>t-2</v>
          </cell>
          <cell r="F60">
            <v>0</v>
          </cell>
          <cell r="G60">
            <v>0</v>
          </cell>
          <cell r="H60">
            <v>0</v>
          </cell>
          <cell r="I60">
            <v>0</v>
          </cell>
        </row>
        <row r="61">
          <cell r="B61" t="str">
            <v/>
          </cell>
          <cell r="C61" t="str">
            <v/>
          </cell>
          <cell r="D61" t="str">
            <v/>
          </cell>
        </row>
        <row r="62">
          <cell r="B62" t="str">
            <v/>
          </cell>
          <cell r="C62" t="str">
            <v/>
          </cell>
          <cell r="D62" t="str">
            <v/>
          </cell>
        </row>
        <row r="63">
          <cell r="B63" t="str">
            <v/>
          </cell>
          <cell r="C63" t="str">
            <v/>
          </cell>
          <cell r="D63" t="str">
            <v/>
          </cell>
        </row>
        <row r="64">
          <cell r="B64" t="str">
            <v>Tariff Class E; unmetered</v>
          </cell>
        </row>
        <row r="65">
          <cell r="B65" t="str">
            <v>BLNP1AO</v>
          </cell>
          <cell r="C65" t="str">
            <v>LV Public Lighting NUOS</v>
          </cell>
          <cell r="D65" t="str">
            <v>t-2</v>
          </cell>
          <cell r="F65">
            <v>0.75463698893214504</v>
          </cell>
        </row>
        <row r="66">
          <cell r="B66" t="str">
            <v>BLNP3AO</v>
          </cell>
          <cell r="C66" t="str">
            <v>LV Public Lighting ToU NUOS</v>
          </cell>
          <cell r="D66" t="str">
            <v>t-2</v>
          </cell>
          <cell r="G66">
            <v>0.75463698893214504</v>
          </cell>
          <cell r="H66">
            <v>0.75463698893214504</v>
          </cell>
          <cell r="I66">
            <v>0.75463698893214504</v>
          </cell>
        </row>
      </sheetData>
      <sheetData sheetId="12"/>
      <sheetData sheetId="13">
        <row r="10">
          <cell r="B10" t="str">
            <v>BLNN2AU</v>
          </cell>
          <cell r="C10" t="str">
            <v>LV Residential Anytime</v>
          </cell>
          <cell r="D10" t="str">
            <v>t-2</v>
          </cell>
          <cell r="F10">
            <v>1.2291657642185788E-2</v>
          </cell>
        </row>
        <row r="11">
          <cell r="B11" t="str">
            <v>BLNT3AU</v>
          </cell>
          <cell r="C11" t="str">
            <v>LV Residential ToU</v>
          </cell>
          <cell r="D11" t="str">
            <v>t-2</v>
          </cell>
          <cell r="G11">
            <v>1.2291657642185788E-2</v>
          </cell>
          <cell r="H11">
            <v>1.2291657642185788E-2</v>
          </cell>
          <cell r="I11">
            <v>1.2291657642185788E-2</v>
          </cell>
        </row>
        <row r="12">
          <cell r="B12" t="str">
            <v>BLNT3AL</v>
          </cell>
          <cell r="C12" t="str">
            <v>LV Residential ToU_Interval meter</v>
          </cell>
          <cell r="D12" t="str">
            <v>t</v>
          </cell>
          <cell r="G12">
            <v>1.2291657642185788E-2</v>
          </cell>
          <cell r="H12">
            <v>1.2291657642185788E-2</v>
          </cell>
          <cell r="I12">
            <v>1.2291657642185788E-2</v>
          </cell>
        </row>
        <row r="13">
          <cell r="B13" t="str">
            <v>BLND1AR</v>
          </cell>
          <cell r="C13" t="str">
            <v>Small Residential-Opt in Demand</v>
          </cell>
          <cell r="D13" t="str">
            <v>t</v>
          </cell>
          <cell r="G13">
            <v>1.2291657642185788E-2</v>
          </cell>
          <cell r="H13">
            <v>1.2291657642185788E-2</v>
          </cell>
          <cell r="I13">
            <v>1.2291657642185788E-2</v>
          </cell>
        </row>
        <row r="14">
          <cell r="B14" t="str">
            <v>BLNC1AU</v>
          </cell>
          <cell r="C14" t="str">
            <v>Energy Saver 1</v>
          </cell>
          <cell r="D14" t="str">
            <v>t-2</v>
          </cell>
          <cell r="F14">
            <v>1.2291657642185788E-2</v>
          </cell>
        </row>
        <row r="15">
          <cell r="B15" t="str">
            <v>BLNC2AU</v>
          </cell>
          <cell r="C15" t="str">
            <v>Energy Saver 2</v>
          </cell>
          <cell r="D15" t="str">
            <v>t-2</v>
          </cell>
          <cell r="F15">
            <v>1.2291657642185788E-2</v>
          </cell>
        </row>
        <row r="16">
          <cell r="B16" t="str">
            <v>BLNN1AU</v>
          </cell>
          <cell r="C16" t="str">
            <v>LV Small business Anytime</v>
          </cell>
          <cell r="D16" t="str">
            <v>t-2</v>
          </cell>
          <cell r="F16">
            <v>1.2291657642185788E-2</v>
          </cell>
        </row>
        <row r="17">
          <cell r="B17" t="str">
            <v>BLNT2AU</v>
          </cell>
          <cell r="C17" t="str">
            <v>LV ToU &lt; 100MWh</v>
          </cell>
          <cell r="D17" t="str">
            <v>t-2</v>
          </cell>
          <cell r="G17">
            <v>1.2291657642185788E-2</v>
          </cell>
          <cell r="H17">
            <v>1.2291657642185788E-2</v>
          </cell>
          <cell r="I17">
            <v>1.2291657642185788E-2</v>
          </cell>
        </row>
        <row r="18">
          <cell r="B18" t="str">
            <v>BLNT2AL</v>
          </cell>
          <cell r="C18" t="str">
            <v>LV Business ToU_Interval meter</v>
          </cell>
          <cell r="D18" t="str">
            <v>t</v>
          </cell>
          <cell r="G18">
            <v>1.2291657642185788E-2</v>
          </cell>
          <cell r="H18">
            <v>1.2291657642185788E-2</v>
          </cell>
          <cell r="I18">
            <v>1.2291657642185788E-2</v>
          </cell>
        </row>
        <row r="19">
          <cell r="B19" t="str">
            <v>BLNT1AO</v>
          </cell>
          <cell r="C19" t="str">
            <v>LV ToU &gt; 100 MWh/yr</v>
          </cell>
          <cell r="D19" t="str">
            <v>t-2</v>
          </cell>
          <cell r="G19">
            <v>1.2291657642185788E-2</v>
          </cell>
          <cell r="H19">
            <v>1.2291657642185788E-2</v>
          </cell>
          <cell r="I19">
            <v>1.2291657642185788E-2</v>
          </cell>
        </row>
        <row r="20">
          <cell r="B20" t="str">
            <v>BLND1AB</v>
          </cell>
          <cell r="C20" t="str">
            <v>Small business-Opt in Demand</v>
          </cell>
          <cell r="D20" t="str">
            <v>t</v>
          </cell>
          <cell r="G20">
            <v>1.2291657642185788E-2</v>
          </cell>
          <cell r="H20">
            <v>1.2291657642185788E-2</v>
          </cell>
          <cell r="I20">
            <v>1.2291657642185788E-2</v>
          </cell>
        </row>
        <row r="21">
          <cell r="B21" t="str">
            <v>BLNT1SU</v>
          </cell>
          <cell r="C21" t="str">
            <v>LV ToU &gt; 100 MWh/yr Sth U</v>
          </cell>
          <cell r="D21" t="str">
            <v>t-2</v>
          </cell>
          <cell r="G21">
            <v>1.2291657642185788E-2</v>
          </cell>
          <cell r="H21">
            <v>1.2291657642185788E-2</v>
          </cell>
          <cell r="I21">
            <v>1.2291657642185788E-2</v>
          </cell>
        </row>
        <row r="23">
          <cell r="B23" t="str">
            <v>Tariff Class B; Low voltage - Large Business</v>
          </cell>
        </row>
        <row r="24">
          <cell r="B24" t="str">
            <v>BLND3AO</v>
          </cell>
          <cell r="C24" t="str">
            <v>LV ToU Demand 3 Rate</v>
          </cell>
          <cell r="D24" t="str">
            <v>t-2</v>
          </cell>
          <cell r="G24">
            <v>1.2291657642185788E-2</v>
          </cell>
          <cell r="H24">
            <v>1.2291657642185788E-2</v>
          </cell>
          <cell r="I24">
            <v>1.2291657642185788E-2</v>
          </cell>
        </row>
        <row r="25">
          <cell r="B25" t="str">
            <v>BLND3TO</v>
          </cell>
          <cell r="C25" t="str">
            <v>LV ToU Demand-alternate tariff</v>
          </cell>
          <cell r="D25" t="str">
            <v>t-2</v>
          </cell>
          <cell r="G25">
            <v>1.2291657642185788E-2</v>
          </cell>
          <cell r="H25">
            <v>1.2291657642185788E-2</v>
          </cell>
          <cell r="I25">
            <v>1.2291657642185788E-2</v>
          </cell>
        </row>
        <row r="26">
          <cell r="B26" t="str">
            <v>BLNDTRS</v>
          </cell>
          <cell r="C26" t="str">
            <v>Transitional Demand</v>
          </cell>
          <cell r="D26" t="str">
            <v>t</v>
          </cell>
          <cell r="G26">
            <v>1.2291657642185788E-2</v>
          </cell>
          <cell r="H26">
            <v>1.2291657642185788E-2</v>
          </cell>
          <cell r="I26">
            <v>1.2291657642185788E-2</v>
          </cell>
        </row>
        <row r="27">
          <cell r="B27" t="str">
            <v>BLNS1AO</v>
          </cell>
          <cell r="C27" t="str">
            <v>LV ToU avg daily Demand</v>
          </cell>
          <cell r="D27" t="str">
            <v>t-2</v>
          </cell>
          <cell r="G27">
            <v>1.2291657642185788E-2</v>
          </cell>
          <cell r="H27">
            <v>1.2291657642185788E-2</v>
          </cell>
          <cell r="I27">
            <v>1.2291657642185788E-2</v>
          </cell>
        </row>
        <row r="28">
          <cell r="B28" t="str">
            <v>BLND1CO</v>
          </cell>
          <cell r="C28" t="str">
            <v>LV 1 Rate Dmd Cent</v>
          </cell>
          <cell r="D28" t="str">
            <v>t-2</v>
          </cell>
          <cell r="G28">
            <v>1.2291657642185788E-2</v>
          </cell>
          <cell r="H28">
            <v>1.2291657642185788E-2</v>
          </cell>
          <cell r="I28">
            <v>1.2291657642185788E-2</v>
          </cell>
        </row>
        <row r="29">
          <cell r="B29" t="str">
            <v>BLND1SR</v>
          </cell>
          <cell r="C29" t="str">
            <v>LV 1 Rate Dmd Sth Rural</v>
          </cell>
          <cell r="D29" t="str">
            <v>t-2</v>
          </cell>
          <cell r="G29">
            <v>1.2291657642185788E-2</v>
          </cell>
          <cell r="H29">
            <v>1.2291657642185788E-2</v>
          </cell>
          <cell r="I29">
            <v>1.2291657642185788E-2</v>
          </cell>
        </row>
        <row r="30">
          <cell r="B30" t="str">
            <v>BLND1SU</v>
          </cell>
          <cell r="C30" t="str">
            <v>LV 1 Rate Dmd Sth Urburn</v>
          </cell>
          <cell r="D30" t="str">
            <v>t-2</v>
          </cell>
          <cell r="G30">
            <v>1.2291657642185788E-2</v>
          </cell>
          <cell r="H30">
            <v>1.2291657642185788E-2</v>
          </cell>
          <cell r="I30">
            <v>1.2291657642185788E-2</v>
          </cell>
        </row>
        <row r="31">
          <cell r="B31" t="str">
            <v>TLD</v>
          </cell>
          <cell r="C31" t="str">
            <v>Time of Day - LV Demand - FW</v>
          </cell>
          <cell r="D31" t="str">
            <v>t-2</v>
          </cell>
        </row>
        <row r="32">
          <cell r="B32" t="str">
            <v>BLND4NO</v>
          </cell>
          <cell r="C32" t="str">
            <v>LV 3 Rate Dmd Option 2 Nth U</v>
          </cell>
          <cell r="D32" t="str">
            <v>t-2</v>
          </cell>
        </row>
        <row r="34">
          <cell r="B34" t="str">
            <v>Tariff Class C; High voltage - demand</v>
          </cell>
        </row>
        <row r="35">
          <cell r="B35" t="str">
            <v>BHND3AO</v>
          </cell>
          <cell r="C35" t="str">
            <v>HV ToU mthly Demand</v>
          </cell>
          <cell r="D35" t="str">
            <v>t-2</v>
          </cell>
        </row>
        <row r="36">
          <cell r="B36" t="str">
            <v>BHNS1AO</v>
          </cell>
          <cell r="C36" t="str">
            <v>HV ToU avg daily Demand</v>
          </cell>
          <cell r="D36" t="str">
            <v>t-2</v>
          </cell>
        </row>
        <row r="37">
          <cell r="B37" t="str">
            <v>BHND1CO</v>
          </cell>
          <cell r="C37" t="str">
            <v>HV 1 Rate Dmd Cent U</v>
          </cell>
          <cell r="D37" t="str">
            <v>t-2</v>
          </cell>
        </row>
        <row r="38">
          <cell r="B38" t="str">
            <v>BHND1SO</v>
          </cell>
          <cell r="C38" t="str">
            <v>HV 1 Rate Dmd Sth U</v>
          </cell>
          <cell r="D38" t="str">
            <v>t-2</v>
          </cell>
        </row>
        <row r="40">
          <cell r="B40" t="str">
            <v>Tariff Class D; Subtransmission</v>
          </cell>
        </row>
        <row r="41">
          <cell r="B41" t="str">
            <v>BSSD3AO</v>
          </cell>
          <cell r="C41" t="str">
            <v>SUB TRANS 3 RATE DEMAND</v>
          </cell>
          <cell r="D41" t="str">
            <v>t-2</v>
          </cell>
        </row>
        <row r="42">
          <cell r="B42" t="str">
            <v/>
          </cell>
          <cell r="C42" t="str">
            <v/>
          </cell>
          <cell r="D42" t="str">
            <v/>
          </cell>
        </row>
        <row r="43">
          <cell r="B43" t="str">
            <v>BSS04CU</v>
          </cell>
          <cell r="C43" t="str">
            <v>Peak Gold Mines</v>
          </cell>
          <cell r="D43" t="str">
            <v>t-2</v>
          </cell>
        </row>
        <row r="44">
          <cell r="B44" t="str">
            <v>BSS05CU</v>
          </cell>
          <cell r="C44" t="str">
            <v>Oberon Timber Complex</v>
          </cell>
          <cell r="D44" t="str">
            <v>t-2</v>
          </cell>
        </row>
        <row r="45">
          <cell r="B45" t="str">
            <v>BSS05NO</v>
          </cell>
          <cell r="C45" t="str">
            <v>Harwood Sugar</v>
          </cell>
          <cell r="D45" t="str">
            <v>t-2</v>
          </cell>
        </row>
        <row r="46">
          <cell r="B46" t="str">
            <v>BSS06CU</v>
          </cell>
          <cell r="C46" t="str">
            <v>Fletcher International Exports</v>
          </cell>
          <cell r="D46" t="str">
            <v>t-2</v>
          </cell>
        </row>
        <row r="47">
          <cell r="B47" t="str">
            <v>BSS08CU</v>
          </cell>
          <cell r="C47" t="str">
            <v>Cadia Mine</v>
          </cell>
          <cell r="D47" t="str">
            <v>t-2</v>
          </cell>
        </row>
        <row r="48">
          <cell r="B48" t="str">
            <v>BSS10CU</v>
          </cell>
          <cell r="C48" t="str">
            <v>Ulan Coal Mine Cassilis Road</v>
          </cell>
          <cell r="D48" t="str">
            <v>t-2</v>
          </cell>
        </row>
        <row r="49">
          <cell r="B49" t="str">
            <v>BSS11CU</v>
          </cell>
          <cell r="C49" t="str">
            <v>Cobar Mine</v>
          </cell>
          <cell r="D49" t="str">
            <v>t-2</v>
          </cell>
        </row>
        <row r="50">
          <cell r="B50" t="str">
            <v>BSS12CU</v>
          </cell>
          <cell r="C50" t="str">
            <v>Endeavor Operations Pty Ltd</v>
          </cell>
          <cell r="D50" t="str">
            <v>t-2</v>
          </cell>
        </row>
        <row r="51">
          <cell r="B51" t="str">
            <v>BSS13CU</v>
          </cell>
          <cell r="C51" t="str">
            <v>Uncle Bens-Bathurst</v>
          </cell>
          <cell r="D51" t="str">
            <v>t-2</v>
          </cell>
        </row>
        <row r="52">
          <cell r="B52" t="str">
            <v>BSS20CU</v>
          </cell>
          <cell r="C52" t="str">
            <v>Nth Parkes Mine</v>
          </cell>
          <cell r="D52" t="str">
            <v>t-2</v>
          </cell>
        </row>
        <row r="53">
          <cell r="B53" t="str">
            <v>BSS25AO</v>
          </cell>
          <cell r="C53" t="str">
            <v>Tritton Mine</v>
          </cell>
          <cell r="D53" t="str">
            <v>t-2</v>
          </cell>
        </row>
        <row r="54">
          <cell r="B54" t="str">
            <v>BSS26AO</v>
          </cell>
          <cell r="C54" t="str">
            <v>Lake Cowal Mine</v>
          </cell>
          <cell r="D54" t="str">
            <v>t-2</v>
          </cell>
        </row>
        <row r="55">
          <cell r="B55" t="str">
            <v>BSS27AO</v>
          </cell>
          <cell r="C55" t="str">
            <v>Manildra Flour Mill</v>
          </cell>
          <cell r="D55" t="str">
            <v>t-1</v>
          </cell>
        </row>
        <row r="56">
          <cell r="B56" t="str">
            <v>CRNP1</v>
          </cell>
          <cell r="C56" t="str">
            <v>Perilya Mine, Broken Hill          </v>
          </cell>
          <cell r="D56" t="str">
            <v>t-2</v>
          </cell>
        </row>
        <row r="57">
          <cell r="B57" t="str">
            <v>CRNP2</v>
          </cell>
          <cell r="C57" t="str">
            <v>Bemax and Snapper      </v>
          </cell>
          <cell r="D57" t="str">
            <v>t-2</v>
          </cell>
        </row>
        <row r="58">
          <cell r="B58" t="str">
            <v>BSS21SU</v>
          </cell>
          <cell r="C58" t="str">
            <v>IDT Blowering Dam</v>
          </cell>
          <cell r="D58" t="str">
            <v>t-2</v>
          </cell>
        </row>
        <row r="59">
          <cell r="B59" t="str">
            <v>BSS22SU</v>
          </cell>
          <cell r="C59" t="str">
            <v>IDT Cabramurra Aux</v>
          </cell>
          <cell r="D59" t="str">
            <v>t-2</v>
          </cell>
        </row>
        <row r="60">
          <cell r="B60" t="str">
            <v>BSS24NU</v>
          </cell>
          <cell r="C60" t="str">
            <v>Kirra - IDC</v>
          </cell>
          <cell r="D60" t="str">
            <v>t-2</v>
          </cell>
        </row>
        <row r="61">
          <cell r="B61" t="str">
            <v/>
          </cell>
          <cell r="C61" t="str">
            <v/>
          </cell>
          <cell r="D61" t="str">
            <v/>
          </cell>
        </row>
        <row r="62">
          <cell r="B62" t="str">
            <v/>
          </cell>
          <cell r="C62" t="str">
            <v/>
          </cell>
          <cell r="D62" t="str">
            <v/>
          </cell>
        </row>
        <row r="63">
          <cell r="B63" t="str">
            <v/>
          </cell>
          <cell r="C63" t="str">
            <v/>
          </cell>
          <cell r="D63" t="str">
            <v/>
          </cell>
        </row>
        <row r="64">
          <cell r="B64" t="str">
            <v>Tariff Class E; unmetered</v>
          </cell>
        </row>
        <row r="65">
          <cell r="B65" t="str">
            <v>BLNP1AO</v>
          </cell>
          <cell r="C65" t="str">
            <v>LV Public Lighting NUOS</v>
          </cell>
          <cell r="D65" t="str">
            <v>t-2</v>
          </cell>
        </row>
        <row r="66">
          <cell r="B66" t="str">
            <v>BLNP3AO</v>
          </cell>
          <cell r="C66" t="str">
            <v>LV Public Lighting ToU NUOS</v>
          </cell>
          <cell r="D66" t="str">
            <v>t-2</v>
          </cell>
        </row>
      </sheetData>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S83"/>
  <sheetViews>
    <sheetView showGridLines="0" tabSelected="1" zoomScale="70" zoomScaleNormal="70" workbookViewId="0">
      <selection activeCell="P10" sqref="P10"/>
    </sheetView>
  </sheetViews>
  <sheetFormatPr defaultColWidth="8.88671875" defaultRowHeight="14.25" x14ac:dyDescent="0.2"/>
  <cols>
    <col min="1" max="1" width="1.88671875" style="15" customWidth="1"/>
    <col min="2" max="2" width="12.21875" style="8" customWidth="1"/>
    <col min="3" max="3" width="26.44140625" style="8" customWidth="1"/>
    <col min="4" max="4" width="11.21875" style="8" customWidth="1"/>
    <col min="5" max="5" width="25.21875" style="8" customWidth="1"/>
    <col min="6" max="13" width="10.5546875" style="8" customWidth="1"/>
    <col min="14" max="15" width="12.5546875" style="8" customWidth="1"/>
    <col min="16" max="16" width="21.33203125" style="8" customWidth="1"/>
    <col min="17" max="17" width="2.6640625" style="8" customWidth="1"/>
    <col min="18" max="16384" width="8.88671875" style="8"/>
  </cols>
  <sheetData>
    <row r="2" spans="1:16" ht="33" x14ac:dyDescent="0.45">
      <c r="A2" s="1"/>
      <c r="B2" s="2" t="s">
        <v>197</v>
      </c>
      <c r="C2" s="3"/>
      <c r="D2" s="3"/>
      <c r="E2" s="3"/>
      <c r="F2" s="3"/>
      <c r="G2" s="4"/>
      <c r="H2" s="5"/>
      <c r="I2" s="5"/>
      <c r="J2" s="5"/>
      <c r="K2" s="4"/>
      <c r="L2" s="6"/>
      <c r="M2" s="7"/>
    </row>
    <row r="3" spans="1:16" ht="15.75" x14ac:dyDescent="0.25">
      <c r="A3" s="1"/>
      <c r="B3" s="141" t="s">
        <v>204</v>
      </c>
      <c r="C3" s="142"/>
      <c r="D3" s="142"/>
      <c r="E3" s="142"/>
      <c r="F3" s="142"/>
      <c r="G3" s="9"/>
      <c r="H3" s="145"/>
      <c r="I3" s="137"/>
      <c r="J3" s="103"/>
      <c r="K3" s="9"/>
      <c r="L3" s="9"/>
      <c r="M3" s="10"/>
    </row>
    <row r="4" spans="1:16" ht="15" x14ac:dyDescent="0.25">
      <c r="A4" s="1"/>
      <c r="B4" s="11"/>
      <c r="C4" s="12"/>
      <c r="D4" s="13"/>
      <c r="E4" s="13"/>
      <c r="F4" s="13"/>
      <c r="G4" s="13"/>
      <c r="H4" s="13"/>
      <c r="I4" s="13"/>
      <c r="J4" s="13"/>
      <c r="K4" s="13"/>
      <c r="L4" s="13"/>
      <c r="M4" s="14"/>
    </row>
    <row r="5" spans="1:16" ht="26.25" customHeight="1" x14ac:dyDescent="0.25">
      <c r="B5" s="132" t="s">
        <v>107</v>
      </c>
      <c r="C5" s="131" t="s">
        <v>24</v>
      </c>
      <c r="D5" s="146" t="s">
        <v>9</v>
      </c>
      <c r="E5" s="147"/>
      <c r="F5" s="57" t="s">
        <v>1</v>
      </c>
      <c r="G5" s="57" t="s">
        <v>2</v>
      </c>
      <c r="H5" s="40" t="s">
        <v>2</v>
      </c>
      <c r="I5" s="40" t="s">
        <v>2</v>
      </c>
      <c r="J5" s="40" t="s">
        <v>2</v>
      </c>
      <c r="K5" s="40" t="s">
        <v>4</v>
      </c>
      <c r="L5" s="40" t="s">
        <v>5</v>
      </c>
      <c r="M5" s="40" t="s">
        <v>6</v>
      </c>
    </row>
    <row r="6" spans="1:16" ht="15" x14ac:dyDescent="0.2">
      <c r="B6" s="132"/>
      <c r="C6" s="132"/>
      <c r="D6" s="146"/>
      <c r="E6" s="147"/>
      <c r="F6" s="83" t="s">
        <v>10</v>
      </c>
      <c r="G6" s="83" t="s">
        <v>174</v>
      </c>
      <c r="H6" s="83" t="s">
        <v>4</v>
      </c>
      <c r="I6" s="83" t="s">
        <v>5</v>
      </c>
      <c r="J6" s="83" t="s">
        <v>6</v>
      </c>
      <c r="K6" s="83" t="s">
        <v>3</v>
      </c>
      <c r="L6" s="83" t="s">
        <v>3</v>
      </c>
      <c r="M6" s="83" t="s">
        <v>3</v>
      </c>
    </row>
    <row r="7" spans="1:16" ht="22.5" customHeight="1" x14ac:dyDescent="0.2">
      <c r="B7" s="132"/>
      <c r="C7" s="133"/>
      <c r="D7" s="146"/>
      <c r="E7" s="147"/>
      <c r="F7" s="83" t="s">
        <v>13</v>
      </c>
      <c r="G7" s="83" t="s">
        <v>14</v>
      </c>
      <c r="H7" s="83" t="s">
        <v>14</v>
      </c>
      <c r="I7" s="83" t="s">
        <v>14</v>
      </c>
      <c r="J7" s="83" t="s">
        <v>14</v>
      </c>
      <c r="K7" s="83" t="s">
        <v>15</v>
      </c>
      <c r="L7" s="83" t="s">
        <v>15</v>
      </c>
      <c r="M7" s="83" t="s">
        <v>15</v>
      </c>
    </row>
    <row r="8" spans="1:16" s="65" customFormat="1" ht="18" x14ac:dyDescent="0.25">
      <c r="A8" s="59"/>
      <c r="B8" s="60" t="s">
        <v>16</v>
      </c>
      <c r="C8" s="61"/>
      <c r="D8" s="62"/>
      <c r="E8" s="63"/>
      <c r="F8" s="64"/>
      <c r="G8" s="64"/>
      <c r="H8" s="64"/>
      <c r="I8" s="64"/>
      <c r="J8" s="64"/>
      <c r="K8" s="64"/>
      <c r="L8" s="64"/>
      <c r="M8" s="64"/>
    </row>
    <row r="9" spans="1:16" ht="18" customHeight="1" x14ac:dyDescent="0.2">
      <c r="B9" s="19" t="s">
        <v>25</v>
      </c>
      <c r="C9" s="20"/>
      <c r="D9" s="134" t="s">
        <v>181</v>
      </c>
      <c r="E9" s="135"/>
      <c r="F9" s="21">
        <f>ROUND(VLOOKUP($B9,'[2]NUOS (t)'!$B$10:$O$66,4,FALSE)/365,4)</f>
        <v>0.83640000000000003</v>
      </c>
      <c r="G9" s="21">
        <f>ROUND(VLOOKUP($B9,'[2]NUOS (t)'!$B$10:$O$66,5,FALSE),4)</f>
        <v>10.502800000000001</v>
      </c>
      <c r="H9" s="21"/>
      <c r="I9" s="21"/>
      <c r="J9" s="21"/>
      <c r="K9" s="21"/>
      <c r="L9" s="21"/>
      <c r="M9" s="21"/>
      <c r="N9" s="22"/>
      <c r="O9" s="22"/>
    </row>
    <row r="10" spans="1:16" ht="18" customHeight="1" x14ac:dyDescent="0.2">
      <c r="B10" s="19" t="s">
        <v>26</v>
      </c>
      <c r="C10" s="20"/>
      <c r="D10" s="134" t="s">
        <v>42</v>
      </c>
      <c r="E10" s="135"/>
      <c r="F10" s="21">
        <f>ROUND(VLOOKUP($B10,'[2]NUOS (t)'!$B$10:$O$66,4,FALSE)/365,4)</f>
        <v>0.83640000000000003</v>
      </c>
      <c r="G10" s="21"/>
      <c r="H10" s="21">
        <f>ROUND(VLOOKUP($B10,'[2]NUOS (t)'!$B$10:$O$66,6,FALSE),4)</f>
        <v>13.806100000000001</v>
      </c>
      <c r="I10" s="21">
        <f>ROUND(VLOOKUP($B10,'[2]NUOS (t)'!$B$10:$O$66,7,FALSE),4)</f>
        <v>11.9541</v>
      </c>
      <c r="J10" s="21">
        <f>ROUND(VLOOKUP($B10,'[2]NUOS (t)'!$B$10:$O$66,8,FALSE),4)</f>
        <v>4.4683999999999999</v>
      </c>
      <c r="K10" s="21"/>
      <c r="L10" s="21"/>
      <c r="M10" s="21"/>
      <c r="N10" s="22"/>
      <c r="O10" s="22"/>
      <c r="P10" s="22"/>
    </row>
    <row r="11" spans="1:16" ht="18" customHeight="1" x14ac:dyDescent="0.2">
      <c r="B11" s="19" t="s">
        <v>167</v>
      </c>
      <c r="C11" s="20"/>
      <c r="D11" s="134" t="s">
        <v>168</v>
      </c>
      <c r="E11" s="135"/>
      <c r="F11" s="21">
        <f>ROUND(VLOOKUP($B11,'[2]NUOS (t)'!$B$10:$O$66,4,FALSE)/365,4)</f>
        <v>0.83640000000000003</v>
      </c>
      <c r="G11" s="21"/>
      <c r="H11" s="21">
        <f>ROUND(VLOOKUP($B11,'[2]NUOS (t)'!$B$10:$O$66,6,FALSE),4)</f>
        <v>14.325699999999999</v>
      </c>
      <c r="I11" s="21">
        <f>ROUND(VLOOKUP($B11,'[2]NUOS (t)'!$B$10:$O$66,7,FALSE),4)</f>
        <v>11.5025</v>
      </c>
      <c r="J11" s="21">
        <f>ROUND(VLOOKUP($B11,'[2]NUOS (t)'!$B$10:$O$66,8,FALSE),4)</f>
        <v>4.4683999999999999</v>
      </c>
      <c r="K11" s="21"/>
      <c r="L11" s="21"/>
      <c r="M11" s="21"/>
      <c r="N11" s="22"/>
      <c r="O11" s="22"/>
      <c r="P11" s="22"/>
    </row>
    <row r="12" spans="1:16" ht="18" customHeight="1" x14ac:dyDescent="0.2">
      <c r="B12" s="19" t="s">
        <v>169</v>
      </c>
      <c r="C12" s="20"/>
      <c r="D12" s="134" t="s">
        <v>183</v>
      </c>
      <c r="E12" s="135"/>
      <c r="F12" s="21">
        <f>ROUND(VLOOKUP($B12,'[2]NUOS (t)'!$B$10:$O$66,4,FALSE)/365,4)</f>
        <v>0.83640000000000003</v>
      </c>
      <c r="G12" s="21"/>
      <c r="H12" s="21">
        <f>ROUND(VLOOKUP($B12,'[2]NUOS (t)'!$B$10:$O$66,6,FALSE),4)</f>
        <v>4.2625000000000002</v>
      </c>
      <c r="I12" s="21">
        <f>ROUND(VLOOKUP($B12,'[2]NUOS (t)'!$B$10:$O$66,7,FALSE),4)</f>
        <v>3.4302999999999999</v>
      </c>
      <c r="J12" s="21">
        <f>ROUND(VLOOKUP($B12,'[2]NUOS (t)'!$B$10:$O$66,8,FALSE),4)</f>
        <v>2.1212</v>
      </c>
      <c r="K12" s="21">
        <f>ROUND(VLOOKUP($B12,'[2]NUOS (t)'!$B$10:$O$66,10,FALSE),4)</f>
        <v>3.9748000000000001</v>
      </c>
      <c r="L12" s="127"/>
      <c r="M12" s="21"/>
      <c r="N12" s="22"/>
      <c r="O12" s="22"/>
      <c r="P12" s="22"/>
    </row>
    <row r="13" spans="1:16" s="65" customFormat="1" ht="18" x14ac:dyDescent="0.25">
      <c r="A13" s="59"/>
      <c r="B13" s="61" t="s">
        <v>19</v>
      </c>
      <c r="C13" s="61"/>
      <c r="D13" s="66"/>
      <c r="E13" s="67"/>
      <c r="F13" s="68"/>
      <c r="G13" s="69"/>
      <c r="H13" s="69"/>
      <c r="I13" s="69"/>
      <c r="J13" s="69"/>
      <c r="K13" s="69"/>
      <c r="L13" s="69"/>
      <c r="M13" s="69"/>
      <c r="N13" s="70"/>
      <c r="O13" s="70"/>
      <c r="P13" s="70"/>
    </row>
    <row r="14" spans="1:16" ht="18" customHeight="1" x14ac:dyDescent="0.2">
      <c r="B14" s="19" t="s">
        <v>27</v>
      </c>
      <c r="C14" s="20"/>
      <c r="D14" s="134" t="s">
        <v>39</v>
      </c>
      <c r="E14" s="135"/>
      <c r="F14" s="21">
        <f>ROUND(VLOOKUP($B14,'[2]NUOS (t)'!$B$10:$O$66,4,FALSE)/365,4)</f>
        <v>9.0399999999999994E-2</v>
      </c>
      <c r="G14" s="21">
        <f>ROUND(VLOOKUP($B14,'[2]NUOS (t)'!$B$10:$O$66,5,FALSE),4)</f>
        <v>2.2288999999999999</v>
      </c>
      <c r="H14" s="21"/>
      <c r="I14" s="21"/>
      <c r="J14" s="21"/>
      <c r="K14" s="21"/>
      <c r="L14" s="21"/>
      <c r="M14" s="21"/>
      <c r="N14" s="22"/>
      <c r="O14" s="22"/>
    </row>
    <row r="15" spans="1:16" ht="18" customHeight="1" x14ac:dyDescent="0.2">
      <c r="B15" s="19" t="s">
        <v>28</v>
      </c>
      <c r="C15" s="20"/>
      <c r="D15" s="134" t="s">
        <v>40</v>
      </c>
      <c r="E15" s="135"/>
      <c r="F15" s="21">
        <f>ROUND(VLOOKUP($B15,'[2]NUOS (t)'!$B$10:$O$66,4,FALSE)/365,4)</f>
        <v>9.0399999999999994E-2</v>
      </c>
      <c r="G15" s="21">
        <f>ROUND(VLOOKUP($B15,'[2]NUOS (t)'!$B$10:$O$66,5,FALSE),4)</f>
        <v>4.7572999999999999</v>
      </c>
      <c r="H15" s="21"/>
      <c r="I15" s="21"/>
      <c r="J15" s="21"/>
      <c r="K15" s="21"/>
      <c r="L15" s="21"/>
      <c r="M15" s="21"/>
      <c r="N15" s="22"/>
      <c r="O15" s="22"/>
    </row>
    <row r="16" spans="1:16" s="65" customFormat="1" ht="18" x14ac:dyDescent="0.25">
      <c r="A16" s="59"/>
      <c r="B16" s="71" t="s">
        <v>87</v>
      </c>
      <c r="C16" s="71"/>
      <c r="D16" s="72"/>
      <c r="E16" s="73"/>
      <c r="F16" s="74"/>
      <c r="G16" s="74"/>
      <c r="H16" s="74"/>
      <c r="I16" s="74"/>
      <c r="J16" s="74"/>
      <c r="K16" s="74"/>
      <c r="L16" s="74"/>
      <c r="M16" s="74"/>
      <c r="N16" s="70"/>
      <c r="O16" s="70"/>
      <c r="P16" s="70"/>
    </row>
    <row r="17" spans="1:17" ht="18" customHeight="1" x14ac:dyDescent="0.2">
      <c r="A17" s="140"/>
      <c r="B17" s="26" t="s">
        <v>84</v>
      </c>
      <c r="C17" s="20"/>
      <c r="D17" s="134" t="s">
        <v>113</v>
      </c>
      <c r="E17" s="135"/>
      <c r="F17" s="27"/>
      <c r="G17" s="31">
        <v>0</v>
      </c>
      <c r="H17" s="27"/>
      <c r="I17" s="27"/>
      <c r="J17" s="27"/>
      <c r="K17" s="27"/>
      <c r="L17" s="27"/>
      <c r="M17" s="27"/>
      <c r="N17" s="22"/>
      <c r="O17" s="22"/>
      <c r="P17" s="22"/>
    </row>
    <row r="18" spans="1:17" ht="18" customHeight="1" x14ac:dyDescent="0.2">
      <c r="A18" s="140"/>
      <c r="B18" s="26" t="s">
        <v>85</v>
      </c>
      <c r="C18" s="20"/>
      <c r="D18" s="134" t="s">
        <v>114</v>
      </c>
      <c r="E18" s="135"/>
      <c r="F18" s="27"/>
      <c r="G18" s="31">
        <v>0</v>
      </c>
      <c r="H18" s="27"/>
      <c r="I18" s="27"/>
      <c r="J18" s="27"/>
      <c r="K18" s="27"/>
      <c r="L18" s="27"/>
      <c r="M18" s="27"/>
      <c r="N18" s="22"/>
      <c r="O18" s="22"/>
      <c r="P18" s="22"/>
    </row>
    <row r="19" spans="1:17" ht="18" customHeight="1" x14ac:dyDescent="0.2">
      <c r="A19" s="28"/>
      <c r="B19" s="26" t="s">
        <v>82</v>
      </c>
      <c r="C19" s="20"/>
      <c r="D19" s="134" t="s">
        <v>111</v>
      </c>
      <c r="E19" s="135"/>
      <c r="F19" s="27"/>
      <c r="G19" s="31">
        <v>0</v>
      </c>
      <c r="H19" s="27"/>
      <c r="I19" s="27"/>
      <c r="J19" s="27"/>
      <c r="K19" s="27"/>
      <c r="L19" s="27"/>
      <c r="M19" s="27"/>
      <c r="N19" s="22"/>
      <c r="O19" s="22"/>
      <c r="P19" s="22"/>
    </row>
    <row r="20" spans="1:17" ht="18" customHeight="1" x14ac:dyDescent="0.2">
      <c r="A20" s="28"/>
      <c r="B20" s="26" t="s">
        <v>83</v>
      </c>
      <c r="C20" s="20"/>
      <c r="D20" s="134" t="s">
        <v>112</v>
      </c>
      <c r="E20" s="135"/>
      <c r="F20" s="27"/>
      <c r="G20" s="31">
        <v>0</v>
      </c>
      <c r="H20" s="27"/>
      <c r="I20" s="27"/>
      <c r="J20" s="27"/>
      <c r="K20" s="27"/>
      <c r="L20" s="27"/>
      <c r="M20" s="27"/>
      <c r="N20" s="22"/>
      <c r="O20" s="22"/>
      <c r="P20" s="22"/>
    </row>
    <row r="21" spans="1:17" ht="18" customHeight="1" x14ac:dyDescent="0.2">
      <c r="A21" s="28"/>
      <c r="B21" s="26" t="s">
        <v>88</v>
      </c>
      <c r="C21" s="20"/>
      <c r="D21" s="134" t="s">
        <v>89</v>
      </c>
      <c r="E21" s="135"/>
      <c r="F21" s="27"/>
      <c r="G21" s="31">
        <v>0</v>
      </c>
      <c r="H21" s="27"/>
      <c r="I21" s="27"/>
      <c r="J21" s="27"/>
      <c r="K21" s="27"/>
      <c r="L21" s="27"/>
      <c r="M21" s="27"/>
      <c r="N21" s="22"/>
      <c r="O21" s="22"/>
      <c r="P21" s="22"/>
    </row>
    <row r="22" spans="1:17" s="32" customFormat="1" ht="18" customHeight="1" x14ac:dyDescent="0.2">
      <c r="A22" s="29"/>
      <c r="B22" s="30" t="s">
        <v>98</v>
      </c>
      <c r="C22" s="20"/>
      <c r="D22" s="134" t="s">
        <v>100</v>
      </c>
      <c r="E22" s="135"/>
      <c r="F22" s="21"/>
      <c r="G22" s="31">
        <v>0</v>
      </c>
      <c r="H22" s="21"/>
      <c r="I22" s="21"/>
      <c r="J22" s="21"/>
      <c r="K22" s="21"/>
      <c r="L22" s="21"/>
      <c r="M22" s="21"/>
      <c r="N22" s="22"/>
      <c r="O22" s="22"/>
      <c r="P22" s="22"/>
    </row>
    <row r="23" spans="1:17" s="32" customFormat="1" ht="18" customHeight="1" x14ac:dyDescent="0.2">
      <c r="B23" s="19" t="s">
        <v>99</v>
      </c>
      <c r="C23" s="33"/>
      <c r="D23" s="134" t="s">
        <v>100</v>
      </c>
      <c r="E23" s="135"/>
      <c r="F23" s="27"/>
      <c r="G23" s="31">
        <v>0</v>
      </c>
      <c r="H23" s="27"/>
      <c r="I23" s="27"/>
      <c r="J23" s="27"/>
      <c r="K23" s="27"/>
      <c r="L23" s="27"/>
      <c r="M23" s="27"/>
      <c r="N23" s="22"/>
      <c r="O23" s="22"/>
      <c r="P23" s="22"/>
    </row>
    <row r="24" spans="1:17" s="65" customFormat="1" ht="18" x14ac:dyDescent="0.25">
      <c r="A24" s="59"/>
      <c r="B24" s="71" t="s">
        <v>18</v>
      </c>
      <c r="C24" s="71"/>
      <c r="D24" s="72"/>
      <c r="E24" s="73"/>
      <c r="F24" s="74"/>
      <c r="G24" s="74"/>
      <c r="H24" s="74"/>
      <c r="I24" s="74"/>
      <c r="J24" s="74"/>
      <c r="K24" s="74"/>
      <c r="L24" s="74"/>
      <c r="M24" s="74"/>
      <c r="N24" s="70"/>
      <c r="O24" s="70"/>
      <c r="P24" s="70"/>
    </row>
    <row r="25" spans="1:17" ht="18" customHeight="1" x14ac:dyDescent="0.2">
      <c r="B25" s="19" t="s">
        <v>29</v>
      </c>
      <c r="C25" s="20"/>
      <c r="D25" s="134" t="s">
        <v>182</v>
      </c>
      <c r="E25" s="135"/>
      <c r="F25" s="21">
        <f>ROUND(VLOOKUP($B25,'[2]NUOS (t)'!$B$10:$O$66,4,FALSE)/365,4)</f>
        <v>0.83640000000000003</v>
      </c>
      <c r="G25" s="21">
        <f>ROUND(VLOOKUP($B25,'[2]NUOS (t)'!$B$10:$O$66,5,FALSE),4)</f>
        <v>14.5137</v>
      </c>
      <c r="H25" s="21"/>
      <c r="I25" s="21"/>
      <c r="J25" s="21"/>
      <c r="K25" s="21"/>
      <c r="L25" s="21"/>
      <c r="M25" s="21"/>
      <c r="N25" s="22"/>
      <c r="O25" s="22"/>
    </row>
    <row r="26" spans="1:17" ht="18" customHeight="1" x14ac:dyDescent="0.2">
      <c r="B26" s="19" t="s">
        <v>30</v>
      </c>
      <c r="C26" s="20"/>
      <c r="D26" s="134" t="s">
        <v>43</v>
      </c>
      <c r="E26" s="135"/>
      <c r="F26" s="21">
        <f>ROUND(VLOOKUP($B26,'[2]NUOS (t)'!$B$10:$O$66,4,FALSE)/365,4)</f>
        <v>5.0972999999999997</v>
      </c>
      <c r="G26" s="21"/>
      <c r="H26" s="21">
        <f>ROUND(VLOOKUP($B26,'[2]NUOS (t)'!$B$10:$O$66,6,FALSE),4)</f>
        <v>14.709</v>
      </c>
      <c r="I26" s="21">
        <f>ROUND(VLOOKUP($B26,'[2]NUOS (t)'!$B$10:$O$66,7,FALSE),4)</f>
        <v>12.7966</v>
      </c>
      <c r="J26" s="21">
        <f>ROUND(VLOOKUP($B26,'[2]NUOS (t)'!$B$10:$O$66,8,FALSE),4)</f>
        <v>6.5480999999999998</v>
      </c>
      <c r="K26" s="21"/>
      <c r="L26" s="21"/>
      <c r="M26" s="21"/>
      <c r="N26" s="22"/>
      <c r="O26" s="22"/>
      <c r="P26" s="22"/>
    </row>
    <row r="27" spans="1:17" ht="18" customHeight="1" x14ac:dyDescent="0.2">
      <c r="B27" s="19" t="s">
        <v>171</v>
      </c>
      <c r="C27" s="20"/>
      <c r="D27" s="134" t="s">
        <v>172</v>
      </c>
      <c r="E27" s="135"/>
      <c r="F27" s="21">
        <f>ROUND(VLOOKUP($B27,'[2]NUOS (t)'!$B$10:$O$66,4,FALSE)/365,4)</f>
        <v>1.45</v>
      </c>
      <c r="G27" s="21"/>
      <c r="H27" s="21">
        <f>ROUND(VLOOKUP($B27,'[2]NUOS (t)'!$B$10:$O$66,6,FALSE),4)</f>
        <v>15.2517</v>
      </c>
      <c r="I27" s="21">
        <f>ROUND(VLOOKUP($B27,'[2]NUOS (t)'!$B$10:$O$66,7,FALSE),4)</f>
        <v>12.3248</v>
      </c>
      <c r="J27" s="21">
        <f>ROUND(VLOOKUP($B27,'[2]NUOS (t)'!$B$10:$O$66,8,FALSE),4)</f>
        <v>6.3357999999999999</v>
      </c>
      <c r="K27" s="21"/>
      <c r="L27" s="21"/>
      <c r="M27" s="21"/>
      <c r="N27" s="22"/>
      <c r="O27" s="22"/>
      <c r="P27" s="22"/>
    </row>
    <row r="28" spans="1:17" ht="18" customHeight="1" x14ac:dyDescent="0.2">
      <c r="B28" s="19" t="s">
        <v>173</v>
      </c>
      <c r="C28" s="20"/>
      <c r="D28" s="134" t="s">
        <v>184</v>
      </c>
      <c r="E28" s="135"/>
      <c r="F28" s="21">
        <f>ROUND(VLOOKUP($B28,'[2]NUOS (t)'!$B$10:$O$66,4,FALSE)/365,4)</f>
        <v>1.45</v>
      </c>
      <c r="G28" s="21"/>
      <c r="H28" s="21">
        <f>ROUND(VLOOKUP($B28,'[2]NUOS (t)'!$B$10:$O$66,6,FALSE),4)</f>
        <v>6.16</v>
      </c>
      <c r="I28" s="21">
        <f>ROUND(VLOOKUP($B28,'[2]NUOS (t)'!$B$10:$O$66,7,FALSE),4)</f>
        <v>4.8022999999999998</v>
      </c>
      <c r="J28" s="21">
        <f>ROUND(VLOOKUP($B28,'[2]NUOS (t)'!$B$10:$O$66,8,FALSE),4)</f>
        <v>2.8424</v>
      </c>
      <c r="K28" s="21">
        <f>ROUND(VLOOKUP($B28,'[2]NUOS (t)'!$B$10:$O$66,10,FALSE),4)</f>
        <v>6.4589999999999996</v>
      </c>
      <c r="L28" s="127"/>
      <c r="M28" s="21"/>
      <c r="N28" s="22"/>
      <c r="O28" s="22"/>
      <c r="P28" s="22"/>
    </row>
    <row r="29" spans="1:17" ht="18" customHeight="1" x14ac:dyDescent="0.2">
      <c r="B29" s="19" t="s">
        <v>31</v>
      </c>
      <c r="C29" s="20"/>
      <c r="D29" s="134" t="s">
        <v>116</v>
      </c>
      <c r="E29" s="135"/>
      <c r="F29" s="21">
        <f>ROUND(VLOOKUP($B29,'[2]NUOS (t)'!$B$10:$O$66,4,FALSE)/365,4)</f>
        <v>5.0972999999999997</v>
      </c>
      <c r="G29" s="21"/>
      <c r="H29" s="21">
        <f>ROUND(VLOOKUP($B29,'[2]NUOS (t)'!$B$10:$O$66,6,FALSE),4)</f>
        <v>14.709</v>
      </c>
      <c r="I29" s="21">
        <f>ROUND(VLOOKUP($B29,'[2]NUOS (t)'!$B$10:$O$66,7,FALSE),4)</f>
        <v>12.7966</v>
      </c>
      <c r="J29" s="21">
        <f>ROUND(VLOOKUP($B29,'[2]NUOS (t)'!$B$10:$O$66,8,FALSE),4)</f>
        <v>6.5480999999999998</v>
      </c>
      <c r="K29" s="21"/>
      <c r="L29" s="21"/>
      <c r="M29" s="21"/>
      <c r="N29" s="22"/>
      <c r="O29" s="22"/>
      <c r="P29" s="22"/>
    </row>
    <row r="30" spans="1:17" ht="18" customHeight="1" x14ac:dyDescent="0.2">
      <c r="B30" s="19" t="s">
        <v>175</v>
      </c>
      <c r="C30" s="20"/>
      <c r="D30" s="134" t="s">
        <v>176</v>
      </c>
      <c r="E30" s="135"/>
      <c r="F30" s="21">
        <f>ROUND(VLOOKUP($B30,'[2]NUOS (t)'!$B$10:$O$66,4,FALSE)/365,4)</f>
        <v>11.682600000000001</v>
      </c>
      <c r="G30" s="21"/>
      <c r="H30" s="21">
        <f>ROUND(VLOOKUP($B30,'[2]NUOS (t)'!$B$10:$O$66,6,FALSE),4)</f>
        <v>7.7553000000000001</v>
      </c>
      <c r="I30" s="21">
        <f>ROUND(VLOOKUP($B30,'[2]NUOS (t)'!$B$10:$O$66,7,FALSE),4)</f>
        <v>6.7411000000000003</v>
      </c>
      <c r="J30" s="21">
        <f>ROUND(VLOOKUP($B30,'[2]NUOS (t)'!$B$10:$O$66,8,FALSE),4)</f>
        <v>3.8069999999999999</v>
      </c>
      <c r="K30" s="21">
        <f>ROUND(VLOOKUP($B30,'[2]NUOS (t)'!$B$10:$O$66,10,FALSE),4)</f>
        <v>6.6351000000000004</v>
      </c>
      <c r="L30" s="21">
        <f>ROUND(VLOOKUP($B30,'[2]NUOS (t)'!$B$10:$O$66,11,FALSE),4)</f>
        <v>6.0030999999999999</v>
      </c>
      <c r="M30" s="21">
        <f>ROUND(VLOOKUP($B30,'[2]NUOS (t)'!$B$10:$O$66,12,FALSE),4)</f>
        <v>1.4564999999999999</v>
      </c>
      <c r="N30" s="22"/>
      <c r="O30" s="22"/>
      <c r="P30" s="22"/>
    </row>
    <row r="31" spans="1:17" ht="18" customHeight="1" x14ac:dyDescent="0.2">
      <c r="B31" s="19" t="s">
        <v>32</v>
      </c>
      <c r="C31" s="20"/>
      <c r="D31" s="134" t="s">
        <v>47</v>
      </c>
      <c r="E31" s="135"/>
      <c r="F31" s="21">
        <f>ROUND(VLOOKUP($B31,'[2]NUOS (t)'!$B$10:$O$66,4,FALSE)/365,4)</f>
        <v>14.975199999999999</v>
      </c>
      <c r="G31" s="21"/>
      <c r="H31" s="21">
        <f>ROUND(VLOOKUP($B31,'[2]NUOS (t)'!$B$10:$O$66,6,FALSE),4)</f>
        <v>4.2784000000000004</v>
      </c>
      <c r="I31" s="21">
        <f>ROUND(VLOOKUP($B31,'[2]NUOS (t)'!$B$10:$O$66,7,FALSE),4)</f>
        <v>3.7132999999999998</v>
      </c>
      <c r="J31" s="21">
        <f>ROUND(VLOOKUP($B31,'[2]NUOS (t)'!$B$10:$O$66,8,FALSE),4)</f>
        <v>2.4363999999999999</v>
      </c>
      <c r="K31" s="21">
        <f>ROUND(VLOOKUP($B31,'[2]NUOS (t)'!$B$10:$O$66,10,FALSE),4)</f>
        <v>9.9526000000000003</v>
      </c>
      <c r="L31" s="21">
        <f>ROUND(VLOOKUP($B31,'[2]NUOS (t)'!$B$10:$O$66,11,FALSE),4)</f>
        <v>9.0046999999999997</v>
      </c>
      <c r="M31" s="21">
        <f>ROUND(VLOOKUP($B31,'[2]NUOS (t)'!$B$10:$O$66,12,FALSE),4)</f>
        <v>2.1848000000000001</v>
      </c>
      <c r="N31" s="22"/>
      <c r="O31" s="97"/>
      <c r="P31" s="97"/>
      <c r="Q31" s="97"/>
    </row>
    <row r="32" spans="1:17" ht="18" customHeight="1" x14ac:dyDescent="0.2">
      <c r="B32" s="19" t="s">
        <v>61</v>
      </c>
      <c r="C32" s="20"/>
      <c r="D32" s="134" t="s">
        <v>74</v>
      </c>
      <c r="E32" s="135"/>
      <c r="F32" s="21">
        <f>ROUND(VLOOKUP($B32,'[2]NUOS (t)'!$B$10:$O$66,4,FALSE)/365,4)</f>
        <v>14.975199999999999</v>
      </c>
      <c r="G32" s="21"/>
      <c r="H32" s="21">
        <f>ROUND(VLOOKUP($B32,'[2]NUOS (t)'!$B$10:$O$66,6,FALSE),4)</f>
        <v>13.1195</v>
      </c>
      <c r="I32" s="21">
        <f>ROUND(VLOOKUP($B32,'[2]NUOS (t)'!$B$10:$O$66,7,FALSE),4)</f>
        <v>11.097300000000001</v>
      </c>
      <c r="J32" s="21">
        <f>ROUND(VLOOKUP($B32,'[2]NUOS (t)'!$B$10:$O$66,8,FALSE),4)</f>
        <v>4.78</v>
      </c>
      <c r="K32" s="129">
        <f>ROUND(VLOOKUP($B32,'[2]NUOS (t)'!$B$10:$O$66,10,FALSE),4)</f>
        <v>11.8537</v>
      </c>
      <c r="L32" s="130"/>
      <c r="M32" s="21"/>
      <c r="N32" s="22"/>
      <c r="O32" s="22"/>
      <c r="P32" s="22"/>
    </row>
    <row r="33" spans="1:16" ht="18" customHeight="1" x14ac:dyDescent="0.2">
      <c r="B33" s="19" t="s">
        <v>34</v>
      </c>
      <c r="C33" s="20"/>
      <c r="D33" s="134" t="s">
        <v>41</v>
      </c>
      <c r="E33" s="135"/>
      <c r="F33" s="21">
        <f>ROUND(VLOOKUP($B33,'[2]NUOS (t)'!$B$10:$O$66,4,FALSE)/365,4)</f>
        <v>18.536899999999999</v>
      </c>
      <c r="G33" s="21"/>
      <c r="H33" s="21">
        <f>ROUND(VLOOKUP($B33,'[2]NUOS (t)'!$B$10:$O$66,6,FALSE),4)</f>
        <v>3.2685</v>
      </c>
      <c r="I33" s="21">
        <f>ROUND(VLOOKUP($B33,'[2]NUOS (t)'!$B$10:$O$66,7,FALSE),4)</f>
        <v>2.8637000000000001</v>
      </c>
      <c r="J33" s="21">
        <f>ROUND(VLOOKUP($B33,'[2]NUOS (t)'!$B$10:$O$66,8,FALSE),4)</f>
        <v>2.3523000000000001</v>
      </c>
      <c r="K33" s="21">
        <f>ROUND(VLOOKUP($B33,'[2]NUOS (t)'!$B$10:$O$66,10,FALSE),4)</f>
        <v>8.8050999999999995</v>
      </c>
      <c r="L33" s="21">
        <f>ROUND(VLOOKUP($B33,'[2]NUOS (t)'!$B$10:$O$66,11,FALSE),4)</f>
        <v>7.9664999999999999</v>
      </c>
      <c r="M33" s="21">
        <f>ROUND(VLOOKUP($B33,'[2]NUOS (t)'!$B$10:$O$66,12,FALSE),4)</f>
        <v>2.3839000000000001</v>
      </c>
      <c r="N33" s="22"/>
      <c r="O33" s="22"/>
      <c r="P33" s="22"/>
    </row>
    <row r="34" spans="1:16" ht="18" customHeight="1" x14ac:dyDescent="0.2">
      <c r="B34" s="19" t="s">
        <v>23</v>
      </c>
      <c r="C34" s="20"/>
      <c r="D34" s="143" t="s">
        <v>38</v>
      </c>
      <c r="E34" s="144"/>
      <c r="F34" s="21">
        <f>ROUND(VLOOKUP($B34,'[2]NUOS (t)'!$B$10:$O$66,4,FALSE)/365,4)</f>
        <v>18.400600000000001</v>
      </c>
      <c r="G34" s="21"/>
      <c r="H34" s="21">
        <f>ROUND(VLOOKUP($B34,'[2]NUOS (t)'!$B$10:$O$66,6,FALSE),4)</f>
        <v>3.9941</v>
      </c>
      <c r="I34" s="21">
        <f>ROUND(VLOOKUP($B34,'[2]NUOS (t)'!$B$10:$O$66,7,FALSE),4)</f>
        <v>2.3969</v>
      </c>
      <c r="J34" s="21">
        <f>ROUND(VLOOKUP($B34,'[2]NUOS (t)'!$B$10:$O$66,8,FALSE),4)</f>
        <v>1.9955000000000001</v>
      </c>
      <c r="K34" s="21">
        <f>ROUND(VLOOKUP($B34,'[2]NUOS (t)'!$B$10:$O$66,10,FALSE),4)</f>
        <v>3.3978000000000002</v>
      </c>
      <c r="L34" s="21">
        <f>ROUND(VLOOKUP($B34,'[2]NUOS (t)'!$B$10:$O$66,11,FALSE),4)</f>
        <v>2.4222999999999999</v>
      </c>
      <c r="M34" s="21">
        <f>ROUND(VLOOKUP($B34,'[2]NUOS (t)'!$B$10:$O$66,12,FALSE),4)</f>
        <v>0.96560000000000001</v>
      </c>
    </row>
    <row r="35" spans="1:16" s="65" customFormat="1" ht="18" x14ac:dyDescent="0.25">
      <c r="A35" s="59"/>
      <c r="B35" s="71" t="s">
        <v>45</v>
      </c>
      <c r="C35" s="71"/>
      <c r="D35" s="72"/>
      <c r="E35" s="73"/>
      <c r="F35" s="75"/>
      <c r="G35" s="75"/>
      <c r="H35" s="75"/>
      <c r="I35" s="75"/>
      <c r="J35" s="75"/>
      <c r="K35" s="75"/>
      <c r="L35" s="75"/>
      <c r="M35" s="75"/>
    </row>
    <row r="36" spans="1:16" ht="18" customHeight="1" x14ac:dyDescent="0.2">
      <c r="B36" s="19" t="s">
        <v>36</v>
      </c>
      <c r="C36" s="20" t="s">
        <v>44</v>
      </c>
      <c r="D36" s="134" t="s">
        <v>109</v>
      </c>
      <c r="E36" s="135"/>
      <c r="F36" s="21">
        <f>ROUND(VLOOKUP($B36,'[2]NUOS (t)'!$B$10:$O$66,4,FALSE)/365,4)</f>
        <v>0.83640000000000003</v>
      </c>
      <c r="G36" s="21">
        <f>ROUND(VLOOKUP($B36,'[2]NUOS (t)'!$B$10:$O$66,5,FALSE),4)</f>
        <v>15.7058</v>
      </c>
      <c r="H36" s="21"/>
      <c r="I36" s="21"/>
      <c r="J36" s="21"/>
      <c r="K36" s="21"/>
      <c r="L36" s="21"/>
      <c r="M36" s="21"/>
    </row>
    <row r="37" spans="1:16" ht="18" customHeight="1" x14ac:dyDescent="0.2">
      <c r="B37" s="19" t="s">
        <v>37</v>
      </c>
      <c r="C37" s="20"/>
      <c r="D37" s="134" t="s">
        <v>110</v>
      </c>
      <c r="E37" s="135"/>
      <c r="F37" s="21">
        <f>ROUND(VLOOKUP($B37,'[2]NUOS (t)'!$B$10:$O$66,4,FALSE)/365,4)</f>
        <v>0</v>
      </c>
      <c r="G37" s="21"/>
      <c r="H37" s="21">
        <f>ROUND(VLOOKUP($B37,'[2]NUOS (t)'!$B$10:$O$66,6,FALSE),4)</f>
        <v>16.784099999999999</v>
      </c>
      <c r="I37" s="21">
        <f>ROUND(VLOOKUP($B37,'[2]NUOS (t)'!$B$10:$O$66,7,FALSE),4)</f>
        <v>14.1577</v>
      </c>
      <c r="J37" s="21">
        <f>ROUND(VLOOKUP($B37,'[2]NUOS (t)'!$B$10:$O$66,8,FALSE),4)</f>
        <v>6.8310000000000004</v>
      </c>
      <c r="K37" s="21"/>
      <c r="L37" s="21"/>
      <c r="M37" s="21"/>
    </row>
    <row r="38" spans="1:16" s="65" customFormat="1" ht="18" x14ac:dyDescent="0.25">
      <c r="A38" s="59"/>
      <c r="B38" s="71" t="s">
        <v>69</v>
      </c>
      <c r="C38" s="71"/>
      <c r="D38" s="72"/>
      <c r="E38" s="73"/>
      <c r="F38" s="75"/>
      <c r="G38" s="75"/>
      <c r="H38" s="75"/>
      <c r="I38" s="75"/>
      <c r="J38" s="75"/>
      <c r="K38" s="75"/>
      <c r="L38" s="75"/>
      <c r="M38" s="75"/>
    </row>
    <row r="39" spans="1:16" ht="28.5" x14ac:dyDescent="0.2">
      <c r="B39" s="20" t="s">
        <v>50</v>
      </c>
      <c r="C39" s="20"/>
      <c r="D39" s="134" t="s">
        <v>51</v>
      </c>
      <c r="E39" s="135"/>
      <c r="F39" s="27" t="s">
        <v>52</v>
      </c>
      <c r="G39" s="27" t="s">
        <v>52</v>
      </c>
      <c r="H39" s="27" t="s">
        <v>52</v>
      </c>
      <c r="I39" s="27" t="s">
        <v>52</v>
      </c>
      <c r="J39" s="27" t="s">
        <v>52</v>
      </c>
      <c r="K39" s="27" t="s">
        <v>52</v>
      </c>
      <c r="L39" s="27" t="s">
        <v>52</v>
      </c>
      <c r="M39" s="27" t="s">
        <v>52</v>
      </c>
    </row>
    <row r="40" spans="1:16" x14ac:dyDescent="0.2">
      <c r="B40" s="34"/>
      <c r="C40" s="34"/>
      <c r="D40" s="35"/>
      <c r="E40" s="35"/>
      <c r="F40" s="36"/>
      <c r="G40" s="36"/>
      <c r="H40" s="36"/>
      <c r="I40" s="36"/>
      <c r="J40" s="36"/>
      <c r="K40" s="36"/>
      <c r="L40" s="36"/>
      <c r="M40" s="36"/>
      <c r="N40" s="36"/>
      <c r="O40" s="36"/>
      <c r="P40" s="36"/>
    </row>
    <row r="41" spans="1:16" ht="33" x14ac:dyDescent="0.45">
      <c r="A41" s="1"/>
      <c r="B41" s="2" t="s">
        <v>198</v>
      </c>
      <c r="C41" s="3"/>
      <c r="D41" s="3"/>
      <c r="E41" s="3"/>
      <c r="F41" s="3"/>
      <c r="G41" s="4"/>
      <c r="H41" s="4"/>
      <c r="I41" s="4"/>
      <c r="J41" s="4"/>
      <c r="K41" s="5"/>
      <c r="L41" s="5"/>
      <c r="M41" s="5"/>
      <c r="N41" s="6"/>
      <c r="O41" s="6"/>
      <c r="P41" s="7"/>
    </row>
    <row r="42" spans="1:16" ht="22.5" customHeight="1" x14ac:dyDescent="0.25">
      <c r="A42" s="1"/>
      <c r="B42" s="141" t="str">
        <f>B3</f>
        <v>Effective 1 July 2020</v>
      </c>
      <c r="C42" s="142"/>
      <c r="D42" s="142"/>
      <c r="E42" s="142"/>
      <c r="F42" s="142"/>
      <c r="G42" s="9"/>
      <c r="H42" s="9"/>
      <c r="I42" s="9"/>
      <c r="J42" s="9"/>
      <c r="K42" s="9"/>
      <c r="L42" s="137"/>
      <c r="M42" s="137"/>
      <c r="N42" s="9"/>
      <c r="O42" s="9"/>
      <c r="P42" s="10"/>
    </row>
    <row r="43" spans="1:16" ht="11.25" customHeight="1" x14ac:dyDescent="0.25">
      <c r="A43" s="1"/>
      <c r="B43" s="77"/>
      <c r="C43" s="78"/>
      <c r="D43" s="78"/>
      <c r="E43" s="78"/>
      <c r="F43" s="78"/>
      <c r="G43" s="13"/>
      <c r="H43" s="13"/>
      <c r="I43" s="13"/>
      <c r="J43" s="13"/>
      <c r="K43" s="13"/>
      <c r="L43" s="79"/>
      <c r="M43" s="79"/>
      <c r="N43" s="13"/>
      <c r="O43" s="13"/>
      <c r="P43" s="14"/>
    </row>
    <row r="44" spans="1:16" ht="24" customHeight="1" x14ac:dyDescent="0.25">
      <c r="B44" s="131" t="s">
        <v>108</v>
      </c>
      <c r="C44" s="131" t="s">
        <v>9</v>
      </c>
      <c r="D44" s="37" t="s">
        <v>1</v>
      </c>
      <c r="E44" s="38" t="s">
        <v>2</v>
      </c>
      <c r="F44" s="38" t="s">
        <v>2</v>
      </c>
      <c r="G44" s="38" t="s">
        <v>2</v>
      </c>
      <c r="H44" s="37" t="s">
        <v>3</v>
      </c>
      <c r="I44" s="38" t="s">
        <v>4</v>
      </c>
      <c r="J44" s="38" t="s">
        <v>5</v>
      </c>
      <c r="K44" s="38" t="s">
        <v>6</v>
      </c>
      <c r="L44" s="37" t="s">
        <v>7</v>
      </c>
      <c r="M44" s="138" t="s">
        <v>49</v>
      </c>
      <c r="N44" s="138"/>
      <c r="O44" s="138"/>
      <c r="P44" s="138"/>
    </row>
    <row r="45" spans="1:16" ht="15" x14ac:dyDescent="0.25">
      <c r="B45" s="132"/>
      <c r="C45" s="132"/>
      <c r="D45" s="40" t="s">
        <v>10</v>
      </c>
      <c r="E45" s="40" t="s">
        <v>4</v>
      </c>
      <c r="F45" s="40" t="s">
        <v>5</v>
      </c>
      <c r="G45" s="40" t="s">
        <v>6</v>
      </c>
      <c r="H45" s="40" t="s">
        <v>12</v>
      </c>
      <c r="I45" s="40" t="s">
        <v>3</v>
      </c>
      <c r="J45" s="40" t="s">
        <v>3</v>
      </c>
      <c r="K45" s="40" t="s">
        <v>3</v>
      </c>
      <c r="L45" s="40" t="s">
        <v>12</v>
      </c>
      <c r="M45" s="138"/>
      <c r="N45" s="138"/>
      <c r="O45" s="138"/>
      <c r="P45" s="138"/>
    </row>
    <row r="46" spans="1:16" ht="24" customHeight="1" x14ac:dyDescent="0.2">
      <c r="B46" s="132"/>
      <c r="C46" s="132"/>
      <c r="D46" s="83" t="s">
        <v>13</v>
      </c>
      <c r="E46" s="83" t="s">
        <v>14</v>
      </c>
      <c r="F46" s="83" t="s">
        <v>14</v>
      </c>
      <c r="G46" s="83" t="s">
        <v>14</v>
      </c>
      <c r="H46" s="83" t="s">
        <v>15</v>
      </c>
      <c r="I46" s="83" t="s">
        <v>15</v>
      </c>
      <c r="J46" s="83" t="s">
        <v>15</v>
      </c>
      <c r="K46" s="83" t="s">
        <v>15</v>
      </c>
      <c r="L46" s="83" t="s">
        <v>15</v>
      </c>
      <c r="M46" s="138"/>
      <c r="N46" s="138"/>
      <c r="O46" s="138"/>
      <c r="P46" s="138"/>
    </row>
    <row r="47" spans="1:16" s="65" customFormat="1" ht="18" x14ac:dyDescent="0.25">
      <c r="A47" s="59"/>
      <c r="B47" s="71" t="s">
        <v>46</v>
      </c>
      <c r="C47" s="72"/>
      <c r="D47" s="76"/>
      <c r="E47" s="74"/>
      <c r="F47" s="74"/>
      <c r="G47" s="74"/>
      <c r="H47" s="74"/>
      <c r="I47" s="74"/>
      <c r="J47" s="74"/>
      <c r="K47" s="74"/>
      <c r="L47" s="74"/>
      <c r="M47" s="139"/>
      <c r="N47" s="139"/>
      <c r="O47" s="139"/>
      <c r="P47" s="139"/>
    </row>
    <row r="48" spans="1:16" s="65" customFormat="1" ht="18" x14ac:dyDescent="0.25">
      <c r="A48" s="59"/>
      <c r="B48" s="80" t="s">
        <v>33</v>
      </c>
      <c r="C48" s="33" t="s">
        <v>58</v>
      </c>
      <c r="D48" s="21">
        <f>ROUND(VLOOKUP($B48,'[2]NUOS (t)'!$B$10:$O$66,4,FALSE)/365,4)</f>
        <v>15.230499999999999</v>
      </c>
      <c r="E48" s="21">
        <f>ROUND(VLOOKUP($B48,'[2]NUOS (t)'!$B$10:$O$66,6,FALSE),4)</f>
        <v>3.9291</v>
      </c>
      <c r="F48" s="21">
        <f>ROUND(VLOOKUP($B48,'[2]NUOS (t)'!$B$10:$O$66,7,FALSE),4)</f>
        <v>3.4216000000000002</v>
      </c>
      <c r="G48" s="21">
        <f>ROUND(VLOOKUP($B48,'[2]NUOS (t)'!$B$10:$O$66,8,FALSE),4)</f>
        <v>2.3142</v>
      </c>
      <c r="H48" s="21"/>
      <c r="I48" s="21">
        <f>ROUND(VLOOKUP($B48,'[2]NUOS (t)'!$B$10:$O$66,10,FALSE),4)</f>
        <v>10.9626</v>
      </c>
      <c r="J48" s="21">
        <f>ROUND(VLOOKUP($B48,'[2]NUOS (t)'!$B$10:$O$66,11,FALSE),4)</f>
        <v>9.9184999999999999</v>
      </c>
      <c r="K48" s="21">
        <f>ROUND(VLOOKUP($B48,'[2]NUOS (t)'!$B$10:$O$66,12,FALSE),4)</f>
        <v>2.5350000000000001</v>
      </c>
      <c r="L48" s="21"/>
      <c r="M48" s="128"/>
      <c r="N48" s="128"/>
      <c r="O48" s="128"/>
      <c r="P48" s="128"/>
    </row>
    <row r="49" spans="1:19" s="65" customFormat="1" ht="18" x14ac:dyDescent="0.25">
      <c r="A49" s="59"/>
      <c r="B49" s="80" t="s">
        <v>35</v>
      </c>
      <c r="C49" s="33" t="s">
        <v>59</v>
      </c>
      <c r="D49" s="21">
        <f>ROUND(VLOOKUP($B49,'[2]NUOS (t)'!$B$10:$O$66,4,FALSE)/365,4)</f>
        <v>18.017299999999999</v>
      </c>
      <c r="E49" s="21">
        <f>ROUND(VLOOKUP($B49,'[2]NUOS (t)'!$B$10:$O$66,6,FALSE),4)</f>
        <v>3.2294999999999998</v>
      </c>
      <c r="F49" s="21">
        <f>ROUND(VLOOKUP($B49,'[2]NUOS (t)'!$B$10:$O$66,7,FALSE),4)</f>
        <v>2.8696999999999999</v>
      </c>
      <c r="G49" s="21">
        <f>ROUND(VLOOKUP($B49,'[2]NUOS (t)'!$B$10:$O$66,8,FALSE),4)</f>
        <v>2.3449</v>
      </c>
      <c r="H49" s="21"/>
      <c r="I49" s="21">
        <f>ROUND(VLOOKUP($B49,'[2]NUOS (t)'!$B$10:$O$66,10,FALSE),4)</f>
        <v>9.3238000000000003</v>
      </c>
      <c r="J49" s="21">
        <f>ROUND(VLOOKUP($B49,'[2]NUOS (t)'!$B$10:$O$66,11,FALSE),4)</f>
        <v>8.4358000000000004</v>
      </c>
      <c r="K49" s="21">
        <f>ROUND(VLOOKUP($B49,'[2]NUOS (t)'!$B$10:$O$66,12,FALSE),4)</f>
        <v>2.5243000000000002</v>
      </c>
      <c r="L49" s="21"/>
      <c r="M49" s="128"/>
      <c r="N49" s="128"/>
      <c r="O49" s="128"/>
      <c r="P49" s="128"/>
    </row>
    <row r="50" spans="1:19" s="65" customFormat="1" ht="31.5" customHeight="1" x14ac:dyDescent="0.25">
      <c r="A50" s="59"/>
      <c r="B50" s="80" t="s">
        <v>170</v>
      </c>
      <c r="C50" s="33" t="s">
        <v>200</v>
      </c>
      <c r="D50" s="21">
        <f>ROUND(VLOOKUP($B50,'[2]NUOS (t)'!$B$10:$O$66,4,FALSE)/365,4)</f>
        <v>6.6699000000000002</v>
      </c>
      <c r="E50" s="21">
        <f>ROUND(VLOOKUP($B50,'[2]NUOS (t)'!$B$10:$O$66,6,FALSE),4)</f>
        <v>15.349500000000001</v>
      </c>
      <c r="F50" s="21">
        <f>ROUND(VLOOKUP($B50,'[2]NUOS (t)'!$B$10:$O$66,7,FALSE),4)</f>
        <v>12.765499999999999</v>
      </c>
      <c r="G50" s="21">
        <f>ROUND(VLOOKUP($B50,'[2]NUOS (t)'!$B$10:$O$66,8,FALSE),4)</f>
        <v>6.6204000000000001</v>
      </c>
      <c r="H50" s="21">
        <f>ROUND(VLOOKUP($B50,'[2]NUOS (t)'!$B$10:$O$66,9,FALSE),4)</f>
        <v>0</v>
      </c>
      <c r="I50" s="21"/>
      <c r="J50" s="21"/>
      <c r="K50" s="21"/>
      <c r="L50" s="21">
        <f>ROUND(VLOOKUP($B50,'[2]NUOS (t)'!$B$10:$O$66,13,FALSE),4)</f>
        <v>0</v>
      </c>
      <c r="M50" s="128" t="s">
        <v>201</v>
      </c>
      <c r="N50" s="128"/>
      <c r="O50" s="128"/>
      <c r="P50" s="128"/>
    </row>
    <row r="51" spans="1:19" ht="74.25" customHeight="1" x14ac:dyDescent="0.2">
      <c r="B51" s="81" t="s">
        <v>105</v>
      </c>
      <c r="C51" s="33" t="s">
        <v>48</v>
      </c>
      <c r="D51" s="21">
        <f>ROUND(VLOOKUP("BLND1CO",'[2]NUOS (t)'!$B$10:$O$66,4,FALSE)/365,4)</f>
        <v>19.6374</v>
      </c>
      <c r="E51" s="21">
        <f>ROUND(VLOOKUP("BLND1CO",'[2]NUOS (t)'!$B$10:$O$66,6,FALSE),4)</f>
        <v>6.0507999999999997</v>
      </c>
      <c r="F51" s="21">
        <f>ROUND(VLOOKUP("BLND1CO",'[2]NUOS (t)'!$B$10:$O$66,7,FALSE),4)</f>
        <v>5.1966999999999999</v>
      </c>
      <c r="G51" s="21">
        <f>ROUND(VLOOKUP("BLND1CO",'[2]NUOS (t)'!$B$10:$O$66,8,FALSE),4)</f>
        <v>2.8380000000000001</v>
      </c>
      <c r="H51" s="21">
        <f>ROUND(VLOOKUP("BLND1CO",'[2]NUOS (t)'!$B$10:$O$66,9,FALSE),4)</f>
        <v>16.299099999999999</v>
      </c>
      <c r="I51" s="21"/>
      <c r="J51" s="21"/>
      <c r="K51" s="21"/>
      <c r="L51" s="21"/>
      <c r="M51" s="128" t="s">
        <v>90</v>
      </c>
      <c r="N51" s="128"/>
      <c r="O51" s="128"/>
      <c r="P51" s="128"/>
    </row>
    <row r="52" spans="1:19" ht="30.75" customHeight="1" x14ac:dyDescent="0.2">
      <c r="B52" s="80" t="s">
        <v>20</v>
      </c>
      <c r="C52" s="33" t="s">
        <v>55</v>
      </c>
      <c r="D52" s="21">
        <f>ROUND(VLOOKUP($B52,'[2]NUOS (t)'!$B$10:$O$66,4,FALSE)/365,4)</f>
        <v>15.230499999999999</v>
      </c>
      <c r="E52" s="21">
        <f>ROUND(VLOOKUP($B52,'[2]NUOS (t)'!$B$10:$O$66,6,FALSE),4)</f>
        <v>12.485799999999999</v>
      </c>
      <c r="F52" s="21">
        <f>ROUND(VLOOKUP($B52,'[2]NUOS (t)'!$B$10:$O$66,7,FALSE),4)</f>
        <v>10.575200000000001</v>
      </c>
      <c r="G52" s="21">
        <f>ROUND(VLOOKUP($B52,'[2]NUOS (t)'!$B$10:$O$66,8,FALSE),4)</f>
        <v>4.4036</v>
      </c>
      <c r="H52" s="21">
        <f>ROUND(VLOOKUP($B52,'[2]NUOS (t)'!$B$10:$O$66,9,FALSE),4)</f>
        <v>10.825699999999999</v>
      </c>
      <c r="I52" s="21"/>
      <c r="J52" s="21"/>
      <c r="K52" s="21"/>
      <c r="L52" s="21">
        <f>ROUND(VLOOKUP($B52,'[2]NUOS (t)'!$B$10:$O$66,13,FALSE),4)</f>
        <v>3.9356</v>
      </c>
      <c r="M52" s="128" t="s">
        <v>91</v>
      </c>
      <c r="N52" s="128"/>
      <c r="O52" s="128"/>
      <c r="P52" s="128"/>
    </row>
    <row r="53" spans="1:19" ht="31.5" customHeight="1" x14ac:dyDescent="0.2">
      <c r="B53" s="80" t="s">
        <v>21</v>
      </c>
      <c r="C53" s="33" t="s">
        <v>54</v>
      </c>
      <c r="D53" s="21">
        <f>ROUND(VLOOKUP($B53,'[2]NUOS (t)'!$B$10:$O$66,4,FALSE)/365,4)</f>
        <v>4.0979000000000001</v>
      </c>
      <c r="E53" s="21">
        <f>ROUND(VLOOKUP($B53,'[2]NUOS (t)'!$B$10:$O$66,6,FALSE),4)</f>
        <v>14.0655</v>
      </c>
      <c r="F53" s="21">
        <f>ROUND(VLOOKUP($B53,'[2]NUOS (t)'!$B$10:$O$66,7,FALSE),4)</f>
        <v>11.894500000000001</v>
      </c>
      <c r="G53" s="21">
        <f>ROUND(VLOOKUP($B53,'[2]NUOS (t)'!$B$10:$O$66,8,FALSE),4)</f>
        <v>5.7816000000000001</v>
      </c>
      <c r="H53" s="21">
        <f>ROUND(VLOOKUP($B53,'[2]NUOS (t)'!$B$10:$O$66,9,FALSE),4)</f>
        <v>10.617900000000001</v>
      </c>
      <c r="I53" s="21"/>
      <c r="J53" s="21"/>
      <c r="K53" s="21"/>
      <c r="L53" s="21">
        <f>ROUND(VLOOKUP($B53,'[2]NUOS (t)'!$B$10:$O$66,13,FALSE),4)</f>
        <v>3.9405999999999999</v>
      </c>
      <c r="M53" s="128" t="s">
        <v>91</v>
      </c>
      <c r="N53" s="128"/>
      <c r="O53" s="128"/>
      <c r="P53" s="128"/>
    </row>
    <row r="54" spans="1:19" ht="60" customHeight="1" x14ac:dyDescent="0.2">
      <c r="B54" s="80" t="s">
        <v>22</v>
      </c>
      <c r="C54" s="33" t="s">
        <v>56</v>
      </c>
      <c r="D54" s="21">
        <f>ROUND(VLOOKUP($B54,'[2]NUOS (t)'!$B$10:$O$66,4,FALSE)/365,4)</f>
        <v>25.1982</v>
      </c>
      <c r="E54" s="21">
        <f>ROUND(VLOOKUP($B54,'[2]NUOS (t)'!$B$10:$O$66,6,FALSE),4)</f>
        <v>6.5647000000000002</v>
      </c>
      <c r="F54" s="21">
        <f>ROUND(VLOOKUP($B54,'[2]NUOS (t)'!$B$10:$O$66,7,FALSE),4)</f>
        <v>6.3788999999999998</v>
      </c>
      <c r="G54" s="21">
        <f>ROUND(VLOOKUP($B54,'[2]NUOS (t)'!$B$10:$O$66,8,FALSE),4)</f>
        <v>2.9470999999999998</v>
      </c>
      <c r="H54" s="21">
        <f>ROUND(VLOOKUP($B54,'[2]NUOS (t)'!$B$10:$O$66,9,FALSE),4)</f>
        <v>11.8819</v>
      </c>
      <c r="I54" s="21"/>
      <c r="J54" s="21"/>
      <c r="K54" s="21"/>
      <c r="L54" s="21"/>
      <c r="M54" s="128" t="s">
        <v>92</v>
      </c>
      <c r="N54" s="128"/>
      <c r="O54" s="128"/>
      <c r="P54" s="128"/>
    </row>
    <row r="55" spans="1:19" ht="30.75" customHeight="1" x14ac:dyDescent="0.2">
      <c r="B55" s="81" t="s">
        <v>106</v>
      </c>
      <c r="C55" s="33" t="s">
        <v>57</v>
      </c>
      <c r="D55" s="21">
        <f>ROUND(VLOOKUP("BHND1SO",'[2]NUOS (t)'!$B$10:$O$66,4,FALSE)/365,4)</f>
        <v>18.782599999999999</v>
      </c>
      <c r="E55" s="21">
        <f>ROUND(VLOOKUP("BHND1SO",'[2]NUOS (t)'!$B$10:$O$66,6,FALSE),4)</f>
        <v>5.9665999999999997</v>
      </c>
      <c r="F55" s="21">
        <f>ROUND(VLOOKUP("BHND1SO",'[2]NUOS (t)'!$B$10:$O$66,7,FALSE),4)</f>
        <v>5.8268000000000004</v>
      </c>
      <c r="G55" s="21">
        <f>ROUND(VLOOKUP("BHND1SO",'[2]NUOS (t)'!$B$10:$O$66,8,FALSE),4)</f>
        <v>4.2319000000000004</v>
      </c>
      <c r="H55" s="21">
        <f>ROUND(VLOOKUP("BHND1SO",'[2]NUOS (t)'!$B$10:$O$66,9,FALSE),4)</f>
        <v>8.5807000000000002</v>
      </c>
      <c r="I55" s="21"/>
      <c r="J55" s="21"/>
      <c r="K55" s="21"/>
      <c r="L55" s="21">
        <f>ROUND(VLOOKUP("BHND1SO",'[2]NUOS (t)'!$B$10:$O$66,13,FALSE),4)</f>
        <v>3.1600999999999999</v>
      </c>
      <c r="M55" s="128" t="s">
        <v>93</v>
      </c>
      <c r="N55" s="128"/>
      <c r="O55" s="128"/>
      <c r="P55" s="128"/>
    </row>
    <row r="56" spans="1:19" ht="33" hidden="1" x14ac:dyDescent="0.45">
      <c r="A56" s="1"/>
      <c r="B56" s="2" t="s">
        <v>118</v>
      </c>
      <c r="C56" s="3"/>
      <c r="D56" s="3"/>
      <c r="E56" s="3"/>
      <c r="F56" s="3"/>
      <c r="G56" s="4"/>
      <c r="H56" s="4"/>
      <c r="I56" s="4"/>
      <c r="J56" s="4"/>
      <c r="K56" s="5"/>
      <c r="L56" s="5"/>
      <c r="M56" s="5"/>
      <c r="N56" s="6"/>
      <c r="O56" s="6"/>
      <c r="P56" s="7"/>
    </row>
    <row r="57" spans="1:19" ht="31.5" hidden="1" customHeight="1" x14ac:dyDescent="0.25">
      <c r="A57" s="1"/>
      <c r="B57" s="141" t="s">
        <v>115</v>
      </c>
      <c r="C57" s="142"/>
      <c r="D57" s="142"/>
      <c r="E57" s="142"/>
      <c r="F57" s="142"/>
      <c r="G57" s="9"/>
      <c r="H57" s="9"/>
      <c r="I57" s="9"/>
      <c r="J57" s="9"/>
      <c r="K57" s="9"/>
      <c r="L57" s="137"/>
      <c r="M57" s="137"/>
      <c r="N57" s="9"/>
      <c r="O57" s="9"/>
      <c r="P57" s="10"/>
    </row>
    <row r="58" spans="1:19" ht="14.25" hidden="1" customHeight="1" x14ac:dyDescent="0.25">
      <c r="A58" s="1"/>
      <c r="B58" s="77"/>
      <c r="C58" s="78"/>
      <c r="D58" s="78"/>
      <c r="E58" s="78"/>
      <c r="F58" s="78"/>
      <c r="G58" s="13"/>
      <c r="H58" s="13"/>
      <c r="I58" s="13"/>
      <c r="J58" s="13"/>
      <c r="K58" s="13"/>
      <c r="L58" s="79"/>
      <c r="M58" s="79"/>
      <c r="N58" s="13"/>
      <c r="O58" s="13"/>
      <c r="P58" s="14"/>
    </row>
    <row r="59" spans="1:19" ht="18" customHeight="1" x14ac:dyDescent="0.25">
      <c r="B59" s="131" t="s">
        <v>108</v>
      </c>
      <c r="C59" s="131" t="s">
        <v>9</v>
      </c>
      <c r="D59" s="37" t="s">
        <v>1</v>
      </c>
      <c r="E59" s="37" t="s">
        <v>2</v>
      </c>
      <c r="F59" s="138" t="s">
        <v>49</v>
      </c>
      <c r="G59" s="138"/>
      <c r="H59" s="138"/>
      <c r="I59" s="138"/>
      <c r="J59" s="138"/>
      <c r="K59" s="138"/>
      <c r="L59" s="138"/>
      <c r="M59" s="138"/>
      <c r="N59" s="138"/>
      <c r="O59" s="138"/>
      <c r="P59" s="138"/>
    </row>
    <row r="60" spans="1:19" ht="15" x14ac:dyDescent="0.25">
      <c r="B60" s="132"/>
      <c r="C60" s="132"/>
      <c r="D60" s="40" t="s">
        <v>10</v>
      </c>
      <c r="E60" s="40" t="s">
        <v>11</v>
      </c>
      <c r="F60" s="138"/>
      <c r="G60" s="138"/>
      <c r="H60" s="138"/>
      <c r="I60" s="138"/>
      <c r="J60" s="138"/>
      <c r="K60" s="138"/>
      <c r="L60" s="138"/>
      <c r="M60" s="138"/>
      <c r="N60" s="138"/>
      <c r="O60" s="138"/>
      <c r="P60" s="138"/>
    </row>
    <row r="61" spans="1:19" ht="12" customHeight="1" x14ac:dyDescent="0.25">
      <c r="B61" s="132"/>
      <c r="C61" s="132"/>
      <c r="D61" s="40" t="s">
        <v>13</v>
      </c>
      <c r="E61" s="40" t="s">
        <v>14</v>
      </c>
      <c r="F61" s="138"/>
      <c r="G61" s="138"/>
      <c r="H61" s="138"/>
      <c r="I61" s="138"/>
      <c r="J61" s="138"/>
      <c r="K61" s="138"/>
      <c r="L61" s="138"/>
      <c r="M61" s="138"/>
      <c r="N61" s="138"/>
      <c r="O61" s="138"/>
      <c r="P61" s="138"/>
    </row>
    <row r="62" spans="1:19" s="43" customFormat="1" ht="7.5" customHeight="1" x14ac:dyDescent="0.25">
      <c r="A62" s="42"/>
      <c r="B62" s="133"/>
      <c r="C62" s="133"/>
      <c r="D62" s="58"/>
      <c r="E62" s="58"/>
      <c r="F62" s="138"/>
      <c r="G62" s="138"/>
      <c r="H62" s="138"/>
      <c r="I62" s="138"/>
      <c r="J62" s="138"/>
      <c r="K62" s="138"/>
      <c r="L62" s="138"/>
      <c r="M62" s="138"/>
      <c r="N62" s="138"/>
      <c r="O62" s="138"/>
      <c r="P62" s="138"/>
    </row>
    <row r="63" spans="1:19" s="65" customFormat="1" ht="18" x14ac:dyDescent="0.25">
      <c r="A63" s="59"/>
      <c r="B63" s="71" t="s">
        <v>46</v>
      </c>
      <c r="C63" s="72"/>
      <c r="D63" s="76"/>
      <c r="E63" s="74"/>
      <c r="F63" s="139"/>
      <c r="G63" s="139"/>
      <c r="H63" s="139"/>
      <c r="I63" s="139"/>
      <c r="J63" s="139"/>
      <c r="K63" s="139"/>
      <c r="L63" s="139"/>
      <c r="M63" s="139"/>
      <c r="N63" s="139"/>
      <c r="O63" s="139"/>
      <c r="P63" s="139"/>
    </row>
    <row r="64" spans="1:19" ht="30.75" customHeight="1" x14ac:dyDescent="0.2">
      <c r="B64" s="80" t="s">
        <v>17</v>
      </c>
      <c r="C64" s="33" t="s">
        <v>67</v>
      </c>
      <c r="D64" s="27"/>
      <c r="E64" s="94">
        <v>0</v>
      </c>
      <c r="F64" s="128" t="s">
        <v>70</v>
      </c>
      <c r="G64" s="128"/>
      <c r="H64" s="128"/>
      <c r="I64" s="128"/>
      <c r="J64" s="128"/>
      <c r="K64" s="128"/>
      <c r="L64" s="128"/>
      <c r="M64" s="128"/>
      <c r="N64" s="128"/>
      <c r="O64" s="128"/>
      <c r="P64" s="128"/>
      <c r="Q64" s="22"/>
      <c r="R64" s="22"/>
      <c r="S64" s="22"/>
    </row>
    <row r="65" spans="2:19" ht="30.75" customHeight="1" x14ac:dyDescent="0.2">
      <c r="B65" s="80" t="s">
        <v>63</v>
      </c>
      <c r="C65" s="33" t="s">
        <v>68</v>
      </c>
      <c r="D65" s="27"/>
      <c r="E65" s="94">
        <v>0</v>
      </c>
      <c r="F65" s="128" t="s">
        <v>71</v>
      </c>
      <c r="G65" s="128"/>
      <c r="H65" s="128"/>
      <c r="I65" s="128"/>
      <c r="J65" s="128"/>
      <c r="K65" s="128"/>
      <c r="L65" s="128"/>
      <c r="M65" s="128"/>
      <c r="N65" s="128"/>
      <c r="O65" s="128"/>
      <c r="P65" s="128"/>
      <c r="Q65" s="22"/>
      <c r="R65" s="22"/>
      <c r="S65" s="22"/>
    </row>
    <row r="66" spans="2:19" ht="30.75" customHeight="1" x14ac:dyDescent="0.2">
      <c r="B66" s="80" t="s">
        <v>60</v>
      </c>
      <c r="C66" s="33" t="s">
        <v>67</v>
      </c>
      <c r="D66" s="27"/>
      <c r="E66" s="94">
        <v>0</v>
      </c>
      <c r="F66" s="128" t="s">
        <v>72</v>
      </c>
      <c r="G66" s="128"/>
      <c r="H66" s="128"/>
      <c r="I66" s="128"/>
      <c r="J66" s="128"/>
      <c r="K66" s="128"/>
      <c r="L66" s="128"/>
      <c r="M66" s="128"/>
      <c r="N66" s="128"/>
      <c r="O66" s="128"/>
      <c r="P66" s="128"/>
      <c r="Q66" s="22"/>
      <c r="R66" s="22"/>
      <c r="S66" s="22"/>
    </row>
    <row r="67" spans="2:19" ht="30.75" customHeight="1" x14ac:dyDescent="0.2">
      <c r="B67" s="80" t="s">
        <v>62</v>
      </c>
      <c r="C67" s="33" t="s">
        <v>68</v>
      </c>
      <c r="D67" s="27"/>
      <c r="E67" s="94">
        <v>0</v>
      </c>
      <c r="F67" s="128" t="s">
        <v>73</v>
      </c>
      <c r="G67" s="128"/>
      <c r="H67" s="128"/>
      <c r="I67" s="128"/>
      <c r="J67" s="128"/>
      <c r="K67" s="128"/>
      <c r="L67" s="128"/>
      <c r="M67" s="128"/>
      <c r="N67" s="128"/>
      <c r="O67" s="128"/>
      <c r="P67" s="128"/>
      <c r="Q67" s="22"/>
      <c r="R67" s="22"/>
      <c r="S67" s="22"/>
    </row>
    <row r="68" spans="2:19" ht="30.75" customHeight="1" x14ac:dyDescent="0.2">
      <c r="B68" s="82" t="s">
        <v>66</v>
      </c>
      <c r="C68" s="33" t="s">
        <v>67</v>
      </c>
      <c r="D68" s="20"/>
      <c r="E68" s="94">
        <v>0</v>
      </c>
      <c r="F68" s="128" t="s">
        <v>78</v>
      </c>
      <c r="G68" s="128"/>
      <c r="H68" s="128"/>
      <c r="I68" s="128"/>
      <c r="J68" s="128"/>
      <c r="K68" s="128"/>
      <c r="L68" s="128"/>
      <c r="M68" s="128"/>
      <c r="N68" s="128"/>
      <c r="O68" s="128"/>
      <c r="P68" s="128"/>
      <c r="Q68" s="22"/>
      <c r="R68" s="22"/>
      <c r="S68" s="22"/>
    </row>
    <row r="69" spans="2:19" ht="30.75" customHeight="1" x14ac:dyDescent="0.2">
      <c r="B69" s="81" t="s">
        <v>75</v>
      </c>
      <c r="C69" s="33" t="s">
        <v>68</v>
      </c>
      <c r="D69" s="20"/>
      <c r="E69" s="94">
        <v>0</v>
      </c>
      <c r="F69" s="128" t="s">
        <v>79</v>
      </c>
      <c r="G69" s="128"/>
      <c r="H69" s="128"/>
      <c r="I69" s="128"/>
      <c r="J69" s="128"/>
      <c r="K69" s="128"/>
      <c r="L69" s="128"/>
      <c r="M69" s="128"/>
      <c r="N69" s="128"/>
      <c r="O69" s="128"/>
      <c r="P69" s="128"/>
      <c r="Q69" s="22"/>
      <c r="R69" s="22"/>
      <c r="S69" s="22"/>
    </row>
    <row r="70" spans="2:19" ht="30.75" customHeight="1" x14ac:dyDescent="0.2">
      <c r="B70" s="80" t="s">
        <v>64</v>
      </c>
      <c r="C70" s="33" t="s">
        <v>67</v>
      </c>
      <c r="D70" s="20"/>
      <c r="E70" s="94">
        <v>0</v>
      </c>
      <c r="F70" s="128" t="s">
        <v>76</v>
      </c>
      <c r="G70" s="128"/>
      <c r="H70" s="128"/>
      <c r="I70" s="128"/>
      <c r="J70" s="128"/>
      <c r="K70" s="128"/>
      <c r="L70" s="128"/>
      <c r="M70" s="128"/>
      <c r="N70" s="128"/>
      <c r="O70" s="128"/>
      <c r="P70" s="128"/>
      <c r="Q70" s="22"/>
      <c r="R70" s="22"/>
      <c r="S70" s="22"/>
    </row>
    <row r="71" spans="2:19" ht="30.75" customHeight="1" x14ac:dyDescent="0.2">
      <c r="B71" s="80" t="s">
        <v>65</v>
      </c>
      <c r="C71" s="33" t="s">
        <v>68</v>
      </c>
      <c r="D71" s="20"/>
      <c r="E71" s="94">
        <v>0</v>
      </c>
      <c r="F71" s="128" t="s">
        <v>77</v>
      </c>
      <c r="G71" s="128"/>
      <c r="H71" s="128"/>
      <c r="I71" s="128"/>
      <c r="J71" s="128"/>
      <c r="K71" s="128"/>
      <c r="L71" s="128"/>
      <c r="M71" s="128"/>
      <c r="N71" s="128"/>
      <c r="O71" s="128"/>
      <c r="P71" s="128"/>
      <c r="Q71" s="22"/>
      <c r="R71" s="22"/>
      <c r="S71" s="22"/>
    </row>
    <row r="72" spans="2:19" ht="28.5" customHeight="1" x14ac:dyDescent="0.2">
      <c r="B72" s="80" t="s">
        <v>94</v>
      </c>
      <c r="C72" s="33" t="s">
        <v>104</v>
      </c>
      <c r="D72" s="20"/>
      <c r="E72" s="94">
        <v>0</v>
      </c>
      <c r="F72" s="128" t="s">
        <v>117</v>
      </c>
      <c r="G72" s="128"/>
      <c r="H72" s="128"/>
      <c r="I72" s="128"/>
      <c r="J72" s="128"/>
      <c r="K72" s="128"/>
      <c r="L72" s="128"/>
      <c r="M72" s="128"/>
      <c r="N72" s="128"/>
      <c r="O72" s="128"/>
      <c r="P72" s="128"/>
      <c r="Q72" s="22"/>
      <c r="R72" s="22"/>
      <c r="S72" s="22"/>
    </row>
    <row r="73" spans="2:19" s="32" customFormat="1" ht="28.5" customHeight="1" x14ac:dyDescent="0.2">
      <c r="B73" s="80" t="s">
        <v>95</v>
      </c>
      <c r="C73" s="33" t="s">
        <v>97</v>
      </c>
      <c r="D73" s="20"/>
      <c r="E73" s="93">
        <v>-44</v>
      </c>
      <c r="F73" s="128" t="s">
        <v>101</v>
      </c>
      <c r="G73" s="128"/>
      <c r="H73" s="128"/>
      <c r="I73" s="128"/>
      <c r="J73" s="128"/>
      <c r="K73" s="128"/>
      <c r="L73" s="128"/>
      <c r="M73" s="128"/>
      <c r="N73" s="128"/>
      <c r="O73" s="128"/>
      <c r="P73" s="128"/>
      <c r="Q73" s="22"/>
      <c r="R73" s="22"/>
      <c r="S73" s="22"/>
    </row>
    <row r="74" spans="2:19" s="32" customFormat="1" ht="28.5" customHeight="1" x14ac:dyDescent="0.2">
      <c r="B74" s="80" t="s">
        <v>96</v>
      </c>
      <c r="C74" s="33" t="s">
        <v>97</v>
      </c>
      <c r="D74" s="20"/>
      <c r="E74" s="93">
        <v>-40</v>
      </c>
      <c r="F74" s="128" t="s">
        <v>102</v>
      </c>
      <c r="G74" s="128"/>
      <c r="H74" s="128"/>
      <c r="I74" s="128"/>
      <c r="J74" s="128"/>
      <c r="K74" s="128"/>
      <c r="L74" s="128"/>
      <c r="M74" s="128"/>
      <c r="N74" s="128"/>
      <c r="O74" s="128"/>
      <c r="P74" s="128"/>
      <c r="Q74" s="22"/>
      <c r="R74" s="22"/>
      <c r="S74" s="22"/>
    </row>
    <row r="78" spans="2:19" x14ac:dyDescent="0.2">
      <c r="B78" s="136"/>
      <c r="C78" s="136"/>
      <c r="D78" s="136"/>
      <c r="E78" s="136"/>
      <c r="F78" s="136"/>
      <c r="G78" s="136"/>
      <c r="H78" s="136"/>
      <c r="I78" s="136"/>
      <c r="J78" s="136"/>
      <c r="K78" s="136"/>
      <c r="L78" s="136"/>
      <c r="M78" s="136"/>
      <c r="N78" s="136"/>
      <c r="O78" s="136"/>
      <c r="P78" s="136"/>
    </row>
    <row r="83" spans="1:1" s="46" customFormat="1" x14ac:dyDescent="0.2">
      <c r="A83" s="45"/>
    </row>
  </sheetData>
  <mergeCells count="65">
    <mergeCell ref="F72:P72"/>
    <mergeCell ref="F73:P73"/>
    <mergeCell ref="F74:P74"/>
    <mergeCell ref="F63:P63"/>
    <mergeCell ref="F64:P64"/>
    <mergeCell ref="F65:P65"/>
    <mergeCell ref="F66:P66"/>
    <mergeCell ref="F67:P67"/>
    <mergeCell ref="F68:P68"/>
    <mergeCell ref="F69:P69"/>
    <mergeCell ref="F70:P70"/>
    <mergeCell ref="F71:P71"/>
    <mergeCell ref="B3:F3"/>
    <mergeCell ref="H3:I3"/>
    <mergeCell ref="D9:E9"/>
    <mergeCell ref="D10:E10"/>
    <mergeCell ref="D22:E22"/>
    <mergeCell ref="B5:B7"/>
    <mergeCell ref="C5:C7"/>
    <mergeCell ref="D5:E7"/>
    <mergeCell ref="D14:E14"/>
    <mergeCell ref="D15:E15"/>
    <mergeCell ref="D17:E17"/>
    <mergeCell ref="D18:E18"/>
    <mergeCell ref="D20:E20"/>
    <mergeCell ref="D11:E11"/>
    <mergeCell ref="D12:E12"/>
    <mergeCell ref="A17:A18"/>
    <mergeCell ref="D21:E21"/>
    <mergeCell ref="D37:E37"/>
    <mergeCell ref="D39:E39"/>
    <mergeCell ref="B57:F57"/>
    <mergeCell ref="D34:E34"/>
    <mergeCell ref="D36:E36"/>
    <mergeCell ref="D19:E19"/>
    <mergeCell ref="B42:F42"/>
    <mergeCell ref="B44:B46"/>
    <mergeCell ref="D23:E23"/>
    <mergeCell ref="D33:E33"/>
    <mergeCell ref="D26:E26"/>
    <mergeCell ref="D29:E29"/>
    <mergeCell ref="C44:C46"/>
    <mergeCell ref="D28:E28"/>
    <mergeCell ref="D25:E25"/>
    <mergeCell ref="B78:P78"/>
    <mergeCell ref="L57:M57"/>
    <mergeCell ref="L42:M42"/>
    <mergeCell ref="M44:P46"/>
    <mergeCell ref="M47:P47"/>
    <mergeCell ref="M51:P51"/>
    <mergeCell ref="M52:P52"/>
    <mergeCell ref="D31:E31"/>
    <mergeCell ref="D32:E32"/>
    <mergeCell ref="M53:P53"/>
    <mergeCell ref="M54:P54"/>
    <mergeCell ref="D30:E30"/>
    <mergeCell ref="D27:E27"/>
    <mergeCell ref="M55:P55"/>
    <mergeCell ref="F59:P62"/>
    <mergeCell ref="M50:P50"/>
    <mergeCell ref="K32:L32"/>
    <mergeCell ref="M49:P49"/>
    <mergeCell ref="M48:P48"/>
    <mergeCell ref="B59:B62"/>
    <mergeCell ref="C59:C62"/>
  </mergeCells>
  <pageMargins left="0.39370078740157483" right="0.39370078740157483" top="0.39370078740157483" bottom="0.39370078740157483" header="0.51181102362204722" footer="0.51181102362204722"/>
  <pageSetup paperSize="9" scale="59" fitToHeight="0" orientation="landscape" r:id="rId1"/>
  <headerFooter alignWithMargins="0"/>
  <rowBreaks count="1" manualBreakCount="1">
    <brk id="40" min="1" max="15" man="1"/>
  </rowBreaks>
  <ignoredErrors>
    <ignoredError sqref="I55:K55 I51:L51 I52:K52 I54:L54 H23:M23 H22:M22 H24:M24 H13:M13 H16:M16 H14:M14 H15:M15 H35:M35 H36:M36 H17:M21 H38:M38 F17:F21 F35 F16 F13 F24 F22 F23 G17:G21 G24 G13 H9:M9 G10 K10:M10 G16 G35 H25:M25 G26 K26:M26 G29 K29:M29 G31 G32 M32 G33 G34 G37 K37:M37 G23 G22 F38:G38 G30 G28 G11 K11:M11 M12 G27 K27:M27 M28"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2:S65"/>
  <sheetViews>
    <sheetView showGridLines="0" zoomScale="70" zoomScaleNormal="70" workbookViewId="0">
      <pane xSplit="2" ySplit="4" topLeftCell="C5" activePane="bottomRight" state="frozen"/>
      <selection activeCell="S53" sqref="S53"/>
      <selection pane="topRight" activeCell="S53" sqref="S53"/>
      <selection pane="bottomLeft" activeCell="S53" sqref="S53"/>
      <selection pane="bottomRight" activeCell="F11" sqref="F11"/>
    </sheetView>
  </sheetViews>
  <sheetFormatPr defaultColWidth="8.88671875" defaultRowHeight="14.25" x14ac:dyDescent="0.2"/>
  <cols>
    <col min="1" max="1" width="1.88671875" style="15" customWidth="1"/>
    <col min="2" max="2" width="12.21875" style="8" customWidth="1"/>
    <col min="3" max="3" width="25.33203125" style="8" customWidth="1"/>
    <col min="4" max="4" width="15.33203125" style="8" customWidth="1"/>
    <col min="5" max="5" width="18.77734375" style="8" customWidth="1"/>
    <col min="6" max="13" width="10.5546875" style="8" customWidth="1"/>
    <col min="14" max="16" width="12.5546875" style="8" customWidth="1"/>
    <col min="17" max="17" width="8.77734375" style="8" customWidth="1"/>
    <col min="18" max="16384" width="8.88671875" style="8"/>
  </cols>
  <sheetData>
    <row r="2" spans="1:16" ht="33" x14ac:dyDescent="0.45">
      <c r="A2" s="1"/>
      <c r="B2" s="2" t="s">
        <v>199</v>
      </c>
      <c r="C2" s="3"/>
      <c r="D2" s="3"/>
      <c r="E2" s="3"/>
      <c r="F2" s="3"/>
      <c r="G2" s="4"/>
      <c r="H2" s="5"/>
      <c r="I2" s="5"/>
      <c r="J2" s="5"/>
      <c r="K2" s="4"/>
      <c r="L2" s="6"/>
      <c r="M2" s="7"/>
    </row>
    <row r="3" spans="1:16" ht="15.75" x14ac:dyDescent="0.25">
      <c r="A3" s="1"/>
      <c r="B3" s="141" t="str">
        <f>'Price List_Excl GST'!$B$3:$F$3</f>
        <v>Effective 1 July 2020</v>
      </c>
      <c r="C3" s="142"/>
      <c r="D3" s="142"/>
      <c r="E3" s="142"/>
      <c r="F3" s="142"/>
      <c r="G3" s="9"/>
      <c r="H3" s="9"/>
      <c r="I3" s="137"/>
      <c r="J3" s="137"/>
      <c r="K3" s="9"/>
      <c r="L3" s="9"/>
      <c r="M3" s="10"/>
    </row>
    <row r="4" spans="1:16" ht="15" x14ac:dyDescent="0.25">
      <c r="A4" s="1"/>
      <c r="B4" s="11"/>
      <c r="C4" s="12"/>
      <c r="D4" s="13"/>
      <c r="E4" s="13"/>
      <c r="F4" s="13"/>
      <c r="G4" s="13"/>
      <c r="H4" s="13"/>
      <c r="I4" s="13"/>
      <c r="J4" s="13"/>
      <c r="K4" s="13"/>
      <c r="L4" s="13"/>
      <c r="M4" s="14"/>
    </row>
    <row r="5" spans="1:16" ht="24" customHeight="1" x14ac:dyDescent="0.25">
      <c r="B5" s="132" t="s">
        <v>107</v>
      </c>
      <c r="C5" s="131" t="s">
        <v>24</v>
      </c>
      <c r="D5" s="146" t="s">
        <v>9</v>
      </c>
      <c r="E5" s="147"/>
      <c r="F5" s="57" t="s">
        <v>1</v>
      </c>
      <c r="G5" s="57" t="s">
        <v>2</v>
      </c>
      <c r="H5" s="40" t="s">
        <v>2</v>
      </c>
      <c r="I5" s="40" t="s">
        <v>2</v>
      </c>
      <c r="J5" s="40" t="s">
        <v>2</v>
      </c>
      <c r="K5" s="40" t="s">
        <v>4</v>
      </c>
      <c r="L5" s="40" t="s">
        <v>5</v>
      </c>
      <c r="M5" s="40" t="s">
        <v>6</v>
      </c>
    </row>
    <row r="6" spans="1:16" ht="15" x14ac:dyDescent="0.2">
      <c r="B6" s="132"/>
      <c r="C6" s="132"/>
      <c r="D6" s="146"/>
      <c r="E6" s="147"/>
      <c r="F6" s="83" t="s">
        <v>10</v>
      </c>
      <c r="G6" s="83" t="s">
        <v>174</v>
      </c>
      <c r="H6" s="83" t="s">
        <v>4</v>
      </c>
      <c r="I6" s="83" t="s">
        <v>5</v>
      </c>
      <c r="J6" s="83" t="s">
        <v>6</v>
      </c>
      <c r="K6" s="83" t="s">
        <v>3</v>
      </c>
      <c r="L6" s="83" t="s">
        <v>3</v>
      </c>
      <c r="M6" s="83" t="s">
        <v>3</v>
      </c>
    </row>
    <row r="7" spans="1:16" ht="15" x14ac:dyDescent="0.2">
      <c r="B7" s="132"/>
      <c r="C7" s="133"/>
      <c r="D7" s="146"/>
      <c r="E7" s="147"/>
      <c r="F7" s="83" t="s">
        <v>13</v>
      </c>
      <c r="G7" s="83" t="s">
        <v>14</v>
      </c>
      <c r="H7" s="83" t="s">
        <v>14</v>
      </c>
      <c r="I7" s="83" t="s">
        <v>14</v>
      </c>
      <c r="J7" s="83" t="s">
        <v>14</v>
      </c>
      <c r="K7" s="83" t="s">
        <v>15</v>
      </c>
      <c r="L7" s="83" t="s">
        <v>15</v>
      </c>
      <c r="M7" s="83" t="s">
        <v>15</v>
      </c>
    </row>
    <row r="8" spans="1:16" s="65" customFormat="1" ht="18" x14ac:dyDescent="0.25">
      <c r="A8" s="59"/>
      <c r="B8" s="60" t="s">
        <v>16</v>
      </c>
      <c r="C8" s="61"/>
      <c r="D8" s="62"/>
      <c r="E8" s="63"/>
      <c r="F8" s="64"/>
      <c r="G8" s="64"/>
      <c r="H8" s="64"/>
      <c r="I8" s="64"/>
      <c r="J8" s="64"/>
      <c r="K8" s="64"/>
      <c r="L8" s="64"/>
      <c r="M8" s="64"/>
    </row>
    <row r="9" spans="1:16" ht="18" customHeight="1" x14ac:dyDescent="0.2">
      <c r="B9" s="19" t="str">
        <f>'Price List_Excl GST'!B9</f>
        <v>BLNN2AU</v>
      </c>
      <c r="C9" s="20"/>
      <c r="D9" s="134" t="str">
        <f>'Price List_Excl GST'!D9</f>
        <v>LV Residential Anytime</v>
      </c>
      <c r="E9" s="135">
        <f>'Price List_Excl GST'!E9</f>
        <v>0</v>
      </c>
      <c r="F9" s="21">
        <f>ROUND(VLOOKUP($B9,'[2]NUOS (t)'!$B$10:$O$66,4,FALSE)/365,4)*1.1</f>
        <v>0.92004000000000008</v>
      </c>
      <c r="G9" s="21">
        <f>ROUND(VLOOKUP($B9,'[2]NUOS (t)'!$B$10:$O$66,5,FALSE),4)*1.1</f>
        <v>11.553080000000001</v>
      </c>
      <c r="H9" s="21"/>
      <c r="I9" s="21"/>
      <c r="J9" s="21"/>
      <c r="K9" s="21"/>
      <c r="L9" s="21"/>
      <c r="M9" s="21"/>
      <c r="N9" s="22"/>
      <c r="O9" s="22"/>
    </row>
    <row r="10" spans="1:16" ht="18" customHeight="1" x14ac:dyDescent="0.2">
      <c r="B10" s="19" t="str">
        <f>'Price List_Excl GST'!B10</f>
        <v>BLNT3AU</v>
      </c>
      <c r="C10" s="20"/>
      <c r="D10" s="134" t="str">
        <f>'Price List_Excl GST'!D10</f>
        <v>LV Residential TOU</v>
      </c>
      <c r="E10" s="135">
        <f>'Price List_Excl GST'!E10</f>
        <v>0</v>
      </c>
      <c r="F10" s="21">
        <f>ROUND(VLOOKUP($B10,'[2]NUOS (t)'!$B$10:$O$66,4,FALSE)/365,4)*1.1</f>
        <v>0.92004000000000008</v>
      </c>
      <c r="G10" s="21"/>
      <c r="H10" s="21">
        <f>ROUND(VLOOKUP($B10,'[2]NUOS (t)'!$B$10:$O$66,6,FALSE),4)*1.1</f>
        <v>15.186710000000001</v>
      </c>
      <c r="I10" s="21">
        <f>ROUND(VLOOKUP($B10,'[2]NUOS (t)'!$B$10:$O$66,7,FALSE),4)*1.1</f>
        <v>13.149510000000001</v>
      </c>
      <c r="J10" s="21">
        <f>ROUND(VLOOKUP($B10,'[2]NUOS (t)'!$B$10:$O$66,8,FALSE),4)*1.1</f>
        <v>4.9152400000000007</v>
      </c>
      <c r="K10" s="21"/>
      <c r="L10" s="21"/>
      <c r="M10" s="21"/>
      <c r="N10" s="22"/>
      <c r="O10" s="22"/>
      <c r="P10" s="22"/>
    </row>
    <row r="11" spans="1:16" ht="18" customHeight="1" x14ac:dyDescent="0.2">
      <c r="B11" s="19" t="str">
        <f>'Price List_Excl GST'!B11</f>
        <v>BLNT3AL</v>
      </c>
      <c r="C11" s="20"/>
      <c r="D11" s="134" t="str">
        <f>'Price List_Excl GST'!D11</f>
        <v>LV Residential TOU_Interval meter</v>
      </c>
      <c r="E11" s="135">
        <f>'Price List_Excl GST'!E11</f>
        <v>0</v>
      </c>
      <c r="F11" s="21">
        <f>ROUND(VLOOKUP($B11,'[2]NUOS (t)'!$B$10:$O$66,4,FALSE)/365,4)*1.1</f>
        <v>0.92004000000000008</v>
      </c>
      <c r="G11" s="21"/>
      <c r="H11" s="21">
        <f>ROUND(VLOOKUP($B11,'[2]NUOS (t)'!$B$10:$O$66,6,FALSE),4)*1.1</f>
        <v>15.758270000000001</v>
      </c>
      <c r="I11" s="21">
        <f>ROUND(VLOOKUP($B11,'[2]NUOS (t)'!$B$10:$O$66,7,FALSE),4)*1.1</f>
        <v>12.652750000000001</v>
      </c>
      <c r="J11" s="21">
        <f>ROUND(VLOOKUP($B11,'[2]NUOS (t)'!$B$10:$O$66,8,FALSE),4)*1.1</f>
        <v>4.9152400000000007</v>
      </c>
      <c r="K11" s="21"/>
      <c r="L11" s="21"/>
      <c r="M11" s="21"/>
      <c r="N11" s="22"/>
      <c r="O11" s="22"/>
      <c r="P11" s="22"/>
    </row>
    <row r="12" spans="1:16" ht="18" customHeight="1" x14ac:dyDescent="0.2">
      <c r="B12" s="19" t="str">
        <f>'Price List_Excl GST'!B12</f>
        <v>BLND1AR</v>
      </c>
      <c r="C12" s="20"/>
      <c r="D12" s="134" t="str">
        <f>'Price List_Excl GST'!D12</f>
        <v>Small Residential - Opt in Demand</v>
      </c>
      <c r="E12" s="135">
        <f>'Price List_Excl GST'!E12</f>
        <v>0</v>
      </c>
      <c r="F12" s="21">
        <f>ROUND(VLOOKUP($B12,'[2]NUOS (t)'!$B$10:$O$66,4,FALSE)/365,4)*1.1</f>
        <v>0.92004000000000008</v>
      </c>
      <c r="G12" s="21"/>
      <c r="H12" s="21">
        <f>ROUND(VLOOKUP($B12,'[2]NUOS (t)'!$B$10:$O$66,6,FALSE),4)*1.1</f>
        <v>4.6887500000000006</v>
      </c>
      <c r="I12" s="21">
        <f>ROUND(VLOOKUP($B12,'[2]NUOS (t)'!$B$10:$O$66,7,FALSE),4)*1.1</f>
        <v>3.7733300000000001</v>
      </c>
      <c r="J12" s="21">
        <f>ROUND(VLOOKUP($B12,'[2]NUOS (t)'!$B$10:$O$66,8,FALSE),4)*1.1</f>
        <v>2.3333200000000001</v>
      </c>
      <c r="K12" s="21">
        <f>ROUND(VLOOKUP($B12,'[2]NUOS (t)'!$B$10:$O$66,10,FALSE),4)*1.1</f>
        <v>4.3722800000000008</v>
      </c>
      <c r="L12" s="127"/>
      <c r="M12" s="21"/>
      <c r="N12" s="22"/>
      <c r="O12" s="22"/>
      <c r="P12" s="22"/>
    </row>
    <row r="13" spans="1:16" s="65" customFormat="1" ht="18" x14ac:dyDescent="0.25">
      <c r="A13" s="59"/>
      <c r="B13" s="61" t="s">
        <v>19</v>
      </c>
      <c r="C13" s="61"/>
      <c r="D13" s="66"/>
      <c r="E13" s="67"/>
      <c r="F13" s="68"/>
      <c r="G13" s="69"/>
      <c r="H13" s="69"/>
      <c r="I13" s="69"/>
      <c r="J13" s="69"/>
      <c r="K13" s="69"/>
      <c r="L13" s="69"/>
      <c r="M13" s="69"/>
      <c r="N13" s="70"/>
      <c r="O13" s="70"/>
      <c r="P13" s="70"/>
    </row>
    <row r="14" spans="1:16" ht="18" customHeight="1" x14ac:dyDescent="0.2">
      <c r="B14" s="19" t="str">
        <f>'Price List_Excl GST'!B14</f>
        <v>BLNC1AU</v>
      </c>
      <c r="C14" s="20"/>
      <c r="D14" s="134" t="str">
        <f>'Price List_Excl GST'!D14</f>
        <v>Controlled Load 1</v>
      </c>
      <c r="E14" s="135">
        <f>'Price List_Excl GST'!E14</f>
        <v>0</v>
      </c>
      <c r="F14" s="21">
        <f>ROUND(VLOOKUP($B14,'[2]NUOS (t)'!$B$10:$O$66,4,FALSE)/365,4)*1.1</f>
        <v>9.9440000000000001E-2</v>
      </c>
      <c r="G14" s="21">
        <f>ROUND(VLOOKUP($B14,'[2]NUOS (t)'!$B$10:$O$66,5,FALSE),4)*1.1</f>
        <v>2.4517899999999999</v>
      </c>
      <c r="H14" s="21"/>
      <c r="I14" s="21"/>
      <c r="J14" s="21"/>
      <c r="K14" s="21"/>
      <c r="L14" s="21"/>
      <c r="M14" s="21"/>
      <c r="N14" s="22"/>
      <c r="O14" s="22"/>
    </row>
    <row r="15" spans="1:16" ht="18" customHeight="1" x14ac:dyDescent="0.2">
      <c r="B15" s="19" t="str">
        <f>'Price List_Excl GST'!B15</f>
        <v>BLNC2AU</v>
      </c>
      <c r="C15" s="20"/>
      <c r="D15" s="134" t="str">
        <f>'Price List_Excl GST'!D15</f>
        <v>Controlled Load 2</v>
      </c>
      <c r="E15" s="135">
        <f>'Price List_Excl GST'!E15</f>
        <v>0</v>
      </c>
      <c r="F15" s="21">
        <f>ROUND(VLOOKUP($B15,'[2]NUOS (t)'!$B$10:$O$66,4,FALSE)/365,4)*1.1</f>
        <v>9.9440000000000001E-2</v>
      </c>
      <c r="G15" s="21">
        <f>ROUND(VLOOKUP($B15,'[2]NUOS (t)'!$B$10:$O$66,5,FALSE),4)*1.1</f>
        <v>5.2330300000000003</v>
      </c>
      <c r="H15" s="21"/>
      <c r="I15" s="21"/>
      <c r="J15" s="21"/>
      <c r="K15" s="21"/>
      <c r="L15" s="21"/>
      <c r="M15" s="21"/>
      <c r="N15" s="22"/>
      <c r="O15" s="22"/>
    </row>
    <row r="16" spans="1:16" s="65" customFormat="1" ht="18" x14ac:dyDescent="0.25">
      <c r="A16" s="59"/>
      <c r="B16" s="71" t="s">
        <v>87</v>
      </c>
      <c r="C16" s="71"/>
      <c r="D16" s="72"/>
      <c r="E16" s="73"/>
      <c r="F16" s="74"/>
      <c r="G16" s="74"/>
      <c r="H16" s="74"/>
      <c r="I16" s="74"/>
      <c r="J16" s="74"/>
      <c r="K16" s="74"/>
      <c r="L16" s="74"/>
      <c r="M16" s="74"/>
      <c r="N16" s="70"/>
      <c r="O16" s="70"/>
      <c r="P16" s="70"/>
    </row>
    <row r="17" spans="1:16" ht="18" customHeight="1" x14ac:dyDescent="0.2">
      <c r="A17" s="140"/>
      <c r="B17" s="26" t="str">
        <f>'Price List_Excl GST'!B17</f>
        <v>BLNE21AU</v>
      </c>
      <c r="C17" s="20"/>
      <c r="D17" s="134" t="str">
        <f>'Price List_Excl GST'!D17</f>
        <v>Residential Anytime Export gross metered</v>
      </c>
      <c r="E17" s="135">
        <f>'Price List_Excl GST'!E17</f>
        <v>0</v>
      </c>
      <c r="F17" s="27"/>
      <c r="G17" s="31">
        <v>0</v>
      </c>
      <c r="H17" s="27"/>
      <c r="I17" s="27"/>
      <c r="J17" s="27"/>
      <c r="K17" s="27"/>
      <c r="L17" s="27"/>
      <c r="M17" s="27"/>
      <c r="N17" s="22"/>
      <c r="O17" s="22"/>
      <c r="P17" s="22"/>
    </row>
    <row r="18" spans="1:16" ht="18" customHeight="1" x14ac:dyDescent="0.2">
      <c r="A18" s="140"/>
      <c r="B18" s="26" t="str">
        <f>'Price List_Excl GST'!B18</f>
        <v>BLNE23AU</v>
      </c>
      <c r="C18" s="20"/>
      <c r="D18" s="134" t="str">
        <f>'Price List_Excl GST'!D18</f>
        <v>Residential Anytime Export net metered</v>
      </c>
      <c r="E18" s="135">
        <f>'Price List_Excl GST'!E18</f>
        <v>0</v>
      </c>
      <c r="F18" s="27"/>
      <c r="G18" s="31">
        <v>0</v>
      </c>
      <c r="H18" s="27"/>
      <c r="I18" s="27"/>
      <c r="J18" s="27"/>
      <c r="K18" s="27"/>
      <c r="L18" s="27"/>
      <c r="M18" s="27"/>
      <c r="N18" s="22"/>
      <c r="O18" s="22"/>
      <c r="P18" s="22"/>
    </row>
    <row r="19" spans="1:16" ht="18" customHeight="1" x14ac:dyDescent="0.2">
      <c r="A19" s="28"/>
      <c r="B19" s="26" t="str">
        <f>'Price List_Excl GST'!B19</f>
        <v>BLNE20AU</v>
      </c>
      <c r="C19" s="20"/>
      <c r="D19" s="134" t="str">
        <f>'Price List_Excl GST'!D19</f>
        <v>Business Anytime Export gross metered</v>
      </c>
      <c r="E19" s="135">
        <f>'Price List_Excl GST'!E19</f>
        <v>0</v>
      </c>
      <c r="F19" s="27"/>
      <c r="G19" s="31">
        <v>0</v>
      </c>
      <c r="H19" s="27"/>
      <c r="I19" s="27"/>
      <c r="J19" s="27"/>
      <c r="K19" s="27"/>
      <c r="L19" s="27"/>
      <c r="M19" s="27"/>
      <c r="N19" s="22"/>
      <c r="O19" s="22"/>
      <c r="P19" s="22"/>
    </row>
    <row r="20" spans="1:16" ht="18" customHeight="1" x14ac:dyDescent="0.2">
      <c r="A20" s="28"/>
      <c r="B20" s="26" t="str">
        <f>'Price List_Excl GST'!B20</f>
        <v>BLNE22AU</v>
      </c>
      <c r="C20" s="20"/>
      <c r="D20" s="134" t="str">
        <f>'Price List_Excl GST'!D20</f>
        <v>Business Anytime Export net metered</v>
      </c>
      <c r="E20" s="135">
        <f>'Price List_Excl GST'!E20</f>
        <v>0</v>
      </c>
      <c r="F20" s="27"/>
      <c r="G20" s="31">
        <v>0</v>
      </c>
      <c r="H20" s="27"/>
      <c r="I20" s="27"/>
      <c r="J20" s="27"/>
      <c r="K20" s="27"/>
      <c r="L20" s="27"/>
      <c r="M20" s="27"/>
      <c r="N20" s="22"/>
      <c r="O20" s="22"/>
      <c r="P20" s="22"/>
    </row>
    <row r="21" spans="1:16" ht="18" customHeight="1" x14ac:dyDescent="0.2">
      <c r="A21" s="28"/>
      <c r="B21" s="26" t="str">
        <f>'Price List_Excl GST'!B21</f>
        <v>BLNE0AU</v>
      </c>
      <c r="C21" s="20"/>
      <c r="D21" s="134" t="str">
        <f>'Price List_Excl GST'!D21</f>
        <v>Ineligible Export</v>
      </c>
      <c r="E21" s="135">
        <f>'Price List_Excl GST'!E21</f>
        <v>0</v>
      </c>
      <c r="F21" s="27"/>
      <c r="G21" s="31">
        <v>0</v>
      </c>
      <c r="H21" s="27"/>
      <c r="I21" s="27"/>
      <c r="J21" s="27"/>
      <c r="K21" s="27"/>
      <c r="L21" s="27"/>
      <c r="M21" s="27"/>
      <c r="N21" s="22"/>
      <c r="O21" s="22"/>
      <c r="P21" s="22"/>
    </row>
    <row r="22" spans="1:16" s="32" customFormat="1" ht="18" customHeight="1" x14ac:dyDescent="0.2">
      <c r="A22" s="29"/>
      <c r="B22" s="30" t="str">
        <f>'Price List_Excl GST'!B22</f>
        <v>BLNE26AU</v>
      </c>
      <c r="C22" s="20"/>
      <c r="D22" s="134" t="str">
        <f>'Price List_Excl GST'!D22</f>
        <v xml:space="preserve">QLD Government Solar Bonus </v>
      </c>
      <c r="E22" s="135">
        <f>'Price List_Excl GST'!E22</f>
        <v>0</v>
      </c>
      <c r="F22" s="21"/>
      <c r="G22" s="31">
        <v>0</v>
      </c>
      <c r="H22" s="21"/>
      <c r="I22" s="21"/>
      <c r="J22" s="21"/>
      <c r="K22" s="21"/>
      <c r="L22" s="21"/>
      <c r="M22" s="21"/>
      <c r="N22" s="22"/>
      <c r="O22" s="22"/>
      <c r="P22" s="22"/>
    </row>
    <row r="23" spans="1:16" s="32" customFormat="1" ht="18" customHeight="1" x14ac:dyDescent="0.2">
      <c r="B23" s="19" t="str">
        <f>'Price List_Excl GST'!B23</f>
        <v>BLNE27AU</v>
      </c>
      <c r="C23" s="33"/>
      <c r="D23" s="134" t="str">
        <f>'Price List_Excl GST'!D23</f>
        <v xml:space="preserve">QLD Government Solar Bonus </v>
      </c>
      <c r="E23" s="135">
        <f>'Price List_Excl GST'!E23</f>
        <v>0</v>
      </c>
      <c r="F23" s="27"/>
      <c r="G23" s="31">
        <v>0</v>
      </c>
      <c r="H23" s="27"/>
      <c r="I23" s="27"/>
      <c r="J23" s="27"/>
      <c r="K23" s="27"/>
      <c r="L23" s="27"/>
      <c r="M23" s="27"/>
      <c r="N23" s="22"/>
      <c r="O23" s="22"/>
      <c r="P23" s="22"/>
    </row>
    <row r="24" spans="1:16" s="65" customFormat="1" ht="18" x14ac:dyDescent="0.25">
      <c r="A24" s="59"/>
      <c r="B24" s="71" t="s">
        <v>18</v>
      </c>
      <c r="C24" s="71"/>
      <c r="D24" s="72"/>
      <c r="E24" s="73"/>
      <c r="F24" s="74"/>
      <c r="G24" s="74"/>
      <c r="H24" s="74"/>
      <c r="I24" s="74"/>
      <c r="J24" s="74"/>
      <c r="K24" s="74"/>
      <c r="L24" s="74"/>
      <c r="M24" s="74"/>
      <c r="N24" s="70"/>
      <c r="O24" s="70"/>
      <c r="P24" s="70"/>
    </row>
    <row r="25" spans="1:16" ht="18" customHeight="1" x14ac:dyDescent="0.2">
      <c r="B25" s="19" t="str">
        <f>'Price List_Excl GST'!B25</f>
        <v>BLNN1AU</v>
      </c>
      <c r="C25" s="20"/>
      <c r="D25" s="134" t="str">
        <f>'Price List_Excl GST'!D25</f>
        <v>LV Small Business Anytime</v>
      </c>
      <c r="E25" s="135">
        <f>'Price List_Excl GST'!E25</f>
        <v>0</v>
      </c>
      <c r="F25" s="21">
        <f>ROUND(VLOOKUP($B25,'[2]NUOS (t)'!$B$10:$O$66,4,FALSE)/365,4)*1.1</f>
        <v>0.92004000000000008</v>
      </c>
      <c r="G25" s="21">
        <f>ROUND(VLOOKUP($B25,'[2]NUOS (t)'!$B$10:$O$66,5,FALSE),4)*1.1</f>
        <v>15.965070000000001</v>
      </c>
      <c r="H25" s="21"/>
      <c r="I25" s="21"/>
      <c r="J25" s="21"/>
      <c r="K25" s="21"/>
      <c r="L25" s="21"/>
      <c r="M25" s="21"/>
      <c r="N25" s="22"/>
      <c r="O25" s="22"/>
    </row>
    <row r="26" spans="1:16" ht="18" customHeight="1" x14ac:dyDescent="0.2">
      <c r="B26" s="19" t="str">
        <f>'Price List_Excl GST'!B26</f>
        <v>BLNT2AU</v>
      </c>
      <c r="C26" s="20"/>
      <c r="D26" s="134" t="str">
        <f>'Price List_Excl GST'!D26</f>
        <v xml:space="preserve">LV TOU &lt;100MWh </v>
      </c>
      <c r="E26" s="135">
        <f>'Price List_Excl GST'!E26</f>
        <v>0</v>
      </c>
      <c r="F26" s="21">
        <f>ROUND(VLOOKUP($B26,'[2]NUOS (t)'!$B$10:$O$66,4,FALSE)/365,4)*1.1</f>
        <v>5.60703</v>
      </c>
      <c r="G26" s="21"/>
      <c r="H26" s="21">
        <f>ROUND(VLOOKUP($B26,'[2]NUOS (t)'!$B$10:$O$66,6,FALSE),4)*1.1</f>
        <v>16.1799</v>
      </c>
      <c r="I26" s="21">
        <f>ROUND(VLOOKUP($B26,'[2]NUOS (t)'!$B$10:$O$66,7,FALSE),4)*1.1</f>
        <v>14.076260000000001</v>
      </c>
      <c r="J26" s="21">
        <f>ROUND(VLOOKUP($B26,'[2]NUOS (t)'!$B$10:$O$66,8,FALSE),4)*1.1</f>
        <v>7.2029100000000001</v>
      </c>
      <c r="K26" s="21"/>
      <c r="L26" s="21"/>
      <c r="M26" s="21"/>
      <c r="N26" s="22"/>
      <c r="O26" s="22"/>
      <c r="P26" s="22"/>
    </row>
    <row r="27" spans="1:16" ht="18" customHeight="1" x14ac:dyDescent="0.2">
      <c r="B27" s="19" t="str">
        <f>'Price List_Excl GST'!B27</f>
        <v>BLNT2AL</v>
      </c>
      <c r="C27" s="20"/>
      <c r="D27" s="134" t="str">
        <f>'Price List_Excl GST'!D27</f>
        <v>LV Business TOU_Interval meter</v>
      </c>
      <c r="E27" s="135">
        <f>'Price List_Excl GST'!E27</f>
        <v>0</v>
      </c>
      <c r="F27" s="21">
        <f>ROUND(VLOOKUP($B27,'[2]NUOS (t)'!$B$10:$O$66,4,FALSE)/365,4)*1.1</f>
        <v>1.595</v>
      </c>
      <c r="G27" s="21"/>
      <c r="H27" s="21">
        <f>ROUND(VLOOKUP($B27,'[2]NUOS (t)'!$B$10:$O$66,6,FALSE),4)*1.1</f>
        <v>16.776870000000002</v>
      </c>
      <c r="I27" s="21">
        <f>ROUND(VLOOKUP($B27,'[2]NUOS (t)'!$B$10:$O$66,7,FALSE),4)*1.1</f>
        <v>13.55728</v>
      </c>
      <c r="J27" s="21">
        <f>ROUND(VLOOKUP($B27,'[2]NUOS (t)'!$B$10:$O$66,8,FALSE),4)*1.1</f>
        <v>6.9693800000000001</v>
      </c>
      <c r="K27" s="21"/>
      <c r="L27" s="21"/>
      <c r="M27" s="21"/>
      <c r="N27" s="22"/>
      <c r="O27" s="22"/>
      <c r="P27" s="22"/>
    </row>
    <row r="28" spans="1:16" ht="18" customHeight="1" x14ac:dyDescent="0.2">
      <c r="B28" s="19" t="str">
        <f>'Price List_Excl GST'!B28</f>
        <v>BLND1AB</v>
      </c>
      <c r="C28" s="20"/>
      <c r="D28" s="134" t="str">
        <f>'Price List_Excl GST'!D28</f>
        <v>Small Business - Opt in Demand</v>
      </c>
      <c r="E28" s="135">
        <f>'Price List_Excl GST'!E28</f>
        <v>0</v>
      </c>
      <c r="F28" s="21">
        <f>ROUND(VLOOKUP($B28,'[2]NUOS (t)'!$B$10:$O$66,4,FALSE)/365,4)*1.1</f>
        <v>1.595</v>
      </c>
      <c r="G28" s="21"/>
      <c r="H28" s="21">
        <f>ROUND(VLOOKUP($B28,'[2]NUOS (t)'!$B$10:$O$66,6,FALSE),4)*1.1</f>
        <v>6.7760000000000007</v>
      </c>
      <c r="I28" s="21">
        <f>ROUND(VLOOKUP($B28,'[2]NUOS (t)'!$B$10:$O$66,7,FALSE),4)*1.1</f>
        <v>5.2825300000000004</v>
      </c>
      <c r="J28" s="21">
        <f>ROUND(VLOOKUP($B28,'[2]NUOS (t)'!$B$10:$O$66,8,FALSE),4)*1.1</f>
        <v>3.1266400000000001</v>
      </c>
      <c r="K28" s="21">
        <f>ROUND(VLOOKUP($B28,'[2]NUOS (t)'!$B$10:$O$66,10,FALSE),4)*1.1</f>
        <v>7.1048999999999998</v>
      </c>
      <c r="L28" s="127"/>
      <c r="M28" s="21"/>
      <c r="N28" s="22"/>
      <c r="O28" s="22"/>
      <c r="P28" s="22"/>
    </row>
    <row r="29" spans="1:16" ht="18" customHeight="1" x14ac:dyDescent="0.2">
      <c r="B29" s="19" t="str">
        <f>'Price List_Excl GST'!B29</f>
        <v>BLNT1AO</v>
      </c>
      <c r="C29" s="20">
        <f>'Price List_Excl GST'!C29</f>
        <v>0</v>
      </c>
      <c r="D29" s="134" t="str">
        <f>'Price List_Excl GST'!D29</f>
        <v xml:space="preserve">LV TOU &lt;160MWh </v>
      </c>
      <c r="E29" s="135">
        <f>'Price List_Excl GST'!E29</f>
        <v>0</v>
      </c>
      <c r="F29" s="21">
        <f>ROUND(VLOOKUP($B29,'[2]NUOS (t)'!$B$10:$O$66,4,FALSE)/365,4)*1.1</f>
        <v>5.60703</v>
      </c>
      <c r="G29" s="21"/>
      <c r="H29" s="21">
        <f>ROUND(VLOOKUP($B29,'[2]NUOS (t)'!$B$10:$O$66,6,FALSE),4)*1.1</f>
        <v>16.1799</v>
      </c>
      <c r="I29" s="21">
        <f>ROUND(VLOOKUP($B29,'[2]NUOS (t)'!$B$10:$O$66,7,FALSE),4)*1.1</f>
        <v>14.076260000000001</v>
      </c>
      <c r="J29" s="21">
        <f>ROUND(VLOOKUP($B29,'[2]NUOS (t)'!$B$10:$O$66,8,FALSE),4)*1.1</f>
        <v>7.2029100000000001</v>
      </c>
      <c r="K29" s="21"/>
      <c r="L29" s="21"/>
      <c r="M29" s="21"/>
      <c r="N29" s="22"/>
      <c r="O29" s="22"/>
      <c r="P29" s="22"/>
    </row>
    <row r="30" spans="1:16" ht="18" customHeight="1" x14ac:dyDescent="0.2">
      <c r="B30" s="19" t="str">
        <f>'Price List_Excl GST'!B30</f>
        <v>BLNDTRS</v>
      </c>
      <c r="C30" s="20"/>
      <c r="D30" s="134" t="str">
        <f>'Price List_Excl GST'!D30</f>
        <v>Transitional Demand</v>
      </c>
      <c r="E30" s="135">
        <f>'Price List_Excl GST'!E30</f>
        <v>0</v>
      </c>
      <c r="F30" s="21">
        <f>ROUND(VLOOKUP($B30,'[2]NUOS (t)'!$B$10:$O$66,4,FALSE)/365,4)*1.1</f>
        <v>12.850860000000003</v>
      </c>
      <c r="G30" s="21"/>
      <c r="H30" s="21">
        <f>ROUND(VLOOKUP($B30,'[2]NUOS (t)'!$B$10:$O$66,6,FALSE),4)*1.1</f>
        <v>8.5308299999999999</v>
      </c>
      <c r="I30" s="21">
        <f>ROUND(VLOOKUP($B30,'[2]NUOS (t)'!$B$10:$O$66,7,FALSE),4)*1.1</f>
        <v>7.415210000000001</v>
      </c>
      <c r="J30" s="21">
        <f>ROUND(VLOOKUP($B30,'[2]NUOS (t)'!$B$10:$O$66,8,FALSE),4)*1.1</f>
        <v>4.1877000000000004</v>
      </c>
      <c r="K30" s="21">
        <f>ROUND(VLOOKUP($B30,'[2]NUOS (t)'!$B$10:$O$66,10,FALSE),4)*1.1</f>
        <v>7.2986100000000009</v>
      </c>
      <c r="L30" s="21">
        <f>ROUND(VLOOKUP($B30,'[2]NUOS (t)'!$B$10:$O$66,11,FALSE),4)*1.1</f>
        <v>6.6034100000000002</v>
      </c>
      <c r="M30" s="21">
        <f>ROUND(VLOOKUP($B30,'[2]NUOS (t)'!$B$10:$O$66,12,FALSE),4)*1.1</f>
        <v>1.60215</v>
      </c>
      <c r="N30" s="22"/>
      <c r="O30" s="22"/>
      <c r="P30" s="22"/>
    </row>
    <row r="31" spans="1:16" ht="18" customHeight="1" x14ac:dyDescent="0.2">
      <c r="B31" s="19" t="str">
        <f>'Price List_Excl GST'!B31</f>
        <v>BLND3AO</v>
      </c>
      <c r="C31" s="20"/>
      <c r="D31" s="134" t="str">
        <f>'Price List_Excl GST'!D31</f>
        <v>LV TOU Demand 3 Rate</v>
      </c>
      <c r="E31" s="135">
        <f>'Price List_Excl GST'!E31</f>
        <v>0</v>
      </c>
      <c r="F31" s="21">
        <f>ROUND(VLOOKUP($B31,'[2]NUOS (t)'!$B$10:$O$66,4,FALSE)/365,4)*1.1</f>
        <v>16.472719999999999</v>
      </c>
      <c r="G31" s="21"/>
      <c r="H31" s="21">
        <f>ROUND(VLOOKUP($B31,'[2]NUOS (t)'!$B$10:$O$66,6,FALSE),4)*1.1</f>
        <v>4.7062400000000011</v>
      </c>
      <c r="I31" s="21">
        <f>ROUND(VLOOKUP($B31,'[2]NUOS (t)'!$B$10:$O$66,7,FALSE),4)*1.1</f>
        <v>4.0846299999999998</v>
      </c>
      <c r="J31" s="21">
        <f>ROUND(VLOOKUP($B31,'[2]NUOS (t)'!$B$10:$O$66,8,FALSE),4)*1.1</f>
        <v>2.68004</v>
      </c>
      <c r="K31" s="21">
        <f>ROUND(VLOOKUP($B31,'[2]NUOS (t)'!$B$10:$O$66,10,FALSE),4)*1.1</f>
        <v>10.94786</v>
      </c>
      <c r="L31" s="21">
        <f>ROUND(VLOOKUP($B31,'[2]NUOS (t)'!$B$10:$O$66,11,FALSE),4)*1.1</f>
        <v>9.90517</v>
      </c>
      <c r="M31" s="21">
        <f>ROUND(VLOOKUP($B31,'[2]NUOS (t)'!$B$10:$O$66,12,FALSE),4)*1.1</f>
        <v>2.4032800000000001</v>
      </c>
      <c r="N31" s="22"/>
      <c r="O31" s="22"/>
      <c r="P31" s="22"/>
    </row>
    <row r="32" spans="1:16" ht="18" customHeight="1" x14ac:dyDescent="0.2">
      <c r="B32" s="19" t="str">
        <f>'Price List_Excl GST'!B32</f>
        <v>BLND3TO</v>
      </c>
      <c r="C32" s="20"/>
      <c r="D32" s="134" t="str">
        <f>'Price List_Excl GST'!D32</f>
        <v>LV TOU Demand Alternative tariff</v>
      </c>
      <c r="E32" s="135">
        <f>'Price List_Excl GST'!E32</f>
        <v>0</v>
      </c>
      <c r="F32" s="21">
        <f>ROUND(VLOOKUP($B32,'[2]NUOS (t)'!$B$10:$O$66,4,FALSE)/365,4)*1.1</f>
        <v>16.472719999999999</v>
      </c>
      <c r="G32" s="21"/>
      <c r="H32" s="21">
        <f>ROUND(VLOOKUP($B32,'[2]NUOS (t)'!$B$10:$O$66,6,FALSE),4)*1.1</f>
        <v>14.431450000000002</v>
      </c>
      <c r="I32" s="21">
        <f>ROUND(VLOOKUP($B32,'[2]NUOS (t)'!$B$10:$O$66,7,FALSE),4)*1.1</f>
        <v>12.207030000000001</v>
      </c>
      <c r="J32" s="21">
        <f>ROUND(VLOOKUP($B32,'[2]NUOS (t)'!$B$10:$O$66,8,FALSE),4)*1.1</f>
        <v>5.2580000000000009</v>
      </c>
      <c r="K32" s="129">
        <f>ROUND(VLOOKUP($B32,'[2]NUOS (t)'!$B$10:$O$66,10,FALSE),4)*1.1</f>
        <v>13.039070000000001</v>
      </c>
      <c r="L32" s="130"/>
      <c r="M32" s="21"/>
      <c r="N32" s="22"/>
      <c r="O32" s="22"/>
      <c r="P32" s="22"/>
    </row>
    <row r="33" spans="1:16" ht="18" customHeight="1" x14ac:dyDescent="0.2">
      <c r="B33" s="19" t="str">
        <f>'Price List_Excl GST'!B33</f>
        <v>BHND3AO</v>
      </c>
      <c r="C33" s="20"/>
      <c r="D33" s="134" t="str">
        <f>'Price List_Excl GST'!D33</f>
        <v>HV TOU mthly Demand</v>
      </c>
      <c r="E33" s="135">
        <f>'Price List_Excl GST'!E33</f>
        <v>0</v>
      </c>
      <c r="F33" s="21">
        <f>ROUND(VLOOKUP($B33,'[2]NUOS (t)'!$B$10:$O$66,4,FALSE)/365,4)*1.1</f>
        <v>20.39059</v>
      </c>
      <c r="G33" s="21"/>
      <c r="H33" s="21">
        <f>ROUND(VLOOKUP($B33,'[2]NUOS (t)'!$B$10:$O$66,6,FALSE),4)*1.1</f>
        <v>3.5953500000000003</v>
      </c>
      <c r="I33" s="21">
        <f>ROUND(VLOOKUP($B33,'[2]NUOS (t)'!$B$10:$O$66,7,FALSE),4)*1.1</f>
        <v>3.1500700000000004</v>
      </c>
      <c r="J33" s="21">
        <f>ROUND(VLOOKUP($B33,'[2]NUOS (t)'!$B$10:$O$66,8,FALSE),4)*1.1</f>
        <v>2.5875300000000001</v>
      </c>
      <c r="K33" s="21">
        <f>ROUND(VLOOKUP($B33,'[2]NUOS (t)'!$B$10:$O$66,10,FALSE),4)*1.1</f>
        <v>9.6856100000000005</v>
      </c>
      <c r="L33" s="21">
        <f>ROUND(VLOOKUP($B33,'[2]NUOS (t)'!$B$10:$O$66,11,FALSE),4)*1.1</f>
        <v>8.7631500000000013</v>
      </c>
      <c r="M33" s="21">
        <f>ROUND(VLOOKUP($B33,'[2]NUOS (t)'!$B$10:$O$66,12,FALSE),4)*1.1</f>
        <v>2.6222900000000005</v>
      </c>
      <c r="N33" s="22"/>
      <c r="O33" s="22"/>
      <c r="P33" s="22"/>
    </row>
    <row r="34" spans="1:16" ht="18" customHeight="1" x14ac:dyDescent="0.2">
      <c r="B34" s="19" t="str">
        <f>'Price List_Excl GST'!B34</f>
        <v>BSSD3AO</v>
      </c>
      <c r="C34" s="20"/>
      <c r="D34" s="143" t="str">
        <f>'Price List_Excl GST'!D34</f>
        <v>Sub Trans 3 Rate Demand</v>
      </c>
      <c r="E34" s="144">
        <f>'Price List_Excl GST'!E34</f>
        <v>0</v>
      </c>
      <c r="F34" s="21">
        <f>ROUND(VLOOKUP($B34,'[2]NUOS (t)'!$B$10:$O$66,4,FALSE)/365,4)*1.1</f>
        <v>20.240660000000002</v>
      </c>
      <c r="G34" s="21"/>
      <c r="H34" s="21">
        <f>ROUND(VLOOKUP($B34,'[2]NUOS (t)'!$B$10:$O$66,6,FALSE),4)*1.1</f>
        <v>4.39351</v>
      </c>
      <c r="I34" s="21">
        <f>ROUND(VLOOKUP($B34,'[2]NUOS (t)'!$B$10:$O$66,7,FALSE),4)*1.1</f>
        <v>2.6365900000000004</v>
      </c>
      <c r="J34" s="21">
        <f>ROUND(VLOOKUP($B34,'[2]NUOS (t)'!$B$10:$O$66,8,FALSE),4)*1.1</f>
        <v>2.1950500000000002</v>
      </c>
      <c r="K34" s="21">
        <f>ROUND(VLOOKUP($B34,'[2]NUOS (t)'!$B$10:$O$66,10,FALSE),4)*1.1</f>
        <v>3.7375800000000003</v>
      </c>
      <c r="L34" s="21">
        <f>ROUND(VLOOKUP($B34,'[2]NUOS (t)'!$B$10:$O$66,11,FALSE),4)*1.1</f>
        <v>2.6645300000000001</v>
      </c>
      <c r="M34" s="21">
        <f>ROUND(VLOOKUP($B34,'[2]NUOS (t)'!$B$10:$O$66,12,FALSE),4)*1.1</f>
        <v>1.06216</v>
      </c>
    </row>
    <row r="35" spans="1:16" s="65" customFormat="1" ht="18" x14ac:dyDescent="0.25">
      <c r="A35" s="59"/>
      <c r="B35" s="71" t="s">
        <v>45</v>
      </c>
      <c r="C35" s="71"/>
      <c r="D35" s="72"/>
      <c r="E35" s="73"/>
      <c r="F35" s="75"/>
      <c r="G35" s="75"/>
      <c r="H35" s="75"/>
      <c r="I35" s="75"/>
      <c r="J35" s="75"/>
      <c r="K35" s="75"/>
      <c r="L35" s="75"/>
      <c r="M35" s="75"/>
    </row>
    <row r="36" spans="1:16" ht="18" customHeight="1" x14ac:dyDescent="0.2">
      <c r="B36" s="19" t="s">
        <v>36</v>
      </c>
      <c r="C36" s="20" t="s">
        <v>44</v>
      </c>
      <c r="D36" s="134" t="s">
        <v>109</v>
      </c>
      <c r="E36" s="135"/>
      <c r="F36" s="21">
        <f>ROUND(VLOOKUP($B36,'[2]NUOS (t)'!$B$10:$O$66,4,FALSE)/365,4)*1.1</f>
        <v>0.92004000000000008</v>
      </c>
      <c r="G36" s="21">
        <f>ROUND(VLOOKUP($B36,'[2]NUOS (t)'!$B$10:$O$66,5,FALSE),4)*1.1</f>
        <v>17.27638</v>
      </c>
      <c r="H36" s="21"/>
      <c r="I36" s="21"/>
      <c r="J36" s="21"/>
      <c r="K36" s="21"/>
      <c r="L36" s="21"/>
      <c r="M36" s="21"/>
    </row>
    <row r="37" spans="1:16" ht="18" customHeight="1" x14ac:dyDescent="0.2">
      <c r="B37" s="19" t="s">
        <v>37</v>
      </c>
      <c r="C37" s="20"/>
      <c r="D37" s="134" t="s">
        <v>110</v>
      </c>
      <c r="E37" s="135"/>
      <c r="F37" s="21">
        <f>ROUND(VLOOKUP($B37,'[2]NUOS (t)'!$B$10:$O$66,4,FALSE)/365,4)*1.1</f>
        <v>0</v>
      </c>
      <c r="G37" s="21"/>
      <c r="H37" s="21">
        <f>ROUND(VLOOKUP($B37,'[2]NUOS (t)'!$B$10:$O$66,6,FALSE),4)*1.1</f>
        <v>18.462510000000002</v>
      </c>
      <c r="I37" s="21">
        <f>ROUND(VLOOKUP($B37,'[2]NUOS (t)'!$B$10:$O$66,7,FALSE),4)*1.1</f>
        <v>15.573470000000002</v>
      </c>
      <c r="J37" s="21">
        <f>ROUND(VLOOKUP($B37,'[2]NUOS (t)'!$B$10:$O$66,8,FALSE),4)*1.1</f>
        <v>7.5141000000000009</v>
      </c>
      <c r="K37" s="21"/>
      <c r="L37" s="21"/>
      <c r="M37" s="21"/>
    </row>
    <row r="38" spans="1:16" s="65" customFormat="1" ht="18" x14ac:dyDescent="0.25">
      <c r="A38" s="59"/>
      <c r="B38" s="71" t="s">
        <v>69</v>
      </c>
      <c r="C38" s="71"/>
      <c r="D38" s="72"/>
      <c r="E38" s="73"/>
      <c r="F38" s="75"/>
      <c r="G38" s="75"/>
      <c r="H38" s="75"/>
      <c r="I38" s="75"/>
      <c r="J38" s="75"/>
      <c r="K38" s="75"/>
      <c r="L38" s="75"/>
      <c r="M38" s="75"/>
    </row>
    <row r="39" spans="1:16" ht="28.5" x14ac:dyDescent="0.2">
      <c r="B39" s="20" t="s">
        <v>50</v>
      </c>
      <c r="C39" s="20"/>
      <c r="D39" s="134" t="s">
        <v>51</v>
      </c>
      <c r="E39" s="135"/>
      <c r="F39" s="27" t="s">
        <v>52</v>
      </c>
      <c r="G39" s="27"/>
      <c r="H39" s="27" t="s">
        <v>52</v>
      </c>
      <c r="I39" s="27" t="s">
        <v>52</v>
      </c>
      <c r="J39" s="27" t="s">
        <v>52</v>
      </c>
      <c r="K39" s="27" t="s">
        <v>52</v>
      </c>
      <c r="L39" s="27" t="s">
        <v>52</v>
      </c>
      <c r="M39" s="27" t="s">
        <v>52</v>
      </c>
    </row>
    <row r="40" spans="1:16" x14ac:dyDescent="0.2">
      <c r="B40" s="34"/>
      <c r="C40" s="34"/>
      <c r="D40" s="35"/>
      <c r="E40" s="35"/>
      <c r="F40" s="36"/>
      <c r="G40" s="36"/>
      <c r="H40" s="36"/>
      <c r="I40" s="36"/>
      <c r="J40" s="36"/>
      <c r="K40" s="36"/>
      <c r="L40" s="36"/>
      <c r="M40" s="36"/>
      <c r="N40" s="36"/>
      <c r="O40" s="36"/>
      <c r="P40" s="36"/>
    </row>
    <row r="41" spans="1:16" ht="33" x14ac:dyDescent="0.45">
      <c r="A41" s="1"/>
      <c r="B41" s="106" t="s">
        <v>199</v>
      </c>
      <c r="C41" s="107"/>
      <c r="D41" s="107"/>
      <c r="E41" s="107"/>
      <c r="F41" s="107"/>
      <c r="G41" s="108"/>
      <c r="H41" s="108"/>
      <c r="I41" s="108"/>
      <c r="J41" s="108"/>
      <c r="K41" s="109"/>
      <c r="L41" s="109"/>
      <c r="M41" s="109"/>
      <c r="N41" s="110"/>
      <c r="O41" s="110"/>
      <c r="P41" s="111"/>
    </row>
    <row r="42" spans="1:16" ht="15.75" x14ac:dyDescent="0.25">
      <c r="A42" s="1"/>
      <c r="B42" s="148" t="str">
        <f>'Price List_Excl GST'!$B$3:$F$3</f>
        <v>Effective 1 July 2020</v>
      </c>
      <c r="C42" s="149"/>
      <c r="D42" s="149"/>
      <c r="E42" s="149"/>
      <c r="F42" s="149"/>
      <c r="G42" s="112"/>
      <c r="H42" s="112"/>
      <c r="I42" s="112"/>
      <c r="J42" s="112"/>
      <c r="K42" s="112"/>
      <c r="L42" s="150"/>
      <c r="M42" s="150"/>
      <c r="N42" s="112"/>
      <c r="O42" s="112"/>
      <c r="P42" s="113"/>
    </row>
    <row r="43" spans="1:16" ht="15.75" x14ac:dyDescent="0.25">
      <c r="A43" s="1"/>
      <c r="B43" s="114"/>
      <c r="C43" s="115"/>
      <c r="D43" s="115"/>
      <c r="E43" s="115"/>
      <c r="F43" s="115"/>
      <c r="G43" s="116"/>
      <c r="H43" s="116"/>
      <c r="I43" s="116"/>
      <c r="J43" s="116"/>
      <c r="K43" s="116"/>
      <c r="L43" s="117"/>
      <c r="M43" s="117"/>
      <c r="N43" s="116"/>
      <c r="O43" s="116"/>
      <c r="P43" s="118"/>
    </row>
    <row r="44" spans="1:16" ht="27.75" customHeight="1" x14ac:dyDescent="0.25">
      <c r="B44" s="158" t="s">
        <v>108</v>
      </c>
      <c r="C44" s="155" t="s">
        <v>9</v>
      </c>
      <c r="D44" s="119" t="s">
        <v>1</v>
      </c>
      <c r="E44" s="119" t="s">
        <v>2</v>
      </c>
      <c r="F44" s="120" t="s">
        <v>2</v>
      </c>
      <c r="G44" s="120" t="s">
        <v>2</v>
      </c>
      <c r="H44" s="120" t="s">
        <v>2</v>
      </c>
      <c r="I44" s="119" t="s">
        <v>3</v>
      </c>
      <c r="J44" s="120" t="s">
        <v>4</v>
      </c>
      <c r="K44" s="120" t="s">
        <v>5</v>
      </c>
      <c r="L44" s="120" t="s">
        <v>6</v>
      </c>
      <c r="M44" s="119" t="s">
        <v>7</v>
      </c>
      <c r="N44" s="151" t="s">
        <v>49</v>
      </c>
      <c r="O44" s="151"/>
      <c r="P44" s="151"/>
    </row>
    <row r="45" spans="1:16" ht="15" x14ac:dyDescent="0.25">
      <c r="B45" s="159"/>
      <c r="C45" s="156"/>
      <c r="D45" s="121" t="s">
        <v>10</v>
      </c>
      <c r="E45" s="121" t="s">
        <v>11</v>
      </c>
      <c r="F45" s="121" t="s">
        <v>4</v>
      </c>
      <c r="G45" s="121" t="s">
        <v>5</v>
      </c>
      <c r="H45" s="121" t="s">
        <v>6</v>
      </c>
      <c r="I45" s="121" t="s">
        <v>12</v>
      </c>
      <c r="J45" s="121" t="s">
        <v>3</v>
      </c>
      <c r="K45" s="121" t="s">
        <v>3</v>
      </c>
      <c r="L45" s="121" t="s">
        <v>3</v>
      </c>
      <c r="M45" s="121" t="s">
        <v>12</v>
      </c>
      <c r="N45" s="151"/>
      <c r="O45" s="151"/>
      <c r="P45" s="151"/>
    </row>
    <row r="46" spans="1:16" ht="15" x14ac:dyDescent="0.25">
      <c r="B46" s="159"/>
      <c r="C46" s="156"/>
      <c r="D46" s="121" t="s">
        <v>13</v>
      </c>
      <c r="E46" s="121" t="s">
        <v>14</v>
      </c>
      <c r="F46" s="121" t="s">
        <v>14</v>
      </c>
      <c r="G46" s="121" t="s">
        <v>14</v>
      </c>
      <c r="H46" s="121" t="s">
        <v>14</v>
      </c>
      <c r="I46" s="121" t="s">
        <v>15</v>
      </c>
      <c r="J46" s="121" t="s">
        <v>15</v>
      </c>
      <c r="K46" s="121" t="s">
        <v>15</v>
      </c>
      <c r="L46" s="121" t="s">
        <v>15</v>
      </c>
      <c r="M46" s="121" t="s">
        <v>15</v>
      </c>
      <c r="N46" s="151"/>
      <c r="O46" s="151"/>
      <c r="P46" s="151"/>
    </row>
    <row r="47" spans="1:16" s="43" customFormat="1" ht="15" x14ac:dyDescent="0.25">
      <c r="A47" s="42"/>
      <c r="B47" s="160"/>
      <c r="C47" s="157"/>
      <c r="D47" s="122"/>
      <c r="E47" s="122"/>
      <c r="F47" s="122"/>
      <c r="G47" s="122"/>
      <c r="H47" s="122"/>
      <c r="I47" s="122"/>
      <c r="J47" s="122"/>
      <c r="K47" s="122"/>
      <c r="L47" s="122"/>
      <c r="M47" s="122"/>
      <c r="N47" s="151"/>
      <c r="O47" s="151"/>
      <c r="P47" s="151"/>
    </row>
    <row r="48" spans="1:16" s="65" customFormat="1" ht="18" x14ac:dyDescent="0.25">
      <c r="A48" s="59"/>
      <c r="B48" s="71" t="s">
        <v>46</v>
      </c>
      <c r="C48" s="72"/>
      <c r="D48" s="76"/>
      <c r="E48" s="74"/>
      <c r="F48" s="74"/>
      <c r="G48" s="74"/>
      <c r="H48" s="74"/>
      <c r="I48" s="74"/>
      <c r="J48" s="74"/>
      <c r="K48" s="74"/>
      <c r="L48" s="74"/>
      <c r="M48" s="74"/>
      <c r="N48" s="152"/>
      <c r="O48" s="153"/>
      <c r="P48" s="154"/>
    </row>
    <row r="49" spans="1:19" s="65" customFormat="1" ht="18" x14ac:dyDescent="0.25">
      <c r="A49" s="59"/>
      <c r="B49" s="80" t="s">
        <v>33</v>
      </c>
      <c r="C49" s="33" t="s">
        <v>58</v>
      </c>
      <c r="D49" s="21">
        <f>ROUND(VLOOKUP($B49,'[2]NUOS (t)'!$B$10:$O$66,4,FALSE)/365,4)*1.1</f>
        <v>16.753550000000001</v>
      </c>
      <c r="E49" s="21"/>
      <c r="F49" s="21">
        <f>ROUND(VLOOKUP($B49,'[2]NUOS (t)'!$B$10:$O$66,6,FALSE),4)*1.1</f>
        <v>4.3220100000000006</v>
      </c>
      <c r="G49" s="21">
        <f>ROUND(VLOOKUP($B49,'[2]NUOS (t)'!$B$10:$O$66,7,FALSE),4)*1.1</f>
        <v>3.7637600000000004</v>
      </c>
      <c r="H49" s="21">
        <f>ROUND(VLOOKUP($B49,'[2]NUOS (t)'!$B$10:$O$66,8,FALSE),4)*1.1</f>
        <v>2.5456200000000004</v>
      </c>
      <c r="I49" s="21"/>
      <c r="J49" s="21">
        <f>ROUND(VLOOKUP($B49,'[2]NUOS (t)'!$B$10:$O$66,10,FALSE),4)*1.1</f>
        <v>12.058860000000001</v>
      </c>
      <c r="K49" s="21">
        <f>ROUND(VLOOKUP($B49,'[2]NUOS (t)'!$B$10:$O$66,11,FALSE),4)*1.1</f>
        <v>10.910350000000001</v>
      </c>
      <c r="L49" s="21">
        <f>ROUND(VLOOKUP($B49,'[2]NUOS (t)'!$B$10:$O$66,12,FALSE),4)*1.1</f>
        <v>2.7885000000000004</v>
      </c>
      <c r="M49" s="123"/>
      <c r="N49" s="124"/>
      <c r="O49" s="125"/>
      <c r="P49" s="126"/>
    </row>
    <row r="50" spans="1:19" s="65" customFormat="1" ht="18" x14ac:dyDescent="0.25">
      <c r="A50" s="59"/>
      <c r="B50" s="80" t="s">
        <v>35</v>
      </c>
      <c r="C50" s="33" t="s">
        <v>59</v>
      </c>
      <c r="D50" s="21">
        <f>ROUND(VLOOKUP($B50,'[2]NUOS (t)'!$B$10:$O$66,4,FALSE)/365,4)*1.1</f>
        <v>19.819030000000001</v>
      </c>
      <c r="E50" s="21"/>
      <c r="F50" s="21">
        <f>ROUND(VLOOKUP($B50,'[2]NUOS (t)'!$B$10:$O$66,6,FALSE),4)*1.1</f>
        <v>3.5524499999999999</v>
      </c>
      <c r="G50" s="21">
        <f>ROUND(VLOOKUP($B50,'[2]NUOS (t)'!$B$10:$O$66,7,FALSE),4)*1.1</f>
        <v>3.1566700000000001</v>
      </c>
      <c r="H50" s="21">
        <f>ROUND(VLOOKUP($B50,'[2]NUOS (t)'!$B$10:$O$66,8,FALSE),4)*1.1</f>
        <v>2.5793900000000001</v>
      </c>
      <c r="I50" s="21"/>
      <c r="J50" s="21">
        <f>ROUND(VLOOKUP($B50,'[2]NUOS (t)'!$B$10:$O$66,10,FALSE),4)*1.1</f>
        <v>10.256180000000001</v>
      </c>
      <c r="K50" s="21">
        <f>ROUND(VLOOKUP($B50,'[2]NUOS (t)'!$B$10:$O$66,11,FALSE),4)*1.1</f>
        <v>9.2793800000000015</v>
      </c>
      <c r="L50" s="21">
        <f>ROUND(VLOOKUP($B50,'[2]NUOS (t)'!$B$10:$O$66,12,FALSE),4)*1.1</f>
        <v>2.7767300000000006</v>
      </c>
      <c r="M50" s="123"/>
      <c r="N50" s="124"/>
      <c r="O50" s="125"/>
      <c r="P50" s="126"/>
    </row>
    <row r="51" spans="1:19" s="65" customFormat="1" ht="44.25" customHeight="1" x14ac:dyDescent="0.25">
      <c r="A51" s="59"/>
      <c r="B51" s="80" t="s">
        <v>170</v>
      </c>
      <c r="C51" s="33" t="s">
        <v>200</v>
      </c>
      <c r="D51" s="21">
        <f>ROUND(VLOOKUP($B51,'[2]NUOS (t)'!$B$10:$O$66,4,FALSE)/365,4)*1.1</f>
        <v>7.3368900000000004</v>
      </c>
      <c r="E51" s="21"/>
      <c r="F51" s="21">
        <f>ROUND(VLOOKUP($B51,'[2]NUOS (t)'!$B$10:$O$66,6,FALSE),4)*1.1</f>
        <v>16.884450000000001</v>
      </c>
      <c r="G51" s="21">
        <f>ROUND(VLOOKUP($B51,'[2]NUOS (t)'!$B$10:$O$66,7,FALSE),4)*1.1</f>
        <v>14.04205</v>
      </c>
      <c r="H51" s="21">
        <f>ROUND(VLOOKUP($B51,'[2]NUOS (t)'!$B$10:$O$66,8,FALSE),4)*1.1</f>
        <v>7.2824400000000002</v>
      </c>
      <c r="I51" s="21"/>
      <c r="J51" s="21"/>
      <c r="K51" s="21"/>
      <c r="L51" s="21"/>
      <c r="M51" s="21">
        <f>ROUND(VLOOKUP($B51,'[2]NUOS (t)'!$B$10:$O$66,13,FALSE),4)</f>
        <v>0</v>
      </c>
      <c r="N51" s="161" t="s">
        <v>201</v>
      </c>
      <c r="O51" s="162"/>
      <c r="P51" s="163"/>
    </row>
    <row r="52" spans="1:19" ht="107.25" customHeight="1" x14ac:dyDescent="0.2">
      <c r="B52" s="81" t="s">
        <v>105</v>
      </c>
      <c r="C52" s="33" t="s">
        <v>48</v>
      </c>
      <c r="D52" s="21">
        <f>ROUND(VLOOKUP("BLND1CO",'[2]NUOS (t)'!$B$10:$O$66,4,FALSE)/365,4)*1.1</f>
        <v>21.601140000000001</v>
      </c>
      <c r="E52" s="21"/>
      <c r="F52" s="21">
        <f>ROUND(VLOOKUP("BLND1CO",'[2]NUOS (t)'!$B$10:$O$66,6,FALSE),4)*1.1</f>
        <v>6.6558800000000007</v>
      </c>
      <c r="G52" s="21">
        <f>ROUND(VLOOKUP("BLND1CO",'[2]NUOS (t)'!$B$10:$O$66,7,FALSE),4)*1.1</f>
        <v>5.7163700000000004</v>
      </c>
      <c r="H52" s="21">
        <f>ROUND(VLOOKUP("BLND1CO",'[2]NUOS (t)'!$B$10:$O$66,8,FALSE),4)*1.1</f>
        <v>3.1218000000000004</v>
      </c>
      <c r="I52" s="21">
        <f>ROUND(VLOOKUP("BLND1CO",'[2]NUOS (t)'!$B$10:$O$66,9,FALSE),4)*1.1</f>
        <v>17.929010000000002</v>
      </c>
      <c r="J52" s="21"/>
      <c r="K52" s="21"/>
      <c r="L52" s="21"/>
      <c r="M52" s="21"/>
      <c r="N52" s="128" t="s">
        <v>90</v>
      </c>
      <c r="O52" s="128"/>
      <c r="P52" s="128"/>
    </row>
    <row r="53" spans="1:19" ht="51" customHeight="1" x14ac:dyDescent="0.2">
      <c r="B53" s="80" t="s">
        <v>20</v>
      </c>
      <c r="C53" s="33" t="s">
        <v>55</v>
      </c>
      <c r="D53" s="21">
        <f>ROUND(VLOOKUP($B53,'[2]NUOS (t)'!$B$10:$O$66,4,FALSE)/365,4)*1.1</f>
        <v>16.753550000000001</v>
      </c>
      <c r="E53" s="21"/>
      <c r="F53" s="21">
        <f>ROUND(VLOOKUP($B53,'[2]NUOS (t)'!$B$10:$O$66,6,FALSE),4)*1.1</f>
        <v>13.73438</v>
      </c>
      <c r="G53" s="21">
        <f>ROUND(VLOOKUP($B53,'[2]NUOS (t)'!$B$10:$O$66,7,FALSE),4)*1.1</f>
        <v>11.632720000000001</v>
      </c>
      <c r="H53" s="21">
        <f>ROUND(VLOOKUP($B53,'[2]NUOS (t)'!$B$10:$O$66,8,FALSE),4)*1.1</f>
        <v>4.84396</v>
      </c>
      <c r="I53" s="21">
        <f>ROUND(VLOOKUP($B53,'[2]NUOS (t)'!$B$10:$O$66,9,FALSE),4)*1.1</f>
        <v>11.90827</v>
      </c>
      <c r="J53" s="21"/>
      <c r="K53" s="21"/>
      <c r="L53" s="21"/>
      <c r="M53" s="21">
        <f>ROUND(VLOOKUP($B53,'[2]NUOS (t)'!$B$10:$O$66,13,FALSE),4)*1.1</f>
        <v>4.3291599999999999</v>
      </c>
      <c r="N53" s="128" t="s">
        <v>91</v>
      </c>
      <c r="O53" s="128"/>
      <c r="P53" s="128"/>
    </row>
    <row r="54" spans="1:19" ht="48.75" customHeight="1" x14ac:dyDescent="0.2">
      <c r="B54" s="80" t="s">
        <v>21</v>
      </c>
      <c r="C54" s="33" t="s">
        <v>54</v>
      </c>
      <c r="D54" s="21">
        <f>ROUND(VLOOKUP($B54,'[2]NUOS (t)'!$B$10:$O$66,4,FALSE)/365,4)*1.1</f>
        <v>4.5076900000000002</v>
      </c>
      <c r="E54" s="21"/>
      <c r="F54" s="21">
        <f>ROUND(VLOOKUP($B54,'[2]NUOS (t)'!$B$10:$O$66,6,FALSE),4)*1.1</f>
        <v>15.472050000000001</v>
      </c>
      <c r="G54" s="21">
        <f>ROUND(VLOOKUP($B54,'[2]NUOS (t)'!$B$10:$O$66,7,FALSE),4)*1.1</f>
        <v>13.083950000000002</v>
      </c>
      <c r="H54" s="21">
        <f>ROUND(VLOOKUP($B54,'[2]NUOS (t)'!$B$10:$O$66,8,FALSE),4)*1.1</f>
        <v>6.3597600000000005</v>
      </c>
      <c r="I54" s="21">
        <f>ROUND(VLOOKUP($B54,'[2]NUOS (t)'!$B$10:$O$66,9,FALSE),4)*1.1</f>
        <v>11.679690000000001</v>
      </c>
      <c r="J54" s="21"/>
      <c r="K54" s="21"/>
      <c r="L54" s="21"/>
      <c r="M54" s="21">
        <f>ROUND(VLOOKUP($B54,'[2]NUOS (t)'!$B$10:$O$66,13,FALSE),4)*1.1</f>
        <v>4.3346600000000004</v>
      </c>
      <c r="N54" s="128" t="s">
        <v>91</v>
      </c>
      <c r="O54" s="128"/>
      <c r="P54" s="128"/>
    </row>
    <row r="55" spans="1:19" ht="90" customHeight="1" x14ac:dyDescent="0.2">
      <c r="B55" s="80" t="s">
        <v>22</v>
      </c>
      <c r="C55" s="33" t="s">
        <v>56</v>
      </c>
      <c r="D55" s="21">
        <f>ROUND(VLOOKUP($B55,'[2]NUOS (t)'!$B$10:$O$66,4,FALSE)/365,4)*1.1</f>
        <v>27.718020000000003</v>
      </c>
      <c r="E55" s="21"/>
      <c r="F55" s="21">
        <f>ROUND(VLOOKUP($B55,'[2]NUOS (t)'!$B$10:$O$66,6,FALSE),4)*1.1</f>
        <v>7.2211700000000008</v>
      </c>
      <c r="G55" s="21">
        <f>ROUND(VLOOKUP($B55,'[2]NUOS (t)'!$B$10:$O$66,7,FALSE),4)*1.1</f>
        <v>7.0167900000000003</v>
      </c>
      <c r="H55" s="21">
        <f>ROUND(VLOOKUP($B55,'[2]NUOS (t)'!$B$10:$O$66,8,FALSE),4)*1.1</f>
        <v>3.2418100000000001</v>
      </c>
      <c r="I55" s="21">
        <f>ROUND(VLOOKUP($B55,'[2]NUOS (t)'!$B$10:$O$66,9,FALSE),4)*1.1</f>
        <v>13.07009</v>
      </c>
      <c r="J55" s="21"/>
      <c r="K55" s="21"/>
      <c r="L55" s="21"/>
      <c r="M55" s="21"/>
      <c r="N55" s="128" t="s">
        <v>92</v>
      </c>
      <c r="O55" s="128"/>
      <c r="P55" s="128"/>
    </row>
    <row r="56" spans="1:19" s="32" customFormat="1" ht="49.5" customHeight="1" x14ac:dyDescent="0.2">
      <c r="B56" s="81" t="s">
        <v>106</v>
      </c>
      <c r="C56" s="33" t="s">
        <v>57</v>
      </c>
      <c r="D56" s="21">
        <f>ROUND(VLOOKUP("BHND1SO",'[2]NUOS (t)'!$B$10:$O$66,4,FALSE)/365,4)*1.1</f>
        <v>20.66086</v>
      </c>
      <c r="E56" s="21"/>
      <c r="F56" s="21">
        <f>ROUND(VLOOKUP("BHND1SO",'[2]NUOS (t)'!$B$10:$O$66,6,FALSE),4)*1.1</f>
        <v>6.5632600000000005</v>
      </c>
      <c r="G56" s="21">
        <f>ROUND(VLOOKUP("BHND1SO",'[2]NUOS (t)'!$B$10:$O$66,7,FALSE),4)*1.1</f>
        <v>6.4094800000000012</v>
      </c>
      <c r="H56" s="21">
        <f>ROUND(VLOOKUP("BHND1SO",'[2]NUOS (t)'!$B$10:$O$66,8,FALSE),4)*1.1</f>
        <v>4.6550900000000013</v>
      </c>
      <c r="I56" s="21">
        <f>ROUND(VLOOKUP("BHND1SO",'[2]NUOS (t)'!$B$10:$O$66,9,FALSE),4)*1.1</f>
        <v>9.4387700000000017</v>
      </c>
      <c r="J56" s="21"/>
      <c r="K56" s="21"/>
      <c r="L56" s="21"/>
      <c r="M56" s="21">
        <f>ROUND(VLOOKUP("BHND1SO",'[2]NUOS (t)'!$B$10:$O$66,13,FALSE),4)*1.1</f>
        <v>3.4761100000000003</v>
      </c>
      <c r="N56" s="128" t="s">
        <v>93</v>
      </c>
      <c r="O56" s="128"/>
      <c r="P56" s="128"/>
      <c r="Q56" s="22"/>
      <c r="R56" s="22"/>
      <c r="S56" s="22"/>
    </row>
    <row r="57" spans="1:19" ht="90.75" customHeight="1" x14ac:dyDescent="0.2">
      <c r="B57" s="80" t="s">
        <v>96</v>
      </c>
      <c r="C57" s="33" t="s">
        <v>97</v>
      </c>
      <c r="D57" s="31"/>
      <c r="E57" s="31">
        <f>'Price List_Excl GST'!E74*1.1</f>
        <v>-44</v>
      </c>
      <c r="F57" s="31"/>
      <c r="G57" s="31"/>
      <c r="H57" s="31"/>
      <c r="I57" s="31"/>
      <c r="J57" s="31"/>
      <c r="K57" s="31"/>
      <c r="L57" s="31"/>
      <c r="M57" s="31"/>
      <c r="N57" s="128" t="s">
        <v>103</v>
      </c>
      <c r="O57" s="128"/>
      <c r="P57" s="128"/>
    </row>
    <row r="60" spans="1:19" x14ac:dyDescent="0.2">
      <c r="B60" s="136"/>
      <c r="C60" s="136"/>
      <c r="D60" s="136"/>
      <c r="E60" s="136"/>
      <c r="F60" s="136"/>
      <c r="G60" s="136"/>
      <c r="H60" s="136"/>
      <c r="I60" s="136"/>
      <c r="J60" s="136"/>
      <c r="K60" s="136"/>
      <c r="L60" s="136"/>
      <c r="M60" s="136"/>
      <c r="N60" s="136"/>
      <c r="O60" s="136"/>
      <c r="P60" s="136"/>
    </row>
    <row r="65" spans="1:1" s="46" customFormat="1" x14ac:dyDescent="0.2">
      <c r="A65" s="45"/>
    </row>
  </sheetData>
  <mergeCells count="47">
    <mergeCell ref="N56:P56"/>
    <mergeCell ref="B60:P60"/>
    <mergeCell ref="N54:P54"/>
    <mergeCell ref="N55:P55"/>
    <mergeCell ref="N57:P57"/>
    <mergeCell ref="N53:P53"/>
    <mergeCell ref="D34:E34"/>
    <mergeCell ref="D36:E36"/>
    <mergeCell ref="D37:E37"/>
    <mergeCell ref="D39:E39"/>
    <mergeCell ref="B42:F42"/>
    <mergeCell ref="L42:M42"/>
    <mergeCell ref="N44:P47"/>
    <mergeCell ref="N48:P48"/>
    <mergeCell ref="N52:P52"/>
    <mergeCell ref="C44:C47"/>
    <mergeCell ref="B44:B47"/>
    <mergeCell ref="N51:P51"/>
    <mergeCell ref="A17:A18"/>
    <mergeCell ref="D17:E17"/>
    <mergeCell ref="D18:E18"/>
    <mergeCell ref="D19:E19"/>
    <mergeCell ref="D20:E20"/>
    <mergeCell ref="D33:E33"/>
    <mergeCell ref="B3:F3"/>
    <mergeCell ref="I3:J3"/>
    <mergeCell ref="D9:E9"/>
    <mergeCell ref="D26:E26"/>
    <mergeCell ref="D14:E14"/>
    <mergeCell ref="D15:E15"/>
    <mergeCell ref="D21:E21"/>
    <mergeCell ref="D22:E22"/>
    <mergeCell ref="D23:E23"/>
    <mergeCell ref="D25:E25"/>
    <mergeCell ref="D10:E10"/>
    <mergeCell ref="D11:E11"/>
    <mergeCell ref="K32:L32"/>
    <mergeCell ref="B5:B7"/>
    <mergeCell ref="C5:C7"/>
    <mergeCell ref="D5:E7"/>
    <mergeCell ref="D27:E27"/>
    <mergeCell ref="D28:E28"/>
    <mergeCell ref="D30:E30"/>
    <mergeCell ref="D29:E29"/>
    <mergeCell ref="D31:E31"/>
    <mergeCell ref="D32:E32"/>
    <mergeCell ref="D12:E12"/>
  </mergeCells>
  <pageMargins left="0.39370078740157483" right="0.39370078740157483" top="0.39370078740157483" bottom="0.39370078740157483" header="0.51181102362204722" footer="0.51181102362204722"/>
  <pageSetup paperSize="9" scale="61" fitToHeight="0" orientation="landscape" r:id="rId1"/>
  <headerFooter alignWithMargins="0"/>
  <rowBreaks count="1" manualBreakCount="1">
    <brk id="40" max="15" man="1"/>
  </rowBreaks>
  <ignoredErrors>
    <ignoredError sqref="E57 E52:E56 H38:M38 F38 B11:E12 B27:E28 B13:E21 B39:F39 B31:E31 B22:E23 B9:E10 B24:E25 B26:E26 B30:E30 B29:E29 G38 G39:M39 B34:E38 B32:E3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2:S44"/>
  <sheetViews>
    <sheetView showGridLines="0" zoomScale="70" zoomScaleNormal="70" zoomScaleSheetLayoutView="58" workbookViewId="0">
      <selection activeCell="F9" sqref="F9"/>
    </sheetView>
  </sheetViews>
  <sheetFormatPr defaultColWidth="8.88671875" defaultRowHeight="14.25" x14ac:dyDescent="0.2"/>
  <cols>
    <col min="1" max="1" width="1.88671875" style="15" customWidth="1"/>
    <col min="2" max="2" width="26" style="8" customWidth="1"/>
    <col min="3" max="3" width="29.77734375" style="8" customWidth="1"/>
    <col min="4" max="4" width="11.21875" style="8" customWidth="1"/>
    <col min="5" max="5" width="17.88671875" style="8" customWidth="1"/>
    <col min="6" max="16" width="10.5546875" style="8" customWidth="1"/>
    <col min="17" max="17" width="8.5546875" style="8" customWidth="1"/>
    <col min="18" max="18" width="63.77734375" style="8" customWidth="1"/>
    <col min="19" max="16384" width="8.88671875" style="8"/>
  </cols>
  <sheetData>
    <row r="2" spans="1:19" ht="33" x14ac:dyDescent="0.45">
      <c r="A2" s="1"/>
      <c r="B2" s="2" t="s">
        <v>177</v>
      </c>
      <c r="C2" s="3"/>
      <c r="D2" s="3"/>
      <c r="E2" s="3"/>
      <c r="F2" s="3"/>
      <c r="G2" s="4"/>
      <c r="H2" s="5"/>
      <c r="I2" s="5"/>
      <c r="J2" s="5"/>
      <c r="K2" s="4"/>
      <c r="L2" s="6"/>
      <c r="M2" s="7"/>
    </row>
    <row r="3" spans="1:19" ht="15.75" x14ac:dyDescent="0.25">
      <c r="A3" s="1"/>
      <c r="B3" s="141" t="str">
        <f>'Price List_Excl GST'!B3:F3</f>
        <v>Effective 1 July 2020</v>
      </c>
      <c r="C3" s="142"/>
      <c r="D3" s="142"/>
      <c r="E3" s="142"/>
      <c r="F3" s="142"/>
      <c r="G3" s="9"/>
      <c r="H3" s="9"/>
      <c r="I3" s="137"/>
      <c r="J3" s="137"/>
      <c r="K3" s="9"/>
      <c r="L3" s="9"/>
      <c r="M3" s="10"/>
    </row>
    <row r="4" spans="1:19" ht="15" x14ac:dyDescent="0.25">
      <c r="A4" s="1"/>
      <c r="B4" s="11"/>
      <c r="C4" s="12"/>
      <c r="D4" s="13"/>
      <c r="E4" s="13"/>
      <c r="F4" s="13"/>
      <c r="G4" s="13"/>
      <c r="H4" s="13"/>
      <c r="I4" s="13"/>
      <c r="J4" s="13"/>
      <c r="K4" s="13"/>
      <c r="L4" s="13"/>
      <c r="M4" s="14"/>
    </row>
    <row r="5" spans="1:19" ht="15" x14ac:dyDescent="0.25">
      <c r="B5" s="132" t="s">
        <v>107</v>
      </c>
      <c r="C5" s="131" t="s">
        <v>24</v>
      </c>
      <c r="D5" s="146" t="s">
        <v>9</v>
      </c>
      <c r="E5" s="147"/>
      <c r="F5" s="57" t="s">
        <v>1</v>
      </c>
      <c r="G5" s="57" t="s">
        <v>2</v>
      </c>
      <c r="H5" s="40" t="s">
        <v>2</v>
      </c>
      <c r="I5" s="40" t="s">
        <v>2</v>
      </c>
      <c r="J5" s="40" t="s">
        <v>2</v>
      </c>
      <c r="K5" s="40" t="s">
        <v>4</v>
      </c>
      <c r="L5" s="40" t="s">
        <v>5</v>
      </c>
      <c r="M5" s="40" t="s">
        <v>6</v>
      </c>
    </row>
    <row r="6" spans="1:19" ht="15" x14ac:dyDescent="0.2">
      <c r="B6" s="132"/>
      <c r="C6" s="132"/>
      <c r="D6" s="146"/>
      <c r="E6" s="147"/>
      <c r="F6" s="83" t="s">
        <v>10</v>
      </c>
      <c r="G6" s="83" t="s">
        <v>174</v>
      </c>
      <c r="H6" s="83" t="s">
        <v>4</v>
      </c>
      <c r="I6" s="83" t="s">
        <v>5</v>
      </c>
      <c r="J6" s="83" t="s">
        <v>6</v>
      </c>
      <c r="K6" s="83" t="s">
        <v>3</v>
      </c>
      <c r="L6" s="83" t="s">
        <v>3</v>
      </c>
      <c r="M6" s="83" t="s">
        <v>3</v>
      </c>
    </row>
    <row r="7" spans="1:19" ht="15" x14ac:dyDescent="0.2">
      <c r="B7" s="132"/>
      <c r="C7" s="133"/>
      <c r="D7" s="146"/>
      <c r="E7" s="147"/>
      <c r="F7" s="83" t="s">
        <v>13</v>
      </c>
      <c r="G7" s="83" t="s">
        <v>14</v>
      </c>
      <c r="H7" s="83" t="s">
        <v>14</v>
      </c>
      <c r="I7" s="83" t="s">
        <v>14</v>
      </c>
      <c r="J7" s="83" t="s">
        <v>14</v>
      </c>
      <c r="K7" s="83" t="s">
        <v>15</v>
      </c>
      <c r="L7" s="83" t="s">
        <v>15</v>
      </c>
      <c r="M7" s="83" t="s">
        <v>15</v>
      </c>
    </row>
    <row r="8" spans="1:19" s="18" customFormat="1" ht="18" x14ac:dyDescent="0.25">
      <c r="A8" s="16"/>
      <c r="B8" s="60" t="s">
        <v>16</v>
      </c>
      <c r="C8" s="61"/>
      <c r="D8" s="62"/>
      <c r="E8" s="63"/>
      <c r="F8" s="64"/>
      <c r="G8" s="64"/>
      <c r="H8" s="64"/>
      <c r="I8" s="64"/>
      <c r="J8" s="64"/>
      <c r="K8" s="64"/>
      <c r="L8" s="64"/>
      <c r="M8" s="64"/>
      <c r="N8" s="65"/>
      <c r="O8" s="65"/>
    </row>
    <row r="9" spans="1:19" ht="14.25" customHeight="1" x14ac:dyDescent="0.2">
      <c r="B9" s="19" t="s">
        <v>25</v>
      </c>
      <c r="C9" s="20"/>
      <c r="D9" s="134" t="s">
        <v>181</v>
      </c>
      <c r="E9" s="135"/>
      <c r="F9" s="21">
        <f>ROUND(VLOOKUP($B9,'[2]DUOS (t)'!$B$10:$O$66,4,FALSE)/365,4)</f>
        <v>0.83640000000000003</v>
      </c>
      <c r="G9" s="21">
        <f>ROUND(VLOOKUP($B9,'[2]DUOS (t)'!$B$10:$O$66,5,FALSE),4)</f>
        <v>8.0982000000000003</v>
      </c>
      <c r="H9" s="21"/>
      <c r="I9" s="21"/>
      <c r="J9" s="21"/>
      <c r="K9" s="21"/>
      <c r="L9" s="21"/>
      <c r="M9" s="21"/>
      <c r="N9" s="22"/>
      <c r="O9" s="22"/>
    </row>
    <row r="10" spans="1:19" ht="14.25" customHeight="1" x14ac:dyDescent="0.2">
      <c r="B10" s="19" t="s">
        <v>26</v>
      </c>
      <c r="C10" s="20"/>
      <c r="D10" s="134" t="s">
        <v>42</v>
      </c>
      <c r="E10" s="135"/>
      <c r="F10" s="21">
        <f>ROUND(VLOOKUP($B10,'[2]DUOS (t)'!$B$10:$O$66,4,FALSE)/365,4)</f>
        <v>0.83640000000000003</v>
      </c>
      <c r="G10" s="21"/>
      <c r="H10" s="21">
        <f>ROUND(VLOOKUP($B10,'[2]DUOS (t)'!$B$10:$O$66,6,FALSE),4)</f>
        <v>10.3909</v>
      </c>
      <c r="I10" s="21">
        <f>ROUND(VLOOKUP($B10,'[2]DUOS (t)'!$B$10:$O$66,7,FALSE),4)</f>
        <v>9.0326000000000004</v>
      </c>
      <c r="J10" s="21">
        <f>ROUND(VLOOKUP($B10,'[2]DUOS (t)'!$B$10:$O$66,8,FALSE),4)</f>
        <v>2.6067999999999998</v>
      </c>
      <c r="K10" s="21"/>
      <c r="L10" s="21"/>
      <c r="M10" s="21"/>
      <c r="N10" s="22"/>
      <c r="O10" s="22"/>
      <c r="P10" s="56"/>
      <c r="Q10" s="22"/>
      <c r="R10" s="22"/>
    </row>
    <row r="11" spans="1:19" ht="14.25" customHeight="1" x14ac:dyDescent="0.2">
      <c r="B11" s="19" t="s">
        <v>167</v>
      </c>
      <c r="C11" s="20"/>
      <c r="D11" s="134" t="s">
        <v>168</v>
      </c>
      <c r="E11" s="135"/>
      <c r="F11" s="21">
        <f>ROUND(VLOOKUP($B11,'[2]DUOS (t)'!$B$10:$O$66,4,FALSE)/365,4)</f>
        <v>0.83640000000000003</v>
      </c>
      <c r="G11" s="21"/>
      <c r="H11" s="21">
        <f>ROUND(VLOOKUP($B11,'[2]DUOS (t)'!$B$10:$O$66,6,FALSE),4)</f>
        <v>10.910399999999999</v>
      </c>
      <c r="I11" s="21">
        <f>ROUND(VLOOKUP($B11,'[2]DUOS (t)'!$B$10:$O$66,7,FALSE),4)</f>
        <v>8.5808999999999997</v>
      </c>
      <c r="J11" s="21">
        <f>ROUND(VLOOKUP($B11,'[2]DUOS (t)'!$B$10:$O$66,8,FALSE),4)</f>
        <v>2.6067999999999998</v>
      </c>
      <c r="K11" s="21"/>
      <c r="L11" s="21"/>
      <c r="M11" s="21"/>
      <c r="N11" s="22"/>
      <c r="O11" s="22"/>
      <c r="P11" s="22"/>
      <c r="Q11" s="22"/>
      <c r="R11" s="22"/>
      <c r="S11" s="22"/>
    </row>
    <row r="12" spans="1:19" ht="14.25" customHeight="1" x14ac:dyDescent="0.2">
      <c r="B12" s="19" t="s">
        <v>169</v>
      </c>
      <c r="C12" s="20"/>
      <c r="D12" s="134" t="s">
        <v>183</v>
      </c>
      <c r="E12" s="135"/>
      <c r="F12" s="21">
        <f>ROUND(VLOOKUP($B12,'[2]DUOS (t)'!$B$10:$O$66,4,FALSE)/365,4)</f>
        <v>0.83640000000000003</v>
      </c>
      <c r="G12" s="21"/>
      <c r="H12" s="21">
        <f>ROUND(VLOOKUP($B12,'[2]DUOS (t)'!$B$10:$O$66,6,FALSE),4)</f>
        <v>0.84719999999999995</v>
      </c>
      <c r="I12" s="21">
        <f>ROUND(VLOOKUP($B12,'[2]DUOS (t)'!$B$10:$O$66,7,FALSE),4)</f>
        <v>0.50870000000000004</v>
      </c>
      <c r="J12" s="21">
        <f>ROUND(VLOOKUP($B12,'[2]DUOS (t)'!$B$10:$O$66,8,FALSE),4)</f>
        <v>0.2596</v>
      </c>
      <c r="K12" s="21">
        <f>ROUND(VLOOKUP($B12,'[2]DUOS (t)'!$B$10:$O$66,10,FALSE),4)</f>
        <v>3.9748000000000001</v>
      </c>
      <c r="L12" s="127"/>
      <c r="M12" s="21"/>
      <c r="N12" s="22"/>
      <c r="O12" s="22"/>
      <c r="P12" s="22"/>
      <c r="Q12" s="22"/>
      <c r="R12" s="22"/>
      <c r="S12" s="22"/>
    </row>
    <row r="13" spans="1:19" ht="18" x14ac:dyDescent="0.25">
      <c r="B13" s="61" t="s">
        <v>19</v>
      </c>
      <c r="C13" s="61"/>
      <c r="D13" s="66"/>
      <c r="E13" s="67"/>
      <c r="F13" s="68"/>
      <c r="G13" s="69"/>
      <c r="H13" s="69"/>
      <c r="I13" s="69"/>
      <c r="J13" s="69"/>
      <c r="K13" s="69"/>
      <c r="L13" s="69"/>
      <c r="M13" s="69"/>
      <c r="N13" s="70"/>
      <c r="O13" s="70"/>
      <c r="P13" s="22"/>
      <c r="Q13" s="22"/>
      <c r="R13" s="22"/>
      <c r="S13" s="22"/>
    </row>
    <row r="14" spans="1:19" ht="14.25" customHeight="1" x14ac:dyDescent="0.2">
      <c r="B14" s="19" t="s">
        <v>27</v>
      </c>
      <c r="C14" s="20"/>
      <c r="D14" s="134" t="s">
        <v>39</v>
      </c>
      <c r="E14" s="135"/>
      <c r="F14" s="21">
        <f>ROUND(VLOOKUP($B14,'[2]DUOS (t)'!$B$10:$O$66,4,FALSE)/365,4)</f>
        <v>9.0399999999999994E-2</v>
      </c>
      <c r="G14" s="21">
        <f>ROUND(VLOOKUP($B14,'[2]DUOS (t)'!$B$10:$O$66,5,FALSE),4)</f>
        <v>0.36730000000000002</v>
      </c>
      <c r="H14" s="21"/>
      <c r="I14" s="21"/>
      <c r="J14" s="21"/>
      <c r="K14" s="21"/>
      <c r="L14" s="21"/>
      <c r="M14" s="21"/>
      <c r="N14" s="22"/>
      <c r="O14" s="22"/>
      <c r="P14" s="22"/>
      <c r="Q14" s="22"/>
      <c r="R14" s="22"/>
      <c r="S14" s="22"/>
    </row>
    <row r="15" spans="1:19" ht="14.25" customHeight="1" x14ac:dyDescent="0.2">
      <c r="B15" s="19" t="s">
        <v>28</v>
      </c>
      <c r="C15" s="20"/>
      <c r="D15" s="134" t="s">
        <v>40</v>
      </c>
      <c r="E15" s="135"/>
      <c r="F15" s="21">
        <f>ROUND(VLOOKUP($B15,'[2]DUOS (t)'!$B$10:$O$66,4,FALSE)/365,4)</f>
        <v>9.0399999999999994E-2</v>
      </c>
      <c r="G15" s="21">
        <f>ROUND(VLOOKUP($B15,'[2]DUOS (t)'!$B$10:$O$66,5,FALSE),4)</f>
        <v>2.4506000000000001</v>
      </c>
      <c r="H15" s="21"/>
      <c r="I15" s="21"/>
      <c r="J15" s="21"/>
      <c r="K15" s="21"/>
      <c r="L15" s="21"/>
      <c r="M15" s="21"/>
      <c r="N15" s="22"/>
      <c r="O15" s="22"/>
      <c r="P15" s="22"/>
      <c r="Q15" s="22"/>
      <c r="R15" s="22"/>
    </row>
    <row r="16" spans="1:19" ht="18" x14ac:dyDescent="0.25">
      <c r="B16" s="71" t="s">
        <v>18</v>
      </c>
      <c r="C16" s="71"/>
      <c r="D16" s="72"/>
      <c r="E16" s="73"/>
      <c r="F16" s="74"/>
      <c r="G16" s="74"/>
      <c r="H16" s="74"/>
      <c r="I16" s="74"/>
      <c r="J16" s="74"/>
      <c r="K16" s="74"/>
      <c r="L16" s="74"/>
      <c r="M16" s="74"/>
      <c r="N16" s="70"/>
      <c r="O16" s="70"/>
      <c r="P16" s="22"/>
      <c r="Q16" s="22"/>
      <c r="R16" s="22"/>
      <c r="S16" s="22"/>
    </row>
    <row r="17" spans="2:19" ht="14.25" customHeight="1" x14ac:dyDescent="0.2">
      <c r="B17" s="19" t="s">
        <v>29</v>
      </c>
      <c r="C17" s="20"/>
      <c r="D17" s="134" t="s">
        <v>182</v>
      </c>
      <c r="E17" s="135"/>
      <c r="F17" s="21">
        <f>ROUND(VLOOKUP($B17,'[2]DUOS (t)'!$B$10:$O$66,4,FALSE)/365,4)</f>
        <v>0.83640000000000003</v>
      </c>
      <c r="G17" s="21">
        <f>ROUND(VLOOKUP($B17,'[2]DUOS (t)'!$B$10:$O$66,5,FALSE),4)</f>
        <v>11.668200000000001</v>
      </c>
      <c r="H17" s="21"/>
      <c r="I17" s="21"/>
      <c r="J17" s="21"/>
      <c r="K17" s="21"/>
      <c r="L17" s="21"/>
      <c r="M17" s="21"/>
      <c r="N17" s="22"/>
      <c r="O17" s="22"/>
      <c r="P17" s="22"/>
      <c r="Q17" s="22"/>
      <c r="R17" s="22"/>
      <c r="S17" s="22"/>
    </row>
    <row r="18" spans="2:19" ht="14.25" customHeight="1" x14ac:dyDescent="0.2">
      <c r="B18" s="19" t="s">
        <v>30</v>
      </c>
      <c r="C18" s="20"/>
      <c r="D18" s="134" t="s">
        <v>43</v>
      </c>
      <c r="E18" s="135"/>
      <c r="F18" s="21">
        <f>ROUND(VLOOKUP($B18,'[2]DUOS (t)'!$B$10:$O$66,4,FALSE)/365,4)</f>
        <v>5.0972999999999997</v>
      </c>
      <c r="G18" s="21"/>
      <c r="H18" s="21">
        <f>ROUND(VLOOKUP($B18,'[2]DUOS (t)'!$B$10:$O$66,6,FALSE),4)</f>
        <v>10.853</v>
      </c>
      <c r="I18" s="21">
        <f>ROUND(VLOOKUP($B18,'[2]DUOS (t)'!$B$10:$O$66,7,FALSE),4)</f>
        <v>9.4343000000000004</v>
      </c>
      <c r="J18" s="21">
        <f>ROUND(VLOOKUP($B18,'[2]DUOS (t)'!$B$10:$O$66,8,FALSE),4)</f>
        <v>4.2457000000000003</v>
      </c>
      <c r="K18" s="21"/>
      <c r="L18" s="21"/>
      <c r="M18" s="21"/>
      <c r="N18" s="22"/>
      <c r="O18" s="22"/>
    </row>
    <row r="19" spans="2:19" ht="14.25" customHeight="1" x14ac:dyDescent="0.2">
      <c r="B19" s="19" t="s">
        <v>171</v>
      </c>
      <c r="C19" s="20"/>
      <c r="D19" s="134" t="s">
        <v>172</v>
      </c>
      <c r="E19" s="135"/>
      <c r="F19" s="21">
        <f>ROUND(VLOOKUP($B19,'[2]DUOS (t)'!$B$10:$O$66,4,FALSE)/365,4)</f>
        <v>1.45</v>
      </c>
      <c r="G19" s="21"/>
      <c r="H19" s="21">
        <f>ROUND(VLOOKUP($B19,'[2]DUOS (t)'!$B$10:$O$66,6,FALSE),4)</f>
        <v>11.3956</v>
      </c>
      <c r="I19" s="21">
        <f>ROUND(VLOOKUP($B19,'[2]DUOS (t)'!$B$10:$O$66,7,FALSE),4)</f>
        <v>8.9626000000000001</v>
      </c>
      <c r="J19" s="21">
        <f>ROUND(VLOOKUP($B19,'[2]DUOS (t)'!$B$10:$O$66,8,FALSE),4)</f>
        <v>4.0334000000000003</v>
      </c>
      <c r="K19" s="21"/>
      <c r="L19" s="21"/>
      <c r="M19" s="21"/>
      <c r="N19" s="22"/>
      <c r="O19" s="22"/>
    </row>
    <row r="20" spans="2:19" ht="14.25" customHeight="1" x14ac:dyDescent="0.2">
      <c r="B20" s="19" t="s">
        <v>173</v>
      </c>
      <c r="C20" s="20"/>
      <c r="D20" s="134" t="s">
        <v>184</v>
      </c>
      <c r="E20" s="135"/>
      <c r="F20" s="21">
        <f>ROUND(VLOOKUP($B20,'[2]DUOS (t)'!$B$10:$O$66,4,FALSE)/365,4)</f>
        <v>1.45</v>
      </c>
      <c r="G20" s="21"/>
      <c r="H20" s="21">
        <f>ROUND(VLOOKUP($B20,'[2]DUOS (t)'!$B$10:$O$66,6,FALSE),4)</f>
        <v>2.3039999999999998</v>
      </c>
      <c r="I20" s="21">
        <f>ROUND(VLOOKUP($B20,'[2]DUOS (t)'!$B$10:$O$66,7,FALSE),4)</f>
        <v>1.44</v>
      </c>
      <c r="J20" s="21">
        <f>ROUND(VLOOKUP($B20,'[2]DUOS (t)'!$B$10:$O$66,8,FALSE),4)</f>
        <v>0.54</v>
      </c>
      <c r="K20" s="21">
        <f>ROUND(VLOOKUP($B20,'[2]DUOS (t)'!$B$10:$O$66,10,FALSE),4)</f>
        <v>6.4589999999999996</v>
      </c>
      <c r="L20" s="127"/>
      <c r="M20" s="21"/>
      <c r="N20" s="22"/>
      <c r="O20" s="22"/>
    </row>
    <row r="21" spans="2:19" ht="14.25" customHeight="1" x14ac:dyDescent="0.2">
      <c r="B21" s="19" t="s">
        <v>31</v>
      </c>
      <c r="C21" s="20" t="s">
        <v>170</v>
      </c>
      <c r="D21" s="134" t="s">
        <v>116</v>
      </c>
      <c r="E21" s="135"/>
      <c r="F21" s="21">
        <f>ROUND(VLOOKUP($B21,'[2]DUOS (t)'!$B$10:$O$66,4,FALSE)/365,4)</f>
        <v>5.0972999999999997</v>
      </c>
      <c r="G21" s="21"/>
      <c r="H21" s="21">
        <f>ROUND(VLOOKUP($B21,'[2]DUOS (t)'!$B$10:$O$66,6,FALSE),4)</f>
        <v>10.853</v>
      </c>
      <c r="I21" s="21">
        <f>ROUND(VLOOKUP($B21,'[2]DUOS (t)'!$B$10:$O$66,7,FALSE),4)</f>
        <v>9.4343000000000004</v>
      </c>
      <c r="J21" s="21">
        <f>ROUND(VLOOKUP($B21,'[2]DUOS (t)'!$B$10:$O$66,8,FALSE),4)</f>
        <v>4.2457000000000003</v>
      </c>
      <c r="K21" s="21"/>
      <c r="L21" s="21"/>
      <c r="M21" s="21"/>
      <c r="N21" s="22"/>
      <c r="O21" s="22"/>
    </row>
    <row r="22" spans="2:19" ht="14.25" customHeight="1" x14ac:dyDescent="0.2">
      <c r="B22" s="19" t="s">
        <v>175</v>
      </c>
      <c r="C22" s="20"/>
      <c r="D22" s="134" t="s">
        <v>176</v>
      </c>
      <c r="E22" s="135"/>
      <c r="F22" s="21">
        <f>ROUND(VLOOKUP($B22,'[2]DUOS (t)'!$B$10:$O$66,4,FALSE)/365,4)</f>
        <v>11.682600000000001</v>
      </c>
      <c r="G22" s="21"/>
      <c r="H22" s="21">
        <f>ROUND(VLOOKUP($B22,'[2]DUOS (t)'!$B$10:$O$66,6,FALSE),4)</f>
        <v>4.1330999999999998</v>
      </c>
      <c r="I22" s="21">
        <f>ROUND(VLOOKUP($B22,'[2]DUOS (t)'!$B$10:$O$66,7,FALSE),4)</f>
        <v>3.5752999999999999</v>
      </c>
      <c r="J22" s="21">
        <f>ROUND(VLOOKUP($B22,'[2]DUOS (t)'!$B$10:$O$66,8,FALSE),4)</f>
        <v>1.5330999999999999</v>
      </c>
      <c r="K22" s="21">
        <f>ROUND(VLOOKUP($B22,'[2]DUOS (t)'!$B$10:$O$66,10,FALSE),4)</f>
        <v>6.6351000000000004</v>
      </c>
      <c r="L22" s="21">
        <f>ROUND(VLOOKUP($B22,'[2]DUOS (t)'!$B$10:$O$66,11,FALSE),4)</f>
        <v>6.0030999999999999</v>
      </c>
      <c r="M22" s="21">
        <f>ROUND(VLOOKUP($B22,'[2]DUOS (t)'!$B$10:$O$66,12,FALSE),4)</f>
        <v>1.4564999999999999</v>
      </c>
      <c r="N22" s="22"/>
      <c r="O22" s="22"/>
    </row>
    <row r="23" spans="2:19" ht="14.25" customHeight="1" x14ac:dyDescent="0.2">
      <c r="B23" s="19" t="s">
        <v>32</v>
      </c>
      <c r="C23" s="20"/>
      <c r="D23" s="134" t="s">
        <v>47</v>
      </c>
      <c r="E23" s="135"/>
      <c r="F23" s="21">
        <f>ROUND(VLOOKUP($B23,'[2]DUOS (t)'!$B$10:$O$66,4,FALSE)/365,4)</f>
        <v>14.975199999999999</v>
      </c>
      <c r="G23" s="21"/>
      <c r="H23" s="21">
        <f>ROUND(VLOOKUP($B23,'[2]DUOS (t)'!$B$10:$O$66,6,FALSE),4)</f>
        <v>0.7732</v>
      </c>
      <c r="I23" s="21">
        <f>ROUND(VLOOKUP($B23,'[2]DUOS (t)'!$B$10:$O$66,7,FALSE),4)</f>
        <v>0.64570000000000005</v>
      </c>
      <c r="J23" s="21">
        <f>ROUND(VLOOKUP($B23,'[2]DUOS (t)'!$B$10:$O$66,8,FALSE),4)</f>
        <v>0.17680000000000001</v>
      </c>
      <c r="K23" s="21">
        <f>ROUND(VLOOKUP($B23,'[2]DUOS (t)'!$B$10:$O$66,10,FALSE),4)</f>
        <v>9.9526000000000003</v>
      </c>
      <c r="L23" s="21">
        <f>ROUND(VLOOKUP($B23,'[2]DUOS (t)'!$B$10:$O$66,11,FALSE),4)</f>
        <v>9.0046999999999997</v>
      </c>
      <c r="M23" s="21">
        <f>ROUND(VLOOKUP($B23,'[2]DUOS (t)'!$B$10:$O$66,12,FALSE),4)</f>
        <v>2.1848000000000001</v>
      </c>
      <c r="N23" s="22"/>
      <c r="O23" s="97"/>
    </row>
    <row r="24" spans="2:19" ht="14.25" customHeight="1" x14ac:dyDescent="0.2">
      <c r="B24" s="19" t="s">
        <v>61</v>
      </c>
      <c r="C24" s="20"/>
      <c r="D24" s="134" t="s">
        <v>74</v>
      </c>
      <c r="E24" s="135"/>
      <c r="F24" s="21">
        <f>ROUND(VLOOKUP($B24,'[2]DUOS (t)'!$B$10:$O$66,4,FALSE)/365,4)</f>
        <v>14.975199999999999</v>
      </c>
      <c r="G24" s="21"/>
      <c r="H24" s="21">
        <f>ROUND(VLOOKUP($B24,'[2]DUOS (t)'!$B$10:$O$66,6,FALSE),4)</f>
        <v>9.6143000000000001</v>
      </c>
      <c r="I24" s="21">
        <f>ROUND(VLOOKUP($B24,'[2]DUOS (t)'!$B$10:$O$66,7,FALSE),4)</f>
        <v>8.0297999999999998</v>
      </c>
      <c r="J24" s="21">
        <f>ROUND(VLOOKUP($B24,'[2]DUOS (t)'!$B$10:$O$66,8,FALSE),4)</f>
        <v>2.5205000000000002</v>
      </c>
      <c r="K24" s="129">
        <f>ROUND(VLOOKUP($B24,'[2]DUOS (t)'!$B$10:$O$66,10,FALSE),4)</f>
        <v>11.8537</v>
      </c>
      <c r="L24" s="130"/>
      <c r="M24" s="21"/>
      <c r="N24" s="22"/>
      <c r="O24" s="22"/>
    </row>
    <row r="25" spans="2:19" ht="14.25" customHeight="1" x14ac:dyDescent="0.2">
      <c r="B25" s="19" t="s">
        <v>34</v>
      </c>
      <c r="C25" s="20"/>
      <c r="D25" s="134" t="s">
        <v>41</v>
      </c>
      <c r="E25" s="135"/>
      <c r="F25" s="21">
        <f>ROUND(VLOOKUP($B25,'[2]DUOS (t)'!$B$10:$O$66,4,FALSE)/365,4)</f>
        <v>18.536899999999999</v>
      </c>
      <c r="G25" s="21"/>
      <c r="H25" s="21">
        <f>ROUND(VLOOKUP($B25,'[2]DUOS (t)'!$B$10:$O$66,6,FALSE),4)</f>
        <v>0.59299999999999997</v>
      </c>
      <c r="I25" s="21">
        <f>ROUND(VLOOKUP($B25,'[2]DUOS (t)'!$B$10:$O$66,7,FALSE),4)</f>
        <v>0.49530000000000002</v>
      </c>
      <c r="J25" s="21">
        <f>ROUND(VLOOKUP($B25,'[2]DUOS (t)'!$B$10:$O$66,8,FALSE),4)</f>
        <v>0.26540000000000002</v>
      </c>
      <c r="K25" s="21">
        <f>ROUND(VLOOKUP($B25,'[2]DUOS (t)'!$B$10:$O$66,10,FALSE),4)</f>
        <v>8.8050999999999995</v>
      </c>
      <c r="L25" s="21">
        <f>ROUND(VLOOKUP($B25,'[2]DUOS (t)'!$B$10:$O$66,11,FALSE),4)</f>
        <v>7.9664999999999999</v>
      </c>
      <c r="M25" s="21">
        <f>ROUND(VLOOKUP($B25,'[2]DUOS (t)'!$B$10:$O$66,12,FALSE),4)</f>
        <v>2.3839000000000001</v>
      </c>
      <c r="N25" s="22"/>
      <c r="O25" s="22"/>
    </row>
    <row r="26" spans="2:19" ht="14.25" customHeight="1" x14ac:dyDescent="0.2">
      <c r="B26" s="19" t="s">
        <v>23</v>
      </c>
      <c r="C26" s="20"/>
      <c r="D26" s="143" t="s">
        <v>38</v>
      </c>
      <c r="E26" s="144"/>
      <c r="F26" s="21">
        <f>ROUND(VLOOKUP($B26,'[2]DUOS (t)'!$B$10:$O$66,4,FALSE)/365,4)</f>
        <v>18.400600000000001</v>
      </c>
      <c r="G26" s="21"/>
      <c r="H26" s="21">
        <f>ROUND(VLOOKUP($B26,'[2]DUOS (t)'!$B$10:$O$66,6,FALSE),4)</f>
        <v>0.21129999999999999</v>
      </c>
      <c r="I26" s="21">
        <f>ROUND(VLOOKUP($B26,'[2]DUOS (t)'!$B$10:$O$66,7,FALSE),4)</f>
        <v>0.1124</v>
      </c>
      <c r="J26" s="21">
        <f>ROUND(VLOOKUP($B26,'[2]DUOS (t)'!$B$10:$O$66,8,FALSE),4)</f>
        <v>9.6299999999999997E-2</v>
      </c>
      <c r="K26" s="21">
        <f>ROUND(VLOOKUP($B26,'[2]DUOS (t)'!$B$10:$O$66,10,FALSE),4)</f>
        <v>3.3978000000000002</v>
      </c>
      <c r="L26" s="21">
        <f>ROUND(VLOOKUP($B26,'[2]DUOS (t)'!$B$10:$O$66,11,FALSE),4)</f>
        <v>2.4222999999999999</v>
      </c>
      <c r="M26" s="21">
        <f>ROUND(VLOOKUP($B26,'[2]DUOS (t)'!$B$10:$O$66,12,FALSE),4)</f>
        <v>0.96560000000000001</v>
      </c>
    </row>
    <row r="27" spans="2:19" ht="18" x14ac:dyDescent="0.25">
      <c r="B27" s="71" t="s">
        <v>45</v>
      </c>
      <c r="C27" s="71"/>
      <c r="D27" s="72"/>
      <c r="E27" s="73"/>
      <c r="F27" s="75"/>
      <c r="G27" s="75"/>
      <c r="H27" s="75"/>
      <c r="I27" s="75"/>
      <c r="J27" s="75"/>
      <c r="K27" s="75"/>
      <c r="L27" s="75"/>
      <c r="M27" s="75"/>
      <c r="N27" s="65"/>
      <c r="O27" s="65"/>
    </row>
    <row r="28" spans="2:19" ht="14.25" customHeight="1" x14ac:dyDescent="0.2">
      <c r="B28" s="19" t="s">
        <v>36</v>
      </c>
      <c r="C28" s="20" t="s">
        <v>44</v>
      </c>
      <c r="D28" s="134" t="s">
        <v>109</v>
      </c>
      <c r="E28" s="135"/>
      <c r="F28" s="21">
        <f>ROUND(VLOOKUP($B28,'[2]DUOS (t)'!$B$10:$O$66,4,FALSE)/365,4)</f>
        <v>0.83640000000000003</v>
      </c>
      <c r="G28" s="21">
        <f>ROUND(VLOOKUP($B28,'[2]DUOS (t)'!$B$10:$O$66,5,FALSE),4)</f>
        <v>12.8727</v>
      </c>
      <c r="H28" s="21"/>
      <c r="I28" s="21"/>
      <c r="J28" s="21"/>
      <c r="K28" s="21"/>
      <c r="L28" s="21"/>
      <c r="M28" s="21"/>
    </row>
    <row r="29" spans="2:19" ht="14.25" customHeight="1" x14ac:dyDescent="0.2">
      <c r="B29" s="19" t="s">
        <v>37</v>
      </c>
      <c r="C29" s="20"/>
      <c r="D29" s="134" t="s">
        <v>110</v>
      </c>
      <c r="E29" s="135"/>
      <c r="F29" s="21">
        <f>ROUND(VLOOKUP($B29,'[2]DUOS (t)'!$B$10:$O$66,4,FALSE)/365,4)</f>
        <v>0</v>
      </c>
      <c r="G29" s="21"/>
      <c r="H29" s="21">
        <f>ROUND(VLOOKUP($B29,'[2]DUOS (t)'!$B$10:$O$66,6,FALSE),4)</f>
        <v>12.9404</v>
      </c>
      <c r="I29" s="21">
        <f>ROUND(VLOOKUP($B29,'[2]DUOS (t)'!$B$10:$O$66,7,FALSE),4)</f>
        <v>10.807700000000001</v>
      </c>
      <c r="J29" s="21">
        <f>ROUND(VLOOKUP($B29,'[2]DUOS (t)'!$B$10:$O$66,8,FALSE),4)</f>
        <v>4.5408999999999997</v>
      </c>
      <c r="K29" s="21"/>
      <c r="L29" s="21"/>
      <c r="M29" s="21"/>
    </row>
    <row r="30" spans="2:19" ht="18" x14ac:dyDescent="0.25">
      <c r="B30" s="71" t="s">
        <v>69</v>
      </c>
      <c r="C30" s="71"/>
      <c r="D30" s="72"/>
      <c r="E30" s="73"/>
      <c r="F30" s="75"/>
      <c r="G30" s="75"/>
      <c r="H30" s="75"/>
      <c r="I30" s="75"/>
      <c r="J30" s="75"/>
      <c r="K30" s="75"/>
      <c r="L30" s="75"/>
      <c r="M30" s="75"/>
      <c r="N30" s="65"/>
      <c r="O30" s="65"/>
    </row>
    <row r="31" spans="2:19" x14ac:dyDescent="0.2">
      <c r="B31" s="20" t="s">
        <v>50</v>
      </c>
      <c r="C31" s="20"/>
      <c r="D31" s="134" t="s">
        <v>51</v>
      </c>
      <c r="E31" s="135"/>
      <c r="F31" s="27" t="s">
        <v>52</v>
      </c>
      <c r="G31" s="27"/>
      <c r="H31" s="27" t="s">
        <v>52</v>
      </c>
      <c r="I31" s="27" t="s">
        <v>52</v>
      </c>
      <c r="J31" s="27" t="s">
        <v>52</v>
      </c>
      <c r="K31" s="27" t="s">
        <v>52</v>
      </c>
      <c r="L31" s="27" t="s">
        <v>52</v>
      </c>
      <c r="M31" s="27" t="s">
        <v>52</v>
      </c>
    </row>
    <row r="32" spans="2:19" ht="15" x14ac:dyDescent="0.25">
      <c r="B32" s="53" t="s">
        <v>53</v>
      </c>
      <c r="C32" s="47"/>
      <c r="D32" s="48"/>
      <c r="E32" s="37" t="s">
        <v>1</v>
      </c>
      <c r="F32" s="38" t="s">
        <v>2</v>
      </c>
      <c r="G32" s="38" t="s">
        <v>2</v>
      </c>
      <c r="H32" s="38" t="s">
        <v>2</v>
      </c>
      <c r="I32" s="37" t="s">
        <v>3</v>
      </c>
      <c r="J32" s="38" t="s">
        <v>4</v>
      </c>
      <c r="K32" s="38" t="s">
        <v>5</v>
      </c>
      <c r="L32" s="38" t="s">
        <v>6</v>
      </c>
      <c r="M32" s="39" t="s">
        <v>7</v>
      </c>
    </row>
    <row r="33" spans="1:15" ht="15" x14ac:dyDescent="0.25">
      <c r="B33" s="54" t="s">
        <v>0</v>
      </c>
      <c r="C33" s="49" t="s">
        <v>9</v>
      </c>
      <c r="D33" s="98"/>
      <c r="E33" s="40" t="s">
        <v>10</v>
      </c>
      <c r="F33" s="40" t="s">
        <v>4</v>
      </c>
      <c r="G33" s="40" t="s">
        <v>5</v>
      </c>
      <c r="H33" s="40" t="s">
        <v>6</v>
      </c>
      <c r="I33" s="40" t="s">
        <v>12</v>
      </c>
      <c r="J33" s="40" t="s">
        <v>3</v>
      </c>
      <c r="K33" s="40" t="s">
        <v>3</v>
      </c>
      <c r="L33" s="40" t="s">
        <v>3</v>
      </c>
      <c r="M33" s="41" t="s">
        <v>12</v>
      </c>
    </row>
    <row r="34" spans="1:15" ht="15" x14ac:dyDescent="0.25">
      <c r="B34" s="41" t="s">
        <v>8</v>
      </c>
      <c r="C34" s="50"/>
      <c r="D34" s="51"/>
      <c r="E34" s="40" t="s">
        <v>13</v>
      </c>
      <c r="F34" s="40" t="s">
        <v>14</v>
      </c>
      <c r="G34" s="40" t="s">
        <v>14</v>
      </c>
      <c r="H34" s="40" t="s">
        <v>14</v>
      </c>
      <c r="I34" s="40" t="s">
        <v>15</v>
      </c>
      <c r="J34" s="40" t="s">
        <v>15</v>
      </c>
      <c r="K34" s="40" t="s">
        <v>15</v>
      </c>
      <c r="L34" s="40" t="s">
        <v>15</v>
      </c>
      <c r="M34" s="40" t="s">
        <v>15</v>
      </c>
    </row>
    <row r="35" spans="1:15" ht="26.25" x14ac:dyDescent="0.25">
      <c r="B35" s="52"/>
      <c r="C35" s="55"/>
      <c r="D35" s="99"/>
      <c r="E35" s="17" t="s">
        <v>86</v>
      </c>
      <c r="F35" s="17" t="s">
        <v>86</v>
      </c>
      <c r="G35" s="17" t="s">
        <v>86</v>
      </c>
      <c r="H35" s="17" t="s">
        <v>86</v>
      </c>
      <c r="I35" s="17" t="s">
        <v>86</v>
      </c>
      <c r="J35" s="17" t="s">
        <v>86</v>
      </c>
      <c r="K35" s="17" t="s">
        <v>86</v>
      </c>
      <c r="L35" s="17" t="s">
        <v>86</v>
      </c>
      <c r="M35" s="17" t="s">
        <v>86</v>
      </c>
    </row>
    <row r="36" spans="1:15" ht="15" x14ac:dyDescent="0.25">
      <c r="B36" s="23" t="s">
        <v>46</v>
      </c>
      <c r="C36" s="24"/>
      <c r="D36" s="100"/>
      <c r="E36" s="44"/>
      <c r="F36" s="25"/>
      <c r="G36" s="25"/>
      <c r="H36" s="25"/>
      <c r="I36" s="25"/>
      <c r="J36" s="25"/>
      <c r="K36" s="25"/>
      <c r="L36" s="25"/>
      <c r="M36" s="25"/>
    </row>
    <row r="37" spans="1:15" ht="14.25" customHeight="1" x14ac:dyDescent="0.2">
      <c r="B37" s="19" t="s">
        <v>33</v>
      </c>
      <c r="C37" s="166" t="s">
        <v>58</v>
      </c>
      <c r="D37" s="167"/>
      <c r="E37" s="21">
        <f>ROUND(VLOOKUP($B37,'[2]DUOS (t)'!$B$10:$O$66,4,FALSE)/365,4)</f>
        <v>15.230499999999999</v>
      </c>
      <c r="F37" s="21">
        <f>ROUND(VLOOKUP($B37,'[2]DUOS (t)'!$B$10:$O$66,6,FALSE),4)</f>
        <v>0.4239</v>
      </c>
      <c r="G37" s="21">
        <f>ROUND(VLOOKUP($B37,'[2]DUOS (t)'!$B$10:$O$66,7,FALSE),4)</f>
        <v>0.35399999999999998</v>
      </c>
      <c r="H37" s="21">
        <f>ROUND(VLOOKUP($B37,'[2]DUOS (t)'!$B$10:$O$66,8,FALSE),4)</f>
        <v>5.4600000000000003E-2</v>
      </c>
      <c r="I37" s="21"/>
      <c r="J37" s="21">
        <f>ROUND(VLOOKUP($B37,'[2]DUOS (t)'!$B$10:$O$66,10,FALSE),4)</f>
        <v>10.9626</v>
      </c>
      <c r="K37" s="21">
        <f>ROUND(VLOOKUP($B37,'[2]DUOS (t)'!$B$10:$O$66,11,FALSE),4)</f>
        <v>9.9184999999999999</v>
      </c>
      <c r="L37" s="21">
        <f>ROUND(VLOOKUP($B37,'[2]DUOS (t)'!$B$10:$O$66,12,FALSE),4)</f>
        <v>2.5350000000000001</v>
      </c>
      <c r="M37" s="21"/>
      <c r="N37" s="22"/>
      <c r="O37" s="22"/>
    </row>
    <row r="38" spans="1:15" s="43" customFormat="1" ht="14.25" customHeight="1" x14ac:dyDescent="0.2">
      <c r="A38" s="42"/>
      <c r="B38" s="19" t="s">
        <v>35</v>
      </c>
      <c r="C38" s="164" t="s">
        <v>59</v>
      </c>
      <c r="D38" s="165"/>
      <c r="E38" s="21">
        <f>ROUND(VLOOKUP($B38,'[2]DUOS (t)'!$B$10:$O$66,4,FALSE)/365,4)</f>
        <v>18.017299999999999</v>
      </c>
      <c r="F38" s="21">
        <f>ROUND(VLOOKUP($B38,'[2]DUOS (t)'!$B$10:$O$66,6,FALSE),4)</f>
        <v>0.55400000000000005</v>
      </c>
      <c r="G38" s="21">
        <f>ROUND(VLOOKUP($B38,'[2]DUOS (t)'!$B$10:$O$66,7,FALSE),4)</f>
        <v>0.50129999999999997</v>
      </c>
      <c r="H38" s="21">
        <f>ROUND(VLOOKUP($B38,'[2]DUOS (t)'!$B$10:$O$66,8,FALSE),4)</f>
        <v>0.25800000000000001</v>
      </c>
      <c r="I38" s="21"/>
      <c r="J38" s="21">
        <f>ROUND(VLOOKUP($B38,'[2]DUOS (t)'!$B$10:$O$66,10,FALSE),4)</f>
        <v>9.3238000000000003</v>
      </c>
      <c r="K38" s="21">
        <f>ROUND(VLOOKUP($B38,'[2]DUOS (t)'!$B$10:$O$66,11,FALSE),4)</f>
        <v>8.4358000000000004</v>
      </c>
      <c r="L38" s="21">
        <f>ROUND(VLOOKUP($B38,'[2]DUOS (t)'!$B$10:$O$66,12,FALSE),4)</f>
        <v>2.5243000000000002</v>
      </c>
      <c r="M38" s="21"/>
      <c r="N38" s="22"/>
      <c r="O38" s="22"/>
    </row>
    <row r="39" spans="1:15" x14ac:dyDescent="0.2">
      <c r="B39" s="19" t="s">
        <v>170</v>
      </c>
      <c r="C39" s="33" t="s">
        <v>200</v>
      </c>
      <c r="D39" s="101"/>
      <c r="E39" s="21">
        <f>ROUND(VLOOKUP($B39,'[2]DUOS (t)'!$B$10:$O$66,4,FALSE)/365,4)</f>
        <v>6.6699000000000002</v>
      </c>
      <c r="F39" s="21">
        <f>ROUND(VLOOKUP($B39,'[2]DUOS (t)'!$B$10:$O$66,6,FALSE),4)</f>
        <v>11.493499999999999</v>
      </c>
      <c r="G39" s="21">
        <f>ROUND(VLOOKUP($B39,'[2]DUOS (t)'!$B$10:$O$66,7,FALSE),4)</f>
        <v>9.4032</v>
      </c>
      <c r="H39" s="21">
        <f>ROUND(VLOOKUP($B39,'[2]DUOS (t)'!$B$10:$O$66,8,FALSE),4)</f>
        <v>4.3181000000000003</v>
      </c>
      <c r="I39" s="21">
        <f>ROUND(VLOOKUP($B39,'[2]DUOS (t)'!$B$10:$O$66,9,FALSE),4)</f>
        <v>0</v>
      </c>
      <c r="J39" s="21"/>
      <c r="K39" s="21"/>
      <c r="L39" s="21"/>
      <c r="M39" s="21">
        <f>ROUND(VLOOKUP($B39,'[2]DUOS (t)'!$B$10:$O$66,13,FALSE),4)</f>
        <v>0</v>
      </c>
    </row>
    <row r="40" spans="1:15" ht="28.5" x14ac:dyDescent="0.2">
      <c r="B40" s="20" t="s">
        <v>81</v>
      </c>
      <c r="C40" s="33" t="s">
        <v>48</v>
      </c>
      <c r="D40" s="101"/>
      <c r="E40" s="21">
        <f>ROUND(VLOOKUP("BLND1CO",'[2]DUOS (t)'!$B$10:$O$66,4,FALSE)/365,4)</f>
        <v>19.6374</v>
      </c>
      <c r="F40" s="21">
        <f>ROUND(VLOOKUP("BLND1CO",'[2]DUOS (t)'!$B$10:$O$66,6,FALSE),4)</f>
        <v>1.9035</v>
      </c>
      <c r="G40" s="21">
        <f>ROUND(VLOOKUP("BLND1CO",'[2]DUOS (t)'!$B$10:$O$66,7,FALSE),4)</f>
        <v>1.5898000000000001</v>
      </c>
      <c r="H40" s="21">
        <f>ROUND(VLOOKUP("BLND1CO",'[2]DUOS (t)'!$B$10:$O$66,8,FALSE),4)</f>
        <v>0.31859999999999999</v>
      </c>
      <c r="I40" s="21">
        <f>ROUND(VLOOKUP("BLND1CO",'[2]DUOS (t)'!$B$10:$O$66,9,FALSE),4)</f>
        <v>16.299099999999999</v>
      </c>
      <c r="J40" s="21"/>
      <c r="K40" s="21"/>
      <c r="L40" s="21"/>
      <c r="M40" s="21"/>
    </row>
    <row r="41" spans="1:15" x14ac:dyDescent="0.2">
      <c r="B41" s="19" t="s">
        <v>20</v>
      </c>
      <c r="C41" s="33" t="s">
        <v>55</v>
      </c>
      <c r="D41" s="101"/>
      <c r="E41" s="21">
        <f>ROUND(VLOOKUP($B41,'[2]DUOS (t)'!$B$10:$O$66,4,FALSE)/365,4)</f>
        <v>15.230499999999999</v>
      </c>
      <c r="F41" s="21">
        <f>ROUND(VLOOKUP($B41,'[2]DUOS (t)'!$B$10:$O$66,6,FALSE),4)</f>
        <v>7.5496999999999996</v>
      </c>
      <c r="G41" s="21">
        <f>ROUND(VLOOKUP($B41,'[2]DUOS (t)'!$B$10:$O$66,7,FALSE),4)</f>
        <v>6.3053999999999997</v>
      </c>
      <c r="H41" s="21">
        <f>ROUND(VLOOKUP($B41,'[2]DUOS (t)'!$B$10:$O$66,8,FALSE),4)</f>
        <v>1.8339000000000001</v>
      </c>
      <c r="I41" s="21">
        <f>ROUND(VLOOKUP($B41,'[2]DUOS (t)'!$B$10:$O$66,9,FALSE),4)</f>
        <v>10.825699999999999</v>
      </c>
      <c r="J41" s="21"/>
      <c r="K41" s="21"/>
      <c r="L41" s="21"/>
      <c r="M41" s="21">
        <f>ROUND(VLOOKUP($B41,'[2]DUOS (t)'!$B$10:$O$66,13,FALSE),4)</f>
        <v>3.9356</v>
      </c>
    </row>
    <row r="42" spans="1:15" x14ac:dyDescent="0.2">
      <c r="B42" s="19" t="s">
        <v>21</v>
      </c>
      <c r="C42" s="33" t="s">
        <v>54</v>
      </c>
      <c r="D42" s="101"/>
      <c r="E42" s="21">
        <f>ROUND(VLOOKUP($B42,'[2]DUOS (t)'!$B$10:$O$66,4,FALSE)/365,4)</f>
        <v>4.0979000000000001</v>
      </c>
      <c r="F42" s="21">
        <f>ROUND(VLOOKUP($B42,'[2]DUOS (t)'!$B$10:$O$66,6,FALSE),4)</f>
        <v>9.1293000000000006</v>
      </c>
      <c r="G42" s="21">
        <f>ROUND(VLOOKUP($B42,'[2]DUOS (t)'!$B$10:$O$66,7,FALSE),4)</f>
        <v>7.6246999999999998</v>
      </c>
      <c r="H42" s="21">
        <f>ROUND(VLOOKUP($B42,'[2]DUOS (t)'!$B$10:$O$66,8,FALSE),4)</f>
        <v>3.2119</v>
      </c>
      <c r="I42" s="21">
        <f>ROUND(VLOOKUP($B42,'[2]DUOS (t)'!$B$10:$O$66,9,FALSE),4)</f>
        <v>10.617900000000001</v>
      </c>
      <c r="J42" s="21"/>
      <c r="K42" s="21"/>
      <c r="L42" s="21"/>
      <c r="M42" s="21">
        <f>ROUND(VLOOKUP($B42,'[2]DUOS (t)'!$B$10:$O$66,13,FALSE),4)</f>
        <v>3.9405999999999999</v>
      </c>
    </row>
    <row r="43" spans="1:15" s="46" customFormat="1" x14ac:dyDescent="0.2">
      <c r="A43" s="45"/>
      <c r="B43" s="19" t="s">
        <v>22</v>
      </c>
      <c r="C43" s="33" t="s">
        <v>56</v>
      </c>
      <c r="D43" s="102"/>
      <c r="E43" s="21">
        <f>ROUND(VLOOKUP($B43,'[2]DUOS (t)'!$B$10:$O$66,4,FALSE)/365,4)</f>
        <v>25.1982</v>
      </c>
      <c r="F43" s="21">
        <f>ROUND(VLOOKUP($B43,'[2]DUOS (t)'!$B$10:$O$66,6,FALSE),4)</f>
        <v>2.4161999999999999</v>
      </c>
      <c r="G43" s="21">
        <f>ROUND(VLOOKUP($B43,'[2]DUOS (t)'!$B$10:$O$66,7,FALSE),4)</f>
        <v>2.2303999999999999</v>
      </c>
      <c r="H43" s="21">
        <f>ROUND(VLOOKUP($B43,'[2]DUOS (t)'!$B$10:$O$66,8,FALSE),4)</f>
        <v>0.48420000000000002</v>
      </c>
      <c r="I43" s="21">
        <f>ROUND(VLOOKUP($B43,'[2]DUOS (t)'!$B$10:$O$66,9,FALSE),4)</f>
        <v>11.8819</v>
      </c>
      <c r="J43" s="21"/>
      <c r="K43" s="21"/>
      <c r="L43" s="21"/>
      <c r="M43" s="21"/>
    </row>
    <row r="44" spans="1:15" ht="28.5" x14ac:dyDescent="0.2">
      <c r="B44" s="20" t="s">
        <v>80</v>
      </c>
      <c r="C44" s="33" t="s">
        <v>57</v>
      </c>
      <c r="D44" s="101"/>
      <c r="E44" s="21">
        <f>ROUND(VLOOKUP("BHND1SO",'[2]DUOS (t)'!$B$10:$O$66,4,FALSE)/365,4)</f>
        <v>18.782599999999999</v>
      </c>
      <c r="F44" s="21">
        <f>ROUND(VLOOKUP("BHND1SO",'[2]DUOS (t)'!$B$10:$O$66,6,FALSE),4)</f>
        <v>1.8181</v>
      </c>
      <c r="G44" s="21">
        <f>ROUND(VLOOKUP("BHND1SO",'[2]DUOS (t)'!$B$10:$O$66,7,FALSE),4)</f>
        <v>1.6782999999999999</v>
      </c>
      <c r="H44" s="21">
        <f>ROUND(VLOOKUP("BHND1SO",'[2]DUOS (t)'!$B$10:$O$66,8,FALSE),4)</f>
        <v>1.7690999999999999</v>
      </c>
      <c r="I44" s="21">
        <f>ROUND(VLOOKUP("BHND1SO",'[2]DUOS (t)'!$B$10:$O$66,9,FALSE),4)</f>
        <v>8.5807000000000002</v>
      </c>
      <c r="J44" s="21"/>
      <c r="K44" s="21"/>
      <c r="L44" s="21"/>
      <c r="M44" s="21">
        <f>ROUND(VLOOKUP("BHND1SO",'[2]DUOS (t)'!$B$10:$O$66,13,FALSE),4)</f>
        <v>3.1600999999999999</v>
      </c>
    </row>
  </sheetData>
  <mergeCells count="27">
    <mergeCell ref="K24:L24"/>
    <mergeCell ref="B3:F3"/>
    <mergeCell ref="D10:E10"/>
    <mergeCell ref="D11:E11"/>
    <mergeCell ref="D15:E15"/>
    <mergeCell ref="I3:J3"/>
    <mergeCell ref="B5:B7"/>
    <mergeCell ref="C5:C7"/>
    <mergeCell ref="D5:E7"/>
    <mergeCell ref="D21:E21"/>
    <mergeCell ref="D23:E23"/>
    <mergeCell ref="D17:E17"/>
    <mergeCell ref="D18:E18"/>
    <mergeCell ref="D19:E19"/>
    <mergeCell ref="D22:E22"/>
    <mergeCell ref="D9:E9"/>
    <mergeCell ref="D12:E12"/>
    <mergeCell ref="D14:E14"/>
    <mergeCell ref="D20:E20"/>
    <mergeCell ref="C37:D37"/>
    <mergeCell ref="D24:E24"/>
    <mergeCell ref="C38:D38"/>
    <mergeCell ref="D31:E31"/>
    <mergeCell ref="D25:E25"/>
    <mergeCell ref="D26:E26"/>
    <mergeCell ref="D28:E28"/>
    <mergeCell ref="D29:E29"/>
  </mergeCells>
  <pageMargins left="0.39370078740157483" right="0.39370078740157483" top="0.39370078740157483" bottom="0.39370078740157483" header="0.51181102362204722" footer="0.51181102362204722"/>
  <pageSetup paperSize="9" scale="67" fitToHeight="0" orientation="landscape" r:id="rId1"/>
  <headerFooter alignWithMargins="0"/>
  <ignoredErrors>
    <ignoredError sqref="F16 F32:M36 F45:N45 G16:M16 F30:F31 G30:M31"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2:S44"/>
  <sheetViews>
    <sheetView showGridLines="0" zoomScale="70" zoomScaleNormal="70" zoomScaleSheetLayoutView="58" workbookViewId="0">
      <selection activeCell="F24" sqref="F24"/>
    </sheetView>
  </sheetViews>
  <sheetFormatPr defaultColWidth="8.88671875" defaultRowHeight="14.25" x14ac:dyDescent="0.2"/>
  <cols>
    <col min="1" max="1" width="1.88671875" style="15" customWidth="1"/>
    <col min="2" max="2" width="26" style="8" customWidth="1"/>
    <col min="3" max="3" width="29.77734375" style="8" customWidth="1"/>
    <col min="4" max="4" width="11.21875" style="8" customWidth="1"/>
    <col min="5" max="5" width="17.88671875" style="8" customWidth="1"/>
    <col min="6" max="16" width="10.5546875" style="8" customWidth="1"/>
    <col min="17" max="17" width="8.5546875" style="8" customWidth="1"/>
    <col min="18" max="18" width="63.77734375" style="8" customWidth="1"/>
    <col min="19" max="16384" width="8.88671875" style="8"/>
  </cols>
  <sheetData>
    <row r="2" spans="1:19" ht="33" x14ac:dyDescent="0.45">
      <c r="A2" s="1"/>
      <c r="B2" s="2" t="s">
        <v>178</v>
      </c>
      <c r="C2" s="3"/>
      <c r="D2" s="3"/>
      <c r="E2" s="3"/>
      <c r="F2" s="3"/>
      <c r="G2" s="4"/>
      <c r="H2" s="5"/>
      <c r="I2" s="5"/>
      <c r="J2" s="5"/>
      <c r="K2" s="4"/>
      <c r="L2" s="6"/>
      <c r="M2" s="7"/>
    </row>
    <row r="3" spans="1:19" ht="15.75" x14ac:dyDescent="0.25">
      <c r="A3" s="1"/>
      <c r="B3" s="141" t="str">
        <f>'Price List_Excl GST'!B3:F3</f>
        <v>Effective 1 July 2020</v>
      </c>
      <c r="C3" s="142"/>
      <c r="D3" s="142"/>
      <c r="E3" s="142"/>
      <c r="F3" s="142"/>
      <c r="G3" s="9"/>
      <c r="H3" s="9"/>
      <c r="I3" s="137"/>
      <c r="J3" s="137"/>
      <c r="K3" s="9"/>
      <c r="L3" s="9"/>
      <c r="M3" s="10"/>
    </row>
    <row r="4" spans="1:19" ht="15" x14ac:dyDescent="0.25">
      <c r="A4" s="1"/>
      <c r="B4" s="11"/>
      <c r="C4" s="12"/>
      <c r="D4" s="13"/>
      <c r="E4" s="13"/>
      <c r="F4" s="13"/>
      <c r="G4" s="13"/>
      <c r="H4" s="13"/>
      <c r="I4" s="13"/>
      <c r="J4" s="13"/>
      <c r="K4" s="13"/>
      <c r="L4" s="13"/>
      <c r="M4" s="14"/>
    </row>
    <row r="5" spans="1:19" ht="15" x14ac:dyDescent="0.25">
      <c r="B5" s="131" t="s">
        <v>107</v>
      </c>
      <c r="C5" s="131" t="s">
        <v>24</v>
      </c>
      <c r="D5" s="168" t="s">
        <v>9</v>
      </c>
      <c r="E5" s="169"/>
      <c r="F5" s="57" t="s">
        <v>1</v>
      </c>
      <c r="G5" s="57" t="s">
        <v>2</v>
      </c>
      <c r="H5" s="40" t="s">
        <v>2</v>
      </c>
      <c r="I5" s="40" t="s">
        <v>2</v>
      </c>
      <c r="J5" s="40" t="s">
        <v>2</v>
      </c>
      <c r="K5" s="40" t="s">
        <v>4</v>
      </c>
      <c r="L5" s="40" t="s">
        <v>5</v>
      </c>
      <c r="M5" s="40" t="s">
        <v>6</v>
      </c>
    </row>
    <row r="6" spans="1:19" ht="15" x14ac:dyDescent="0.2">
      <c r="B6" s="132"/>
      <c r="C6" s="132"/>
      <c r="D6" s="146"/>
      <c r="E6" s="147"/>
      <c r="F6" s="83" t="s">
        <v>10</v>
      </c>
      <c r="G6" s="83" t="s">
        <v>174</v>
      </c>
      <c r="H6" s="83" t="s">
        <v>4</v>
      </c>
      <c r="I6" s="83" t="s">
        <v>5</v>
      </c>
      <c r="J6" s="83" t="s">
        <v>6</v>
      </c>
      <c r="K6" s="83" t="s">
        <v>3</v>
      </c>
      <c r="L6" s="83" t="s">
        <v>3</v>
      </c>
      <c r="M6" s="83" t="s">
        <v>3</v>
      </c>
    </row>
    <row r="7" spans="1:19" ht="15" x14ac:dyDescent="0.2">
      <c r="B7" s="133"/>
      <c r="C7" s="133"/>
      <c r="D7" s="170"/>
      <c r="E7" s="171"/>
      <c r="F7" s="83" t="s">
        <v>13</v>
      </c>
      <c r="G7" s="83" t="s">
        <v>14</v>
      </c>
      <c r="H7" s="83" t="s">
        <v>14</v>
      </c>
      <c r="I7" s="83" t="s">
        <v>14</v>
      </c>
      <c r="J7" s="83" t="s">
        <v>14</v>
      </c>
      <c r="K7" s="83" t="s">
        <v>15</v>
      </c>
      <c r="L7" s="83" t="s">
        <v>15</v>
      </c>
      <c r="M7" s="83" t="s">
        <v>15</v>
      </c>
    </row>
    <row r="8" spans="1:19" s="18" customFormat="1" ht="18" x14ac:dyDescent="0.25">
      <c r="A8" s="16"/>
      <c r="B8" s="60" t="s">
        <v>16</v>
      </c>
      <c r="C8" s="61"/>
      <c r="D8" s="62"/>
      <c r="E8" s="63"/>
      <c r="F8" s="64"/>
      <c r="G8" s="64"/>
      <c r="H8" s="64"/>
      <c r="I8" s="64"/>
      <c r="J8" s="64"/>
      <c r="K8" s="64"/>
      <c r="L8" s="64"/>
      <c r="M8" s="64"/>
      <c r="N8" s="65"/>
      <c r="O8" s="65"/>
    </row>
    <row r="9" spans="1:19" ht="14.25" customHeight="1" x14ac:dyDescent="0.2">
      <c r="B9" s="19" t="s">
        <v>25</v>
      </c>
      <c r="C9" s="20"/>
      <c r="D9" s="134" t="s">
        <v>181</v>
      </c>
      <c r="E9" s="135"/>
      <c r="F9" s="21">
        <f>ROUND(VLOOKUP($B9,'[2]TUOS (t)'!$B$10:$O$66,4,FALSE)/365,4)</f>
        <v>0</v>
      </c>
      <c r="G9" s="21">
        <f>ROUND(VLOOKUP($B9,'[2]TUOS (t)'!$B$10:$O$66,5,FALSE),4)</f>
        <v>2.0785</v>
      </c>
      <c r="H9" s="21"/>
      <c r="I9" s="21"/>
      <c r="J9" s="21"/>
      <c r="K9" s="21"/>
      <c r="L9" s="21"/>
      <c r="M9" s="21"/>
      <c r="N9" s="22"/>
      <c r="O9" s="22"/>
    </row>
    <row r="10" spans="1:19" ht="14.25" customHeight="1" x14ac:dyDescent="0.2">
      <c r="B10" s="19" t="s">
        <v>26</v>
      </c>
      <c r="C10" s="20"/>
      <c r="D10" s="134" t="s">
        <v>42</v>
      </c>
      <c r="E10" s="135"/>
      <c r="F10" s="21">
        <f>ROUND(VLOOKUP($B10,'[2]TUOS (t)'!$B$10:$O$66,4,FALSE)/365,4)</f>
        <v>0</v>
      </c>
      <c r="G10" s="21"/>
      <c r="H10" s="21">
        <f>ROUND(VLOOKUP($B10,'[2]TUOS (t)'!$B$10:$O$66,6,FALSE),4)</f>
        <v>3.0891000000000002</v>
      </c>
      <c r="I10" s="21">
        <f>ROUND(VLOOKUP($B10,'[2]TUOS (t)'!$B$10:$O$66,7,FALSE),4)</f>
        <v>2.5952999999999999</v>
      </c>
      <c r="J10" s="21">
        <f>ROUND(VLOOKUP($B10,'[2]TUOS (t)'!$B$10:$O$66,8,FALSE),4)</f>
        <v>1.5355000000000001</v>
      </c>
      <c r="K10" s="21"/>
      <c r="L10" s="21"/>
      <c r="M10" s="21"/>
      <c r="N10" s="22"/>
      <c r="O10" s="22"/>
      <c r="P10" s="56"/>
      <c r="Q10" s="22"/>
      <c r="R10" s="22"/>
    </row>
    <row r="11" spans="1:19" ht="14.25" customHeight="1" x14ac:dyDescent="0.2">
      <c r="B11" s="19" t="s">
        <v>167</v>
      </c>
      <c r="C11" s="20"/>
      <c r="D11" s="134" t="s">
        <v>168</v>
      </c>
      <c r="E11" s="135"/>
      <c r="F11" s="21">
        <f>ROUND(VLOOKUP($B11,'[2]TUOS (t)'!$B$10:$O$66,4,FALSE)/365,4)</f>
        <v>0</v>
      </c>
      <c r="G11" s="21"/>
      <c r="H11" s="21">
        <f>ROUND(VLOOKUP($B11,'[2]TUOS (t)'!$B$10:$O$66,6,FALSE),4)</f>
        <v>3.0891000000000002</v>
      </c>
      <c r="I11" s="21">
        <f>ROUND(VLOOKUP($B11,'[2]TUOS (t)'!$B$10:$O$66,7,FALSE),4)</f>
        <v>2.5952999999999999</v>
      </c>
      <c r="J11" s="21">
        <f>ROUND(VLOOKUP($B11,'[2]TUOS (t)'!$B$10:$O$66,8,FALSE),4)</f>
        <v>1.5355000000000001</v>
      </c>
      <c r="K11" s="21"/>
      <c r="L11" s="21"/>
      <c r="M11" s="21"/>
      <c r="N11" s="22"/>
      <c r="O11" s="22"/>
      <c r="P11" s="22"/>
      <c r="Q11" s="22"/>
      <c r="R11" s="22"/>
      <c r="S11" s="22"/>
    </row>
    <row r="12" spans="1:19" ht="14.25" customHeight="1" x14ac:dyDescent="0.2">
      <c r="B12" s="19" t="s">
        <v>169</v>
      </c>
      <c r="C12" s="20"/>
      <c r="D12" s="134" t="s">
        <v>183</v>
      </c>
      <c r="E12" s="135"/>
      <c r="F12" s="21">
        <f>ROUND(VLOOKUP($B12,'[2]TUOS (t)'!$B$10:$O$66,4,FALSE)/365,4)</f>
        <v>0</v>
      </c>
      <c r="G12" s="21"/>
      <c r="H12" s="21">
        <f>ROUND(VLOOKUP($B12,'[2]TUOS (t)'!$B$10:$O$66,6,FALSE),4)</f>
        <v>3.0891000000000002</v>
      </c>
      <c r="I12" s="21">
        <f>ROUND(VLOOKUP($B12,'[2]TUOS (t)'!$B$10:$O$66,7,FALSE),4)</f>
        <v>2.5952999999999999</v>
      </c>
      <c r="J12" s="21">
        <f>ROUND(VLOOKUP($B12,'[2]TUOS (t)'!$B$10:$O$66,8,FALSE),4)</f>
        <v>1.5355000000000001</v>
      </c>
      <c r="K12" s="21">
        <f>ROUND(VLOOKUP($B12,'[2]TUOS (t)'!$B$10:$O$66,10,FALSE),4)</f>
        <v>0</v>
      </c>
      <c r="L12" s="127"/>
      <c r="M12" s="21"/>
      <c r="N12" s="22"/>
      <c r="O12" s="22"/>
      <c r="P12" s="22"/>
      <c r="Q12" s="22"/>
      <c r="R12" s="22"/>
      <c r="S12" s="22"/>
    </row>
    <row r="13" spans="1:19" ht="18" x14ac:dyDescent="0.25">
      <c r="B13" s="61" t="s">
        <v>19</v>
      </c>
      <c r="C13" s="61"/>
      <c r="D13" s="66"/>
      <c r="E13" s="67"/>
      <c r="F13" s="68"/>
      <c r="G13" s="69"/>
      <c r="H13" s="69"/>
      <c r="I13" s="69"/>
      <c r="J13" s="69"/>
      <c r="K13" s="69"/>
      <c r="L13" s="69"/>
      <c r="M13" s="69"/>
      <c r="N13" s="70"/>
      <c r="O13" s="70"/>
      <c r="P13" s="22"/>
      <c r="Q13" s="22"/>
      <c r="R13" s="22"/>
      <c r="S13" s="22"/>
    </row>
    <row r="14" spans="1:19" ht="14.25" customHeight="1" x14ac:dyDescent="0.2">
      <c r="B14" s="19" t="s">
        <v>27</v>
      </c>
      <c r="C14" s="20"/>
      <c r="D14" s="134" t="s">
        <v>39</v>
      </c>
      <c r="E14" s="135"/>
      <c r="F14" s="21">
        <f>ROUND(VLOOKUP($B14,'[2]TUOS (t)'!$B$10:$O$66,4,FALSE)/365,4)</f>
        <v>0</v>
      </c>
      <c r="G14" s="21">
        <f>ROUND(VLOOKUP($B14,'[2]TUOS (t)'!$B$10:$O$66,5,FALSE),4)</f>
        <v>1.5355000000000001</v>
      </c>
      <c r="H14" s="21"/>
      <c r="I14" s="21"/>
      <c r="J14" s="21"/>
      <c r="K14" s="21"/>
      <c r="L14" s="21"/>
      <c r="M14" s="21"/>
      <c r="N14" s="22"/>
      <c r="O14" s="22"/>
      <c r="P14" s="22"/>
      <c r="Q14" s="22"/>
      <c r="R14" s="22"/>
      <c r="S14" s="22"/>
    </row>
    <row r="15" spans="1:19" ht="14.25" customHeight="1" x14ac:dyDescent="0.2">
      <c r="B15" s="19" t="s">
        <v>28</v>
      </c>
      <c r="C15" s="20"/>
      <c r="D15" s="134" t="s">
        <v>40</v>
      </c>
      <c r="E15" s="135"/>
      <c r="F15" s="21">
        <f>ROUND(VLOOKUP($B15,'[2]TUOS (t)'!$B$10:$O$66,4,FALSE)/365,4)</f>
        <v>0</v>
      </c>
      <c r="G15" s="21">
        <f>ROUND(VLOOKUP($B15,'[2]TUOS (t)'!$B$10:$O$66,5,FALSE),4)</f>
        <v>1.9804999999999999</v>
      </c>
      <c r="H15" s="21"/>
      <c r="I15" s="21"/>
      <c r="J15" s="21"/>
      <c r="K15" s="21"/>
      <c r="L15" s="21"/>
      <c r="M15" s="21"/>
      <c r="N15" s="22"/>
      <c r="O15" s="22"/>
      <c r="P15" s="22"/>
      <c r="Q15" s="22"/>
      <c r="R15" s="22"/>
    </row>
    <row r="16" spans="1:19" ht="18" x14ac:dyDescent="0.25">
      <c r="B16" s="71" t="s">
        <v>18</v>
      </c>
      <c r="C16" s="71"/>
      <c r="D16" s="72"/>
      <c r="E16" s="73"/>
      <c r="F16" s="74"/>
      <c r="G16" s="74"/>
      <c r="H16" s="74"/>
      <c r="I16" s="74"/>
      <c r="J16" s="74"/>
      <c r="K16" s="74"/>
      <c r="L16" s="74"/>
      <c r="M16" s="74"/>
      <c r="N16" s="70"/>
      <c r="O16" s="70"/>
      <c r="P16" s="22"/>
      <c r="Q16" s="22"/>
      <c r="R16" s="22"/>
      <c r="S16" s="22"/>
    </row>
    <row r="17" spans="2:19" ht="14.25" customHeight="1" x14ac:dyDescent="0.2">
      <c r="B17" s="19" t="s">
        <v>29</v>
      </c>
      <c r="C17" s="20"/>
      <c r="D17" s="134" t="s">
        <v>182</v>
      </c>
      <c r="E17" s="135"/>
      <c r="F17" s="21">
        <f>ROUND(VLOOKUP($B17,'[2]TUOS (t)'!$B$10:$O$66,4,FALSE)/365,4)</f>
        <v>0</v>
      </c>
      <c r="G17" s="21">
        <f>ROUND(VLOOKUP($B17,'[2]TUOS (t)'!$B$10:$O$66,5,FALSE),4)</f>
        <v>2.0785</v>
      </c>
      <c r="H17" s="21"/>
      <c r="I17" s="21"/>
      <c r="J17" s="21"/>
      <c r="K17" s="21"/>
      <c r="L17" s="21"/>
      <c r="M17" s="21"/>
      <c r="N17" s="22"/>
      <c r="O17" s="22"/>
      <c r="P17" s="22"/>
      <c r="Q17" s="22"/>
      <c r="R17" s="22"/>
      <c r="S17" s="22"/>
    </row>
    <row r="18" spans="2:19" ht="14.25" customHeight="1" x14ac:dyDescent="0.2">
      <c r="B18" s="19" t="s">
        <v>30</v>
      </c>
      <c r="C18" s="20"/>
      <c r="D18" s="134" t="s">
        <v>43</v>
      </c>
      <c r="E18" s="135"/>
      <c r="F18" s="21">
        <f>ROUND(VLOOKUP($B18,'[2]TUOS (t)'!$B$10:$O$66,4,FALSE)/365,4)</f>
        <v>0</v>
      </c>
      <c r="G18" s="21"/>
      <c r="H18" s="21">
        <f>ROUND(VLOOKUP($B18,'[2]TUOS (t)'!$B$10:$O$66,6,FALSE),4)</f>
        <v>3.0891000000000002</v>
      </c>
      <c r="I18" s="21">
        <f>ROUND(VLOOKUP($B18,'[2]TUOS (t)'!$B$10:$O$66,7,FALSE),4)</f>
        <v>2.5952999999999999</v>
      </c>
      <c r="J18" s="21">
        <f>ROUND(VLOOKUP($B18,'[2]TUOS (t)'!$B$10:$O$66,8,FALSE),4)</f>
        <v>1.5355000000000001</v>
      </c>
      <c r="K18" s="21"/>
      <c r="L18" s="21"/>
      <c r="M18" s="21"/>
      <c r="N18" s="22"/>
      <c r="O18" s="22"/>
    </row>
    <row r="19" spans="2:19" ht="14.25" customHeight="1" x14ac:dyDescent="0.2">
      <c r="B19" s="19" t="s">
        <v>171</v>
      </c>
      <c r="C19" s="20"/>
      <c r="D19" s="134" t="s">
        <v>172</v>
      </c>
      <c r="E19" s="135"/>
      <c r="F19" s="21">
        <f>ROUND(VLOOKUP($B19,'[2]TUOS (t)'!$B$10:$O$66,4,FALSE)/365,4)</f>
        <v>0</v>
      </c>
      <c r="G19" s="21"/>
      <c r="H19" s="21">
        <f>ROUND(VLOOKUP($B19,'[2]TUOS (t)'!$B$10:$O$66,6,FALSE),4)</f>
        <v>3.0891000000000002</v>
      </c>
      <c r="I19" s="21">
        <f>ROUND(VLOOKUP($B19,'[2]TUOS (t)'!$B$10:$O$66,7,FALSE),4)</f>
        <v>2.5952999999999999</v>
      </c>
      <c r="J19" s="21">
        <f>ROUND(VLOOKUP($B19,'[2]TUOS (t)'!$B$10:$O$66,8,FALSE),4)</f>
        <v>1.5355000000000001</v>
      </c>
      <c r="K19" s="21"/>
      <c r="L19" s="21"/>
      <c r="M19" s="21"/>
      <c r="N19" s="22"/>
      <c r="O19" s="22"/>
    </row>
    <row r="20" spans="2:19" ht="14.25" customHeight="1" x14ac:dyDescent="0.2">
      <c r="B20" s="19" t="s">
        <v>173</v>
      </c>
      <c r="C20" s="20"/>
      <c r="D20" s="134" t="s">
        <v>184</v>
      </c>
      <c r="E20" s="135"/>
      <c r="F20" s="21">
        <f>ROUND(VLOOKUP($B20,'[2]TUOS (t)'!$B$10:$O$66,4,FALSE)/365,4)</f>
        <v>0</v>
      </c>
      <c r="G20" s="21"/>
      <c r="H20" s="21">
        <f>ROUND(VLOOKUP($B20,'[2]TUOS (t)'!$B$10:$O$66,6,FALSE),4)</f>
        <v>3.0891000000000002</v>
      </c>
      <c r="I20" s="21">
        <f>ROUND(VLOOKUP($B20,'[2]TUOS (t)'!$B$10:$O$66,7,FALSE),4)</f>
        <v>2.5952999999999999</v>
      </c>
      <c r="J20" s="21">
        <f>ROUND(VLOOKUP($B20,'[2]TUOS (t)'!$B$10:$O$66,8,FALSE),4)</f>
        <v>1.5355000000000001</v>
      </c>
      <c r="K20" s="21">
        <f>ROUND(VLOOKUP($B20,'[2]TUOS (t)'!$B$10:$O$66,10,FALSE),4)</f>
        <v>0</v>
      </c>
      <c r="L20" s="127"/>
      <c r="M20" s="21"/>
      <c r="N20" s="22"/>
      <c r="O20" s="22"/>
    </row>
    <row r="21" spans="2:19" ht="14.25" customHeight="1" x14ac:dyDescent="0.2">
      <c r="B21" s="19" t="s">
        <v>31</v>
      </c>
      <c r="C21" s="20" t="s">
        <v>170</v>
      </c>
      <c r="D21" s="134" t="s">
        <v>116</v>
      </c>
      <c r="E21" s="135"/>
      <c r="F21" s="21">
        <f>ROUND(VLOOKUP($B21,'[2]TUOS (t)'!$B$10:$O$66,4,FALSE)/365,4)</f>
        <v>0</v>
      </c>
      <c r="G21" s="21"/>
      <c r="H21" s="21">
        <f>ROUND(VLOOKUP($B21,'[2]TUOS (t)'!$B$10:$O$66,6,FALSE),4)</f>
        <v>3.0891000000000002</v>
      </c>
      <c r="I21" s="21">
        <f>ROUND(VLOOKUP($B21,'[2]TUOS (t)'!$B$10:$O$66,7,FALSE),4)</f>
        <v>2.5952999999999999</v>
      </c>
      <c r="J21" s="21">
        <f>ROUND(VLOOKUP($B21,'[2]TUOS (t)'!$B$10:$O$66,8,FALSE),4)</f>
        <v>1.5355000000000001</v>
      </c>
      <c r="K21" s="21"/>
      <c r="L21" s="21"/>
      <c r="M21" s="21"/>
      <c r="N21" s="22"/>
      <c r="O21" s="22"/>
    </row>
    <row r="22" spans="2:19" ht="14.25" customHeight="1" x14ac:dyDescent="0.2">
      <c r="B22" s="19" t="s">
        <v>175</v>
      </c>
      <c r="C22" s="20"/>
      <c r="D22" s="134" t="s">
        <v>176</v>
      </c>
      <c r="E22" s="135"/>
      <c r="F22" s="21">
        <f>ROUND(VLOOKUP($B22,'[2]TUOS (t)'!$B$10:$O$66,4,FALSE)/365,4)</f>
        <v>0</v>
      </c>
      <c r="G22" s="21"/>
      <c r="H22" s="21">
        <f>ROUND(VLOOKUP($B22,'[2]TUOS (t)'!$B$10:$O$66,6,FALSE),4)</f>
        <v>2.8553000000000002</v>
      </c>
      <c r="I22" s="21">
        <f>ROUND(VLOOKUP($B22,'[2]TUOS (t)'!$B$10:$O$66,7,FALSE),4)</f>
        <v>2.3988999999999998</v>
      </c>
      <c r="J22" s="21">
        <f>ROUND(VLOOKUP($B22,'[2]TUOS (t)'!$B$10:$O$66,8,FALSE),4)</f>
        <v>1.5068999999999999</v>
      </c>
      <c r="K22" s="21">
        <f>ROUND(VLOOKUP($B22,'[2]TUOS (t)'!$B$10:$O$66,10,FALSE),4)</f>
        <v>0</v>
      </c>
      <c r="L22" s="21">
        <f>ROUND(VLOOKUP($B22,'[2]TUOS (t)'!$B$10:$O$66,11,FALSE),4)</f>
        <v>0</v>
      </c>
      <c r="M22" s="21">
        <f>ROUND(VLOOKUP($B22,'[2]TUOS (t)'!$B$10:$O$66,12,FALSE),4)</f>
        <v>0</v>
      </c>
      <c r="N22" s="22"/>
      <c r="O22" s="22"/>
    </row>
    <row r="23" spans="2:19" ht="14.25" customHeight="1" x14ac:dyDescent="0.2">
      <c r="B23" s="19" t="s">
        <v>32</v>
      </c>
      <c r="C23" s="20"/>
      <c r="D23" s="134" t="s">
        <v>47</v>
      </c>
      <c r="E23" s="135"/>
      <c r="F23" s="21">
        <f>ROUND(VLOOKUP($B23,'[2]TUOS (t)'!$B$10:$O$66,4,FALSE)/365,4)</f>
        <v>0</v>
      </c>
      <c r="G23" s="21"/>
      <c r="H23" s="21">
        <f>ROUND(VLOOKUP($B23,'[2]TUOS (t)'!$B$10:$O$66,6,FALSE),4)</f>
        <v>2.7383000000000002</v>
      </c>
      <c r="I23" s="21">
        <f>ROUND(VLOOKUP($B23,'[2]TUOS (t)'!$B$10:$O$66,7,FALSE),4)</f>
        <v>2.3006000000000002</v>
      </c>
      <c r="J23" s="21">
        <f>ROUND(VLOOKUP($B23,'[2]TUOS (t)'!$B$10:$O$66,8,FALSE),4)</f>
        <v>1.4925999999999999</v>
      </c>
      <c r="K23" s="21">
        <f>ROUND(VLOOKUP($B23,'[2]TUOS (t)'!$B$10:$O$66,10,FALSE),4)</f>
        <v>0</v>
      </c>
      <c r="L23" s="21">
        <f>ROUND(VLOOKUP($B23,'[2]TUOS (t)'!$B$10:$O$66,11,FALSE),4)</f>
        <v>0</v>
      </c>
      <c r="M23" s="21">
        <f>ROUND(VLOOKUP($B23,'[2]TUOS (t)'!$B$10:$O$66,12,FALSE),4)</f>
        <v>0</v>
      </c>
      <c r="N23" s="22"/>
      <c r="O23" s="97"/>
    </row>
    <row r="24" spans="2:19" ht="14.25" customHeight="1" x14ac:dyDescent="0.2">
      <c r="B24" s="19" t="s">
        <v>61</v>
      </c>
      <c r="C24" s="20"/>
      <c r="D24" s="134" t="s">
        <v>74</v>
      </c>
      <c r="E24" s="135"/>
      <c r="F24" s="21">
        <f>ROUND(VLOOKUP($B24,'[2]TUOS (t)'!$B$10:$O$66,4,FALSE)/365,4)</f>
        <v>0</v>
      </c>
      <c r="G24" s="21"/>
      <c r="H24" s="21">
        <f>ROUND(VLOOKUP($B24,'[2]TUOS (t)'!$B$10:$O$66,6,FALSE),4)</f>
        <v>2.7383000000000002</v>
      </c>
      <c r="I24" s="21">
        <f>ROUND(VLOOKUP($B24,'[2]TUOS (t)'!$B$10:$O$66,7,FALSE),4)</f>
        <v>2.3006000000000002</v>
      </c>
      <c r="J24" s="21">
        <f>ROUND(VLOOKUP($B24,'[2]TUOS (t)'!$B$10:$O$66,8,FALSE),4)</f>
        <v>1.4925999999999999</v>
      </c>
      <c r="K24" s="129">
        <f>ROUND(VLOOKUP($B24,'[2]TUOS (t)'!$B$10:$O$66,10,FALSE),4)</f>
        <v>0</v>
      </c>
      <c r="L24" s="130"/>
      <c r="M24" s="21"/>
      <c r="N24" s="22"/>
      <c r="O24" s="22"/>
    </row>
    <row r="25" spans="2:19" ht="14.25" customHeight="1" x14ac:dyDescent="0.2">
      <c r="B25" s="19" t="s">
        <v>34</v>
      </c>
      <c r="C25" s="20"/>
      <c r="D25" s="134" t="s">
        <v>41</v>
      </c>
      <c r="E25" s="135"/>
      <c r="F25" s="21">
        <f>ROUND(VLOOKUP($B25,'[2]TUOS (t)'!$B$10:$O$66,4,FALSE)/365,4)</f>
        <v>0</v>
      </c>
      <c r="G25" s="21"/>
      <c r="H25" s="21">
        <f>ROUND(VLOOKUP($B25,'[2]TUOS (t)'!$B$10:$O$66,6,FALSE),4)</f>
        <v>1.9208000000000001</v>
      </c>
      <c r="I25" s="21">
        <f>ROUND(VLOOKUP($B25,'[2]TUOS (t)'!$B$10:$O$66,7,FALSE),4)</f>
        <v>1.6137999999999999</v>
      </c>
      <c r="J25" s="21">
        <f>ROUND(VLOOKUP($B25,'[2]TUOS (t)'!$B$10:$O$66,8,FALSE),4)</f>
        <v>1.3323</v>
      </c>
      <c r="K25" s="21">
        <f>ROUND(VLOOKUP($B25,'[2]TUOS (t)'!$B$10:$O$66,10,FALSE),4)</f>
        <v>0</v>
      </c>
      <c r="L25" s="21">
        <f>ROUND(VLOOKUP($B25,'[2]TUOS (t)'!$B$10:$O$66,11,FALSE),4)</f>
        <v>0</v>
      </c>
      <c r="M25" s="21">
        <f>ROUND(VLOOKUP($B25,'[2]TUOS (t)'!$B$10:$O$66,12,FALSE),4)</f>
        <v>0</v>
      </c>
      <c r="N25" s="22"/>
      <c r="O25" s="22"/>
    </row>
    <row r="26" spans="2:19" ht="14.25" customHeight="1" x14ac:dyDescent="0.2">
      <c r="B26" s="19" t="s">
        <v>23</v>
      </c>
      <c r="C26" s="20"/>
      <c r="D26" s="143" t="s">
        <v>38</v>
      </c>
      <c r="E26" s="144"/>
      <c r="F26" s="21">
        <f>ROUND(VLOOKUP($B26,'[2]TUOS (t)'!$B$10:$O$66,4,FALSE)/365,4)</f>
        <v>0</v>
      </c>
      <c r="G26" s="21"/>
      <c r="H26" s="21">
        <f>ROUND(VLOOKUP($B26,'[2]TUOS (t)'!$B$10:$O$66,6,FALSE),4)</f>
        <v>3.5815999999999999</v>
      </c>
      <c r="I26" s="21">
        <f>ROUND(VLOOKUP($B26,'[2]TUOS (t)'!$B$10:$O$66,7,FALSE),4)</f>
        <v>2.0832999999999999</v>
      </c>
      <c r="J26" s="21">
        <f>ROUND(VLOOKUP($B26,'[2]TUOS (t)'!$B$10:$O$66,8,FALSE),4)</f>
        <v>1.698</v>
      </c>
      <c r="K26" s="21">
        <f>ROUND(VLOOKUP($B26,'[2]TUOS (t)'!$B$10:$O$66,10,FALSE),4)</f>
        <v>0</v>
      </c>
      <c r="L26" s="21">
        <f>ROUND(VLOOKUP($B26,'[2]TUOS (t)'!$B$10:$O$66,11,FALSE),4)</f>
        <v>0</v>
      </c>
      <c r="M26" s="21">
        <f>ROUND(VLOOKUP($B26,'[2]TUOS (t)'!$B$10:$O$66,12,FALSE),4)</f>
        <v>0</v>
      </c>
    </row>
    <row r="27" spans="2:19" ht="18" x14ac:dyDescent="0.25">
      <c r="B27" s="71" t="s">
        <v>45</v>
      </c>
      <c r="C27" s="71"/>
      <c r="D27" s="72"/>
      <c r="E27" s="73"/>
      <c r="F27" s="75"/>
      <c r="G27" s="75"/>
      <c r="H27" s="75"/>
      <c r="I27" s="75"/>
      <c r="J27" s="75"/>
      <c r="K27" s="75"/>
      <c r="L27" s="75"/>
      <c r="M27" s="75"/>
      <c r="N27" s="65"/>
      <c r="O27" s="65"/>
    </row>
    <row r="28" spans="2:19" ht="14.25" customHeight="1" x14ac:dyDescent="0.2">
      <c r="B28" s="19" t="s">
        <v>36</v>
      </c>
      <c r="C28" s="20" t="s">
        <v>44</v>
      </c>
      <c r="D28" s="134" t="s">
        <v>109</v>
      </c>
      <c r="E28" s="135"/>
      <c r="F28" s="21">
        <f>ROUND(VLOOKUP($B28,'[2]TUOS (t)'!$B$10:$O$66,4,FALSE)/365,4)</f>
        <v>0</v>
      </c>
      <c r="G28" s="21">
        <f>ROUND(VLOOKUP($B28,'[2]TUOS (t)'!$B$10:$O$66,5,FALSE),4)</f>
        <v>2.0785</v>
      </c>
      <c r="H28" s="21"/>
      <c r="I28" s="21"/>
      <c r="J28" s="21"/>
      <c r="K28" s="21"/>
      <c r="L28" s="21"/>
      <c r="M28" s="21"/>
    </row>
    <row r="29" spans="2:19" ht="14.25" customHeight="1" x14ac:dyDescent="0.2">
      <c r="B29" s="19" t="s">
        <v>37</v>
      </c>
      <c r="C29" s="20"/>
      <c r="D29" s="134" t="s">
        <v>110</v>
      </c>
      <c r="E29" s="135"/>
      <c r="F29" s="21">
        <f>ROUND(VLOOKUP($B29,'[2]TUOS (t)'!$B$10:$O$66,4,FALSE)/365,4)</f>
        <v>0</v>
      </c>
      <c r="G29" s="21"/>
      <c r="H29" s="21">
        <f>ROUND(VLOOKUP($B29,'[2]TUOS (t)'!$B$10:$O$66,6,FALSE),4)</f>
        <v>3.0891000000000002</v>
      </c>
      <c r="I29" s="21">
        <f>ROUND(VLOOKUP($B29,'[2]TUOS (t)'!$B$10:$O$66,7,FALSE),4)</f>
        <v>2.5952999999999999</v>
      </c>
      <c r="J29" s="21">
        <f>ROUND(VLOOKUP($B29,'[2]TUOS (t)'!$B$10:$O$66,8,FALSE),4)</f>
        <v>1.5355000000000001</v>
      </c>
      <c r="K29" s="21"/>
      <c r="L29" s="21"/>
      <c r="M29" s="21"/>
    </row>
    <row r="30" spans="2:19" ht="18" x14ac:dyDescent="0.25">
      <c r="B30" s="71" t="s">
        <v>69</v>
      </c>
      <c r="C30" s="71"/>
      <c r="D30" s="72"/>
      <c r="E30" s="73"/>
      <c r="F30" s="75"/>
      <c r="G30" s="75"/>
      <c r="H30" s="75"/>
      <c r="I30" s="75"/>
      <c r="J30" s="75"/>
      <c r="K30" s="75"/>
      <c r="L30" s="75"/>
      <c r="M30" s="75"/>
      <c r="N30" s="65"/>
      <c r="O30" s="65"/>
    </row>
    <row r="31" spans="2:19" ht="14.25" customHeight="1" x14ac:dyDescent="0.2">
      <c r="B31" s="20" t="s">
        <v>50</v>
      </c>
      <c r="C31" s="20"/>
      <c r="D31" s="134" t="s">
        <v>51</v>
      </c>
      <c r="E31" s="135"/>
      <c r="F31" s="27" t="s">
        <v>52</v>
      </c>
      <c r="G31" s="27"/>
      <c r="H31" s="27" t="s">
        <v>52</v>
      </c>
      <c r="I31" s="27" t="s">
        <v>52</v>
      </c>
      <c r="J31" s="27" t="s">
        <v>52</v>
      </c>
      <c r="K31" s="27" t="s">
        <v>52</v>
      </c>
      <c r="L31" s="27" t="s">
        <v>52</v>
      </c>
      <c r="M31" s="27" t="s">
        <v>52</v>
      </c>
    </row>
    <row r="32" spans="2:19" ht="15" x14ac:dyDescent="0.25">
      <c r="B32" s="53" t="s">
        <v>53</v>
      </c>
      <c r="C32" s="47"/>
      <c r="D32" s="48"/>
      <c r="E32" s="37" t="s">
        <v>1</v>
      </c>
      <c r="F32" s="38" t="s">
        <v>2</v>
      </c>
      <c r="G32" s="38" t="s">
        <v>2</v>
      </c>
      <c r="H32" s="38" t="s">
        <v>2</v>
      </c>
      <c r="I32" s="37" t="s">
        <v>3</v>
      </c>
      <c r="J32" s="38" t="s">
        <v>4</v>
      </c>
      <c r="K32" s="38" t="s">
        <v>5</v>
      </c>
      <c r="L32" s="38" t="s">
        <v>6</v>
      </c>
      <c r="M32" s="39" t="s">
        <v>7</v>
      </c>
    </row>
    <row r="33" spans="1:15" ht="15" x14ac:dyDescent="0.25">
      <c r="B33" s="54" t="s">
        <v>0</v>
      </c>
      <c r="C33" s="49" t="s">
        <v>9</v>
      </c>
      <c r="D33" s="98"/>
      <c r="E33" s="40" t="s">
        <v>10</v>
      </c>
      <c r="F33" s="40" t="s">
        <v>4</v>
      </c>
      <c r="G33" s="40" t="s">
        <v>5</v>
      </c>
      <c r="H33" s="40" t="s">
        <v>6</v>
      </c>
      <c r="I33" s="40" t="s">
        <v>12</v>
      </c>
      <c r="J33" s="40" t="s">
        <v>3</v>
      </c>
      <c r="K33" s="40" t="s">
        <v>3</v>
      </c>
      <c r="L33" s="40" t="s">
        <v>3</v>
      </c>
      <c r="M33" s="41" t="s">
        <v>12</v>
      </c>
    </row>
    <row r="34" spans="1:15" ht="15" x14ac:dyDescent="0.25">
      <c r="B34" s="41" t="s">
        <v>8</v>
      </c>
      <c r="C34" s="50"/>
      <c r="D34" s="51"/>
      <c r="E34" s="40" t="s">
        <v>13</v>
      </c>
      <c r="F34" s="40" t="s">
        <v>14</v>
      </c>
      <c r="G34" s="40" t="s">
        <v>14</v>
      </c>
      <c r="H34" s="40" t="s">
        <v>14</v>
      </c>
      <c r="I34" s="40" t="s">
        <v>15</v>
      </c>
      <c r="J34" s="40" t="s">
        <v>15</v>
      </c>
      <c r="K34" s="40" t="s">
        <v>15</v>
      </c>
      <c r="L34" s="40" t="s">
        <v>15</v>
      </c>
      <c r="M34" s="40" t="s">
        <v>15</v>
      </c>
    </row>
    <row r="35" spans="1:15" ht="26.25" x14ac:dyDescent="0.25">
      <c r="B35" s="52"/>
      <c r="C35" s="55"/>
      <c r="D35" s="99"/>
      <c r="E35" s="17" t="s">
        <v>86</v>
      </c>
      <c r="F35" s="17" t="s">
        <v>86</v>
      </c>
      <c r="G35" s="17" t="s">
        <v>86</v>
      </c>
      <c r="H35" s="17" t="s">
        <v>86</v>
      </c>
      <c r="I35" s="17" t="s">
        <v>86</v>
      </c>
      <c r="J35" s="17" t="s">
        <v>86</v>
      </c>
      <c r="K35" s="17" t="s">
        <v>86</v>
      </c>
      <c r="L35" s="17" t="s">
        <v>86</v>
      </c>
      <c r="M35" s="17" t="s">
        <v>86</v>
      </c>
    </row>
    <row r="36" spans="1:15" ht="15" x14ac:dyDescent="0.25">
      <c r="B36" s="23" t="s">
        <v>46</v>
      </c>
      <c r="C36" s="24"/>
      <c r="D36" s="100"/>
      <c r="E36" s="44"/>
      <c r="F36" s="25"/>
      <c r="G36" s="25"/>
      <c r="H36" s="25"/>
      <c r="I36" s="25"/>
      <c r="J36" s="25"/>
      <c r="K36" s="25"/>
      <c r="L36" s="25"/>
      <c r="M36" s="25"/>
    </row>
    <row r="37" spans="1:15" ht="14.25" customHeight="1" x14ac:dyDescent="0.2">
      <c r="B37" s="19" t="s">
        <v>33</v>
      </c>
      <c r="C37" s="166" t="s">
        <v>58</v>
      </c>
      <c r="D37" s="167"/>
      <c r="E37" s="21">
        <f>ROUND(VLOOKUP($B37,'[2]TUOS (t)'!$B$10:$O$66,4,FALSE)/365,4)</f>
        <v>0</v>
      </c>
      <c r="F37" s="21">
        <f>ROUND(VLOOKUP($B37,'[2]TUOS (t)'!$B$10:$O$66,6,FALSE),4)</f>
        <v>2.7383000000000002</v>
      </c>
      <c r="G37" s="21">
        <f>ROUND(VLOOKUP($B37,'[2]TUOS (t)'!$B$10:$O$66,7,FALSE),4)</f>
        <v>2.3006000000000002</v>
      </c>
      <c r="H37" s="21">
        <f>ROUND(VLOOKUP($B37,'[2]TUOS (t)'!$B$10:$O$66,8,FALSE),4)</f>
        <v>1.4925999999999999</v>
      </c>
      <c r="I37" s="21"/>
      <c r="J37" s="21">
        <f>ROUND(VLOOKUP($B37,'[2]TUOS (t)'!$B$10:$O$66,10,FALSE),4)</f>
        <v>0</v>
      </c>
      <c r="K37" s="21">
        <f>ROUND(VLOOKUP($B37,'[2]TUOS (t)'!$B$10:$O$66,11,FALSE),4)</f>
        <v>0</v>
      </c>
      <c r="L37" s="21">
        <f>ROUND(VLOOKUP($B37,'[2]TUOS (t)'!$B$10:$O$66,12,FALSE),4)</f>
        <v>0</v>
      </c>
      <c r="M37" s="21"/>
      <c r="N37" s="22"/>
      <c r="O37" s="22"/>
    </row>
    <row r="38" spans="1:15" s="43" customFormat="1" ht="14.25" customHeight="1" x14ac:dyDescent="0.2">
      <c r="A38" s="42"/>
      <c r="B38" s="19" t="s">
        <v>35</v>
      </c>
      <c r="C38" s="164" t="s">
        <v>59</v>
      </c>
      <c r="D38" s="165"/>
      <c r="E38" s="21">
        <f>ROUND(VLOOKUP($B38,'[2]TUOS (t)'!$B$10:$O$66,4,FALSE)/365,4)</f>
        <v>0</v>
      </c>
      <c r="F38" s="21">
        <f>ROUND(VLOOKUP($B38,'[2]TUOS (t)'!$B$10:$O$66,6,FALSE),4)</f>
        <v>1.9208000000000001</v>
      </c>
      <c r="G38" s="21">
        <f>ROUND(VLOOKUP($B38,'[2]TUOS (t)'!$B$10:$O$66,7,FALSE),4)</f>
        <v>1.6137999999999999</v>
      </c>
      <c r="H38" s="21">
        <f>ROUND(VLOOKUP($B38,'[2]TUOS (t)'!$B$10:$O$66,8,FALSE),4)</f>
        <v>1.3323</v>
      </c>
      <c r="I38" s="21"/>
      <c r="J38" s="21">
        <f>ROUND(VLOOKUP($B38,'[2]TUOS (t)'!$B$10:$O$66,10,FALSE),4)</f>
        <v>0</v>
      </c>
      <c r="K38" s="21">
        <f>ROUND(VLOOKUP($B38,'[2]TUOS (t)'!$B$10:$O$66,11,FALSE),4)</f>
        <v>0</v>
      </c>
      <c r="L38" s="21">
        <f>ROUND(VLOOKUP($B38,'[2]TUOS (t)'!$B$10:$O$66,12,FALSE),4)</f>
        <v>0</v>
      </c>
      <c r="M38" s="21"/>
      <c r="N38" s="22"/>
      <c r="O38" s="22"/>
    </row>
    <row r="39" spans="1:15" x14ac:dyDescent="0.2">
      <c r="B39" s="19" t="s">
        <v>170</v>
      </c>
      <c r="C39" s="33" t="s">
        <v>200</v>
      </c>
      <c r="D39" s="101"/>
      <c r="E39" s="21">
        <f>ROUND(VLOOKUP("BLND1CO",'[2]TUOS (t)'!$B$10:$O$66,4,FALSE)/365,4)</f>
        <v>0</v>
      </c>
      <c r="F39" s="21">
        <f>ROUND(VLOOKUP($B39,'[2]TUOS (t)'!$B$10:$O$66,6,FALSE),4)</f>
        <v>3.0891000000000002</v>
      </c>
      <c r="G39" s="21">
        <f>ROUND(VLOOKUP($B39,'[2]TUOS (t)'!$B$10:$O$66,7,FALSE),4)</f>
        <v>2.5952999999999999</v>
      </c>
      <c r="H39" s="21">
        <f>ROUND(VLOOKUP($B39,'[2]TUOS (t)'!$B$10:$O$66,8,FALSE),4)</f>
        <v>1.5355000000000001</v>
      </c>
      <c r="I39" s="21">
        <f>ROUND(VLOOKUP("BLND1CO",'[2]TUOS (t)'!$B$10:$O$66,9,FALSE),4)</f>
        <v>0</v>
      </c>
      <c r="J39" s="21"/>
      <c r="K39" s="21"/>
      <c r="L39" s="21"/>
      <c r="M39" s="21"/>
    </row>
    <row r="40" spans="1:15" ht="28.5" x14ac:dyDescent="0.2">
      <c r="B40" s="20" t="s">
        <v>81</v>
      </c>
      <c r="C40" s="33" t="s">
        <v>48</v>
      </c>
      <c r="D40" s="101"/>
      <c r="E40" s="21">
        <f>ROUND(VLOOKUP("BLND1CO",'[2]TUOS (t)'!$B$10:$O$66,4,FALSE)/365,4)</f>
        <v>0</v>
      </c>
      <c r="F40" s="21">
        <f>ROUND(VLOOKUP("BLND1CO",'[2]TUOS (t)'!$B$10:$O$66,6,FALSE),4)</f>
        <v>3.3803999999999998</v>
      </c>
      <c r="G40" s="21">
        <f>ROUND(VLOOKUP("BLND1CO",'[2]TUOS (t)'!$B$10:$O$66,7,FALSE),4)</f>
        <v>2.8401000000000001</v>
      </c>
      <c r="H40" s="21">
        <f>ROUND(VLOOKUP("BLND1CO",'[2]TUOS (t)'!$B$10:$O$66,8,FALSE),4)</f>
        <v>1.7524999999999999</v>
      </c>
      <c r="I40" s="21">
        <f>ROUND(VLOOKUP("BLND1CO",'[2]TUOS (t)'!$B$10:$O$66,9,FALSE),4)</f>
        <v>0</v>
      </c>
      <c r="J40" s="21"/>
      <c r="K40" s="21"/>
      <c r="L40" s="21"/>
      <c r="M40" s="21"/>
    </row>
    <row r="41" spans="1:15" x14ac:dyDescent="0.2">
      <c r="B41" s="19" t="s">
        <v>20</v>
      </c>
      <c r="C41" s="33" t="s">
        <v>55</v>
      </c>
      <c r="D41" s="101"/>
      <c r="E41" s="21">
        <f>ROUND(VLOOKUP($B41,'[2]TUOS (t)'!$B$10:$O$66,4,FALSE)/365,4)</f>
        <v>0</v>
      </c>
      <c r="F41" s="21">
        <f>ROUND(VLOOKUP($B41,'[2]TUOS (t)'!$B$10:$O$66,6,FALSE),4)</f>
        <v>4.1692</v>
      </c>
      <c r="G41" s="21">
        <f>ROUND(VLOOKUP($B41,'[2]TUOS (t)'!$B$10:$O$66,7,FALSE),4)</f>
        <v>3.5028000000000001</v>
      </c>
      <c r="H41" s="21">
        <f>ROUND(VLOOKUP($B41,'[2]TUOS (t)'!$B$10:$O$66,8,FALSE),4)</f>
        <v>1.8027</v>
      </c>
      <c r="I41" s="21">
        <f>ROUND(VLOOKUP($B41,'[2]TUOS (t)'!$B$10:$O$66,9,FALSE),4)</f>
        <v>0</v>
      </c>
      <c r="J41" s="21"/>
      <c r="K41" s="21"/>
      <c r="L41" s="21"/>
      <c r="M41" s="21">
        <f>ROUND(VLOOKUP($B41,'[2]TUOS (t)'!$B$10:$O$66,13,FALSE),4)</f>
        <v>0</v>
      </c>
    </row>
    <row r="42" spans="1:15" x14ac:dyDescent="0.2">
      <c r="B42" s="19" t="s">
        <v>21</v>
      </c>
      <c r="C42" s="33" t="s">
        <v>54</v>
      </c>
      <c r="D42" s="101"/>
      <c r="E42" s="21">
        <f>ROUND(VLOOKUP($B42,'[2]TUOS (t)'!$B$10:$O$66,4,FALSE)/365,4)</f>
        <v>0</v>
      </c>
      <c r="F42" s="21">
        <f>ROUND(VLOOKUP($B42,'[2]TUOS (t)'!$B$10:$O$66,6,FALSE),4)</f>
        <v>4.1692</v>
      </c>
      <c r="G42" s="21">
        <f>ROUND(VLOOKUP($B42,'[2]TUOS (t)'!$B$10:$O$66,7,FALSE),4)</f>
        <v>3.5028000000000001</v>
      </c>
      <c r="H42" s="21">
        <f>ROUND(VLOOKUP($B42,'[2]TUOS (t)'!$B$10:$O$66,8,FALSE),4)</f>
        <v>1.8027</v>
      </c>
      <c r="I42" s="21">
        <f>ROUND(VLOOKUP($B42,'[2]TUOS (t)'!$B$10:$O$66,9,FALSE),4)</f>
        <v>0</v>
      </c>
      <c r="J42" s="21"/>
      <c r="K42" s="21"/>
      <c r="L42" s="21"/>
      <c r="M42" s="21">
        <f>ROUND(VLOOKUP($B42,'[2]TUOS (t)'!$B$10:$O$66,13,FALSE),4)</f>
        <v>0</v>
      </c>
    </row>
    <row r="43" spans="1:15" s="46" customFormat="1" x14ac:dyDescent="0.2">
      <c r="A43" s="45"/>
      <c r="B43" s="19" t="s">
        <v>22</v>
      </c>
      <c r="C43" s="33" t="s">
        <v>56</v>
      </c>
      <c r="D43" s="102"/>
      <c r="E43" s="21">
        <f>ROUND(VLOOKUP($B43,'[2]TUOS (t)'!$B$10:$O$66,4,FALSE)/365,4)</f>
        <v>0</v>
      </c>
      <c r="F43" s="21">
        <f>ROUND(VLOOKUP($B43,'[2]TUOS (t)'!$B$10:$O$66,6,FALSE),4)</f>
        <v>3.3938000000000001</v>
      </c>
      <c r="G43" s="21">
        <f>ROUND(VLOOKUP($B43,'[2]TUOS (t)'!$B$10:$O$66,7,FALSE),4)</f>
        <v>3.3938000000000001</v>
      </c>
      <c r="H43" s="21">
        <f>ROUND(VLOOKUP($B43,'[2]TUOS (t)'!$B$10:$O$66,8,FALSE),4)</f>
        <v>1.7081999999999999</v>
      </c>
      <c r="I43" s="21">
        <f>ROUND(VLOOKUP($B43,'[2]TUOS (t)'!$B$10:$O$66,9,FALSE),4)</f>
        <v>0</v>
      </c>
      <c r="J43" s="21"/>
      <c r="K43" s="21"/>
      <c r="L43" s="21"/>
      <c r="M43" s="21"/>
    </row>
    <row r="44" spans="1:15" ht="28.5" x14ac:dyDescent="0.2">
      <c r="B44" s="20" t="s">
        <v>80</v>
      </c>
      <c r="C44" s="33" t="s">
        <v>57</v>
      </c>
      <c r="D44" s="101"/>
      <c r="E44" s="21">
        <f>ROUND(VLOOKUP("BHND1SO",'[2]TUOS (t)'!$B$10:$O$66,4,FALSE)/365,4)</f>
        <v>0</v>
      </c>
      <c r="F44" s="21">
        <f>ROUND(VLOOKUP("BHND1SO",'[2]TUOS (t)'!$B$10:$O$66,6,FALSE),4)</f>
        <v>3.3938000000000001</v>
      </c>
      <c r="G44" s="21">
        <f>ROUND(VLOOKUP("BHND1SO",'[2]TUOS (t)'!$B$10:$O$66,7,FALSE),4)</f>
        <v>3.3938000000000001</v>
      </c>
      <c r="H44" s="21">
        <f>ROUND(VLOOKUP("BHND1SO",'[2]TUOS (t)'!$B$10:$O$66,8,FALSE),4)</f>
        <v>1.7081999999999999</v>
      </c>
      <c r="I44" s="21">
        <f>ROUND(VLOOKUP("BHND1SO",'[2]TUOS (t)'!$B$10:$O$66,9,FALSE),4)</f>
        <v>0</v>
      </c>
      <c r="J44" s="21"/>
      <c r="K44" s="21"/>
      <c r="L44" s="21"/>
      <c r="M44" s="21">
        <f>ROUND(VLOOKUP("BHND1SO",'[2]TUOS (t)'!$B$10:$O$66,13,FALSE),4)</f>
        <v>0</v>
      </c>
    </row>
  </sheetData>
  <mergeCells count="27">
    <mergeCell ref="B3:F3"/>
    <mergeCell ref="I3:J3"/>
    <mergeCell ref="B5:B7"/>
    <mergeCell ref="C5:C7"/>
    <mergeCell ref="K24:L24"/>
    <mergeCell ref="D19:E19"/>
    <mergeCell ref="D20:E20"/>
    <mergeCell ref="D21:E21"/>
    <mergeCell ref="D22:E22"/>
    <mergeCell ref="D23:E23"/>
    <mergeCell ref="D5:E7"/>
    <mergeCell ref="D11:E11"/>
    <mergeCell ref="D14:E14"/>
    <mergeCell ref="D18:E18"/>
    <mergeCell ref="D9:E9"/>
    <mergeCell ref="C38:D38"/>
    <mergeCell ref="D10:E10"/>
    <mergeCell ref="D12:E12"/>
    <mergeCell ref="D15:E15"/>
    <mergeCell ref="D17:E17"/>
    <mergeCell ref="C37:D37"/>
    <mergeCell ref="D28:E28"/>
    <mergeCell ref="D29:E29"/>
    <mergeCell ref="D31:E31"/>
    <mergeCell ref="D24:E24"/>
    <mergeCell ref="D25:E25"/>
    <mergeCell ref="D26:E26"/>
  </mergeCells>
  <pageMargins left="0.39370078740157483" right="0.39370078740157483" top="0.39370078740157483" bottom="0.39370078740157483" header="0.51181102362204722" footer="0.51181102362204722"/>
  <pageSetup paperSize="9" scale="67"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2:S44"/>
  <sheetViews>
    <sheetView showGridLines="0" zoomScale="70" zoomScaleNormal="70" zoomScaleSheetLayoutView="58" workbookViewId="0">
      <selection activeCell="H26" sqref="H26"/>
    </sheetView>
  </sheetViews>
  <sheetFormatPr defaultColWidth="8.88671875" defaultRowHeight="14.25" x14ac:dyDescent="0.2"/>
  <cols>
    <col min="1" max="1" width="1.88671875" style="15" customWidth="1"/>
    <col min="2" max="2" width="26" style="8" customWidth="1"/>
    <col min="3" max="3" width="29.77734375" style="8" customWidth="1"/>
    <col min="4" max="4" width="11.21875" style="8" customWidth="1"/>
    <col min="5" max="5" width="17.88671875" style="8" customWidth="1"/>
    <col min="6" max="16" width="10.5546875" style="8" customWidth="1"/>
    <col min="17" max="17" width="8.5546875" style="8" customWidth="1"/>
    <col min="18" max="18" width="63.77734375" style="8" customWidth="1"/>
    <col min="19" max="16384" width="8.88671875" style="8"/>
  </cols>
  <sheetData>
    <row r="2" spans="1:19" ht="33" x14ac:dyDescent="0.45">
      <c r="A2" s="1"/>
      <c r="B2" s="2" t="s">
        <v>179</v>
      </c>
      <c r="C2" s="3"/>
      <c r="D2" s="3"/>
      <c r="E2" s="3"/>
      <c r="F2" s="3"/>
      <c r="G2" s="4"/>
      <c r="H2" s="5"/>
      <c r="I2" s="5"/>
      <c r="J2" s="5"/>
      <c r="K2" s="4"/>
      <c r="L2" s="6"/>
      <c r="M2" s="7"/>
    </row>
    <row r="3" spans="1:19" ht="15.75" x14ac:dyDescent="0.25">
      <c r="A3" s="1"/>
      <c r="B3" s="141" t="str">
        <f>'Price List_Excl GST'!B3:F3</f>
        <v>Effective 1 July 2020</v>
      </c>
      <c r="C3" s="142"/>
      <c r="D3" s="142"/>
      <c r="E3" s="142"/>
      <c r="F3" s="142"/>
      <c r="G3" s="9"/>
      <c r="H3" s="9"/>
      <c r="I3" s="137"/>
      <c r="J3" s="137"/>
      <c r="K3" s="9"/>
      <c r="L3" s="9"/>
      <c r="M3" s="10"/>
    </row>
    <row r="4" spans="1:19" ht="15" x14ac:dyDescent="0.25">
      <c r="A4" s="1"/>
      <c r="B4" s="11"/>
      <c r="C4" s="12"/>
      <c r="D4" s="13"/>
      <c r="E4" s="13"/>
      <c r="F4" s="13"/>
      <c r="G4" s="13"/>
      <c r="H4" s="13"/>
      <c r="I4" s="13"/>
      <c r="J4" s="13"/>
      <c r="K4" s="13"/>
      <c r="L4" s="13"/>
      <c r="M4" s="14"/>
    </row>
    <row r="5" spans="1:19" ht="15" x14ac:dyDescent="0.25">
      <c r="B5" s="131" t="s">
        <v>107</v>
      </c>
      <c r="C5" s="131" t="s">
        <v>24</v>
      </c>
      <c r="D5" s="168" t="s">
        <v>9</v>
      </c>
      <c r="E5" s="169"/>
      <c r="F5" s="57" t="s">
        <v>1</v>
      </c>
      <c r="G5" s="57" t="s">
        <v>2</v>
      </c>
      <c r="H5" s="40" t="s">
        <v>2</v>
      </c>
      <c r="I5" s="40" t="s">
        <v>2</v>
      </c>
      <c r="J5" s="40" t="s">
        <v>2</v>
      </c>
      <c r="K5" s="40" t="s">
        <v>4</v>
      </c>
      <c r="L5" s="40" t="s">
        <v>5</v>
      </c>
      <c r="M5" s="40" t="s">
        <v>6</v>
      </c>
    </row>
    <row r="6" spans="1:19" ht="15" x14ac:dyDescent="0.2">
      <c r="B6" s="132"/>
      <c r="C6" s="132"/>
      <c r="D6" s="146"/>
      <c r="E6" s="147"/>
      <c r="F6" s="83" t="s">
        <v>10</v>
      </c>
      <c r="G6" s="83" t="s">
        <v>174</v>
      </c>
      <c r="H6" s="83" t="s">
        <v>4</v>
      </c>
      <c r="I6" s="83" t="s">
        <v>5</v>
      </c>
      <c r="J6" s="83" t="s">
        <v>6</v>
      </c>
      <c r="K6" s="83" t="s">
        <v>3</v>
      </c>
      <c r="L6" s="83" t="s">
        <v>3</v>
      </c>
      <c r="M6" s="83" t="s">
        <v>3</v>
      </c>
    </row>
    <row r="7" spans="1:19" ht="15" x14ac:dyDescent="0.2">
      <c r="B7" s="133"/>
      <c r="C7" s="133"/>
      <c r="D7" s="170"/>
      <c r="E7" s="171"/>
      <c r="F7" s="83" t="s">
        <v>13</v>
      </c>
      <c r="G7" s="83" t="s">
        <v>14</v>
      </c>
      <c r="H7" s="83" t="s">
        <v>14</v>
      </c>
      <c r="I7" s="83" t="s">
        <v>14</v>
      </c>
      <c r="J7" s="83" t="s">
        <v>14</v>
      </c>
      <c r="K7" s="83" t="s">
        <v>15</v>
      </c>
      <c r="L7" s="83" t="s">
        <v>15</v>
      </c>
      <c r="M7" s="83" t="s">
        <v>15</v>
      </c>
    </row>
    <row r="8" spans="1:19" s="18" customFormat="1" ht="18" x14ac:dyDescent="0.25">
      <c r="A8" s="16"/>
      <c r="B8" s="60" t="s">
        <v>16</v>
      </c>
      <c r="C8" s="61"/>
      <c r="D8" s="62"/>
      <c r="E8" s="63"/>
      <c r="F8" s="64"/>
      <c r="G8" s="64"/>
      <c r="H8" s="64"/>
      <c r="I8" s="64"/>
      <c r="J8" s="64"/>
      <c r="K8" s="64"/>
      <c r="L8" s="64"/>
      <c r="M8" s="64"/>
      <c r="N8" s="65"/>
      <c r="O8" s="65"/>
    </row>
    <row r="9" spans="1:19" ht="14.25" customHeight="1" x14ac:dyDescent="0.2">
      <c r="B9" s="19" t="s">
        <v>25</v>
      </c>
      <c r="C9" s="20"/>
      <c r="D9" s="134" t="s">
        <v>181</v>
      </c>
      <c r="E9" s="135"/>
      <c r="F9" s="21">
        <f>ROUND(VLOOKUP($B9,'[2]CCF (t)'!$B$10:$O$66,4,FALSE)/365,4)</f>
        <v>0</v>
      </c>
      <c r="G9" s="21">
        <f>ROUND(VLOOKUP($B9,'[2]CCF (t)'!$B$10:$O$66,5,FALSE),4)</f>
        <v>0.31390000000000001</v>
      </c>
      <c r="H9" s="21"/>
      <c r="I9" s="21"/>
      <c r="J9" s="21"/>
      <c r="K9" s="21"/>
      <c r="L9" s="21"/>
      <c r="M9" s="21"/>
      <c r="N9" s="22"/>
      <c r="O9" s="22"/>
    </row>
    <row r="10" spans="1:19" ht="14.25" customHeight="1" x14ac:dyDescent="0.2">
      <c r="B10" s="19" t="s">
        <v>26</v>
      </c>
      <c r="C10" s="20"/>
      <c r="D10" s="134" t="s">
        <v>42</v>
      </c>
      <c r="E10" s="135"/>
      <c r="F10" s="21">
        <f>ROUND(VLOOKUP($B10,'[2]CCF (t)'!$B$10:$O$66,4,FALSE)/365,4)</f>
        <v>0</v>
      </c>
      <c r="G10" s="21"/>
      <c r="H10" s="21">
        <f>ROUND(VLOOKUP($B10,'[2]CCF (t)'!$B$10:$O$66,6,FALSE),4)</f>
        <v>0.31390000000000001</v>
      </c>
      <c r="I10" s="21">
        <f>ROUND(VLOOKUP($B10,'[2]CCF (t)'!$B$10:$O$66,7,FALSE),4)</f>
        <v>0.31390000000000001</v>
      </c>
      <c r="J10" s="21">
        <f>ROUND(VLOOKUP($B10,'[2]CCF (t)'!$B$10:$O$66,8,FALSE),4)</f>
        <v>0.31390000000000001</v>
      </c>
      <c r="K10" s="21"/>
      <c r="L10" s="21"/>
      <c r="M10" s="21"/>
      <c r="N10" s="22"/>
      <c r="O10" s="22"/>
      <c r="P10" s="56"/>
      <c r="Q10" s="22"/>
      <c r="R10" s="22"/>
    </row>
    <row r="11" spans="1:19" ht="14.25" customHeight="1" x14ac:dyDescent="0.2">
      <c r="B11" s="19" t="s">
        <v>167</v>
      </c>
      <c r="C11" s="20"/>
      <c r="D11" s="134" t="s">
        <v>168</v>
      </c>
      <c r="E11" s="135"/>
      <c r="F11" s="21">
        <f>ROUND(VLOOKUP($B11,'[2]CCF (t)'!$B$10:$O$66,4,FALSE)/365,4)</f>
        <v>0</v>
      </c>
      <c r="G11" s="21"/>
      <c r="H11" s="21">
        <f>ROUND(VLOOKUP($B11,'[2]CCF (t)'!$B$10:$O$66,6,FALSE),4)</f>
        <v>0.31390000000000001</v>
      </c>
      <c r="I11" s="21">
        <f>ROUND(VLOOKUP($B11,'[2]CCF (t)'!$B$10:$O$66,7,FALSE),4)</f>
        <v>0.31390000000000001</v>
      </c>
      <c r="J11" s="21">
        <f>ROUND(VLOOKUP($B11,'[2]CCF (t)'!$B$10:$O$66,8,FALSE),4)</f>
        <v>0.31390000000000001</v>
      </c>
      <c r="K11" s="21"/>
      <c r="L11" s="21"/>
      <c r="M11" s="21"/>
      <c r="N11" s="22"/>
      <c r="O11" s="22"/>
      <c r="P11" s="22"/>
      <c r="Q11" s="22"/>
      <c r="R11" s="22"/>
      <c r="S11" s="22"/>
    </row>
    <row r="12" spans="1:19" ht="14.25" customHeight="1" x14ac:dyDescent="0.2">
      <c r="B12" s="19" t="s">
        <v>169</v>
      </c>
      <c r="C12" s="20"/>
      <c r="D12" s="134" t="s">
        <v>183</v>
      </c>
      <c r="E12" s="135"/>
      <c r="F12" s="21">
        <f>ROUND(VLOOKUP($B12,'[2]CCF (t)'!$B$10:$O$66,4,FALSE)/365,4)</f>
        <v>0</v>
      </c>
      <c r="G12" s="21"/>
      <c r="H12" s="21">
        <f>ROUND(VLOOKUP($B12,'[2]CCF (t)'!$B$10:$O$66,6,FALSE),4)</f>
        <v>0.31390000000000001</v>
      </c>
      <c r="I12" s="21">
        <f>ROUND(VLOOKUP($B12,'[2]CCF (t)'!$B$10:$O$66,7,FALSE),4)</f>
        <v>0.31390000000000001</v>
      </c>
      <c r="J12" s="21">
        <f>ROUND(VLOOKUP($B12,'[2]CCF (t)'!$B$10:$O$66,8,FALSE),4)</f>
        <v>0.31390000000000001</v>
      </c>
      <c r="K12" s="21">
        <f>ROUND(VLOOKUP($B12,'[2]CCF (t)'!$B$10:$O$66,10,FALSE),4)</f>
        <v>0</v>
      </c>
      <c r="L12" s="127"/>
      <c r="M12" s="21"/>
      <c r="N12" s="22"/>
      <c r="O12" s="22"/>
      <c r="P12" s="22"/>
      <c r="Q12" s="22"/>
      <c r="R12" s="22"/>
      <c r="S12" s="22"/>
    </row>
    <row r="13" spans="1:19" ht="18" x14ac:dyDescent="0.25">
      <c r="B13" s="61" t="s">
        <v>19</v>
      </c>
      <c r="C13" s="61"/>
      <c r="D13" s="66"/>
      <c r="E13" s="67"/>
      <c r="F13" s="68"/>
      <c r="G13" s="69"/>
      <c r="H13" s="69"/>
      <c r="I13" s="69"/>
      <c r="J13" s="69"/>
      <c r="K13" s="69"/>
      <c r="L13" s="69"/>
      <c r="M13" s="69"/>
      <c r="N13" s="70"/>
      <c r="O13" s="70"/>
      <c r="P13" s="22"/>
      <c r="Q13" s="22"/>
      <c r="R13" s="22"/>
      <c r="S13" s="22"/>
    </row>
    <row r="14" spans="1:19" ht="14.25" customHeight="1" x14ac:dyDescent="0.2">
      <c r="B14" s="19" t="s">
        <v>27</v>
      </c>
      <c r="C14" s="20"/>
      <c r="D14" s="134" t="s">
        <v>39</v>
      </c>
      <c r="E14" s="135"/>
      <c r="F14" s="21">
        <f>ROUND(VLOOKUP($B14,'[2]CCF (t)'!$B$10:$O$66,4,FALSE)/365,4)</f>
        <v>0</v>
      </c>
      <c r="G14" s="21">
        <f>ROUND(VLOOKUP($B14,'[2]CCF (t)'!$B$10:$O$66,5,FALSE),4)</f>
        <v>0.31390000000000001</v>
      </c>
      <c r="H14" s="21"/>
      <c r="I14" s="21"/>
      <c r="J14" s="21"/>
      <c r="K14" s="21"/>
      <c r="L14" s="21"/>
      <c r="M14" s="21"/>
      <c r="N14" s="22"/>
      <c r="O14" s="22"/>
      <c r="P14" s="22"/>
      <c r="Q14" s="22"/>
      <c r="R14" s="22"/>
      <c r="S14" s="22"/>
    </row>
    <row r="15" spans="1:19" ht="14.25" customHeight="1" x14ac:dyDescent="0.2">
      <c r="B15" s="19" t="s">
        <v>28</v>
      </c>
      <c r="C15" s="20"/>
      <c r="D15" s="134" t="s">
        <v>40</v>
      </c>
      <c r="E15" s="135"/>
      <c r="F15" s="21">
        <f>ROUND(VLOOKUP($B15,'[2]CCF (t)'!$B$10:$O$66,4,FALSE)/365,4)</f>
        <v>0</v>
      </c>
      <c r="G15" s="21">
        <f>ROUND(VLOOKUP($B15,'[2]CCF (t)'!$B$10:$O$66,5,FALSE),4)</f>
        <v>0.31390000000000001</v>
      </c>
      <c r="H15" s="21"/>
      <c r="I15" s="21"/>
      <c r="J15" s="21"/>
      <c r="K15" s="21"/>
      <c r="L15" s="21"/>
      <c r="M15" s="21"/>
      <c r="N15" s="22"/>
      <c r="O15" s="22"/>
      <c r="P15" s="22"/>
      <c r="Q15" s="22"/>
      <c r="R15" s="22"/>
    </row>
    <row r="16" spans="1:19" ht="18" x14ac:dyDescent="0.25">
      <c r="B16" s="71" t="s">
        <v>18</v>
      </c>
      <c r="C16" s="71"/>
      <c r="D16" s="72"/>
      <c r="E16" s="73"/>
      <c r="F16" s="74"/>
      <c r="G16" s="74"/>
      <c r="H16" s="74"/>
      <c r="I16" s="74"/>
      <c r="J16" s="74"/>
      <c r="K16" s="74"/>
      <c r="L16" s="74"/>
      <c r="M16" s="74"/>
      <c r="N16" s="70"/>
      <c r="O16" s="70"/>
      <c r="P16" s="22"/>
      <c r="Q16" s="22"/>
      <c r="R16" s="22"/>
      <c r="S16" s="22"/>
    </row>
    <row r="17" spans="2:19" ht="14.25" customHeight="1" x14ac:dyDescent="0.2">
      <c r="B17" s="19" t="s">
        <v>29</v>
      </c>
      <c r="C17" s="20"/>
      <c r="D17" s="134" t="s">
        <v>182</v>
      </c>
      <c r="E17" s="135"/>
      <c r="F17" s="21">
        <f>ROUND(VLOOKUP($B17,'[2]CCF (t)'!$B$10:$O$66,4,FALSE)/365,4)</f>
        <v>0</v>
      </c>
      <c r="G17" s="21">
        <f>ROUND(VLOOKUP($B17,'[2]CCF (t)'!$B$10:$O$66,5,FALSE),4)</f>
        <v>0.75460000000000005</v>
      </c>
      <c r="H17" s="21"/>
      <c r="I17" s="21"/>
      <c r="J17" s="21"/>
      <c r="K17" s="21"/>
      <c r="L17" s="21"/>
      <c r="M17" s="21"/>
      <c r="N17" s="22"/>
      <c r="O17" s="22"/>
      <c r="P17" s="22"/>
      <c r="Q17" s="22"/>
      <c r="R17" s="22"/>
      <c r="S17" s="22"/>
    </row>
    <row r="18" spans="2:19" ht="14.25" customHeight="1" x14ac:dyDescent="0.2">
      <c r="B18" s="19" t="s">
        <v>30</v>
      </c>
      <c r="C18" s="20"/>
      <c r="D18" s="134" t="s">
        <v>43</v>
      </c>
      <c r="E18" s="135"/>
      <c r="F18" s="21">
        <f>ROUND(VLOOKUP($B18,'[2]CCF (t)'!$B$10:$O$66,4,FALSE)/365,4)</f>
        <v>0</v>
      </c>
      <c r="G18" s="21"/>
      <c r="H18" s="21">
        <f>ROUND(VLOOKUP($B18,'[2]CCF (t)'!$B$10:$O$66,6,FALSE),4)</f>
        <v>0.75460000000000005</v>
      </c>
      <c r="I18" s="21">
        <f>ROUND(VLOOKUP($B18,'[2]CCF (t)'!$B$10:$O$66,7,FALSE),4)</f>
        <v>0.75460000000000005</v>
      </c>
      <c r="J18" s="21">
        <f>ROUND(VLOOKUP($B18,'[2]CCF (t)'!$B$10:$O$66,8,FALSE),4)</f>
        <v>0.75460000000000005</v>
      </c>
      <c r="K18" s="21"/>
      <c r="L18" s="21"/>
      <c r="M18" s="21"/>
      <c r="N18" s="22"/>
      <c r="O18" s="22"/>
    </row>
    <row r="19" spans="2:19" ht="14.25" customHeight="1" x14ac:dyDescent="0.2">
      <c r="B19" s="19" t="s">
        <v>171</v>
      </c>
      <c r="C19" s="20"/>
      <c r="D19" s="134" t="s">
        <v>172</v>
      </c>
      <c r="E19" s="135"/>
      <c r="F19" s="21">
        <f>ROUND(VLOOKUP($B19,'[2]CCF (t)'!$B$10:$O$66,4,FALSE)/365,4)</f>
        <v>0</v>
      </c>
      <c r="G19" s="21"/>
      <c r="H19" s="21">
        <f>ROUND(VLOOKUP($B19,'[2]CCF (t)'!$B$10:$O$66,6,FALSE),4)</f>
        <v>0.75460000000000005</v>
      </c>
      <c r="I19" s="21">
        <f>ROUND(VLOOKUP($B19,'[2]CCF (t)'!$B$10:$O$66,7,FALSE),4)</f>
        <v>0.75460000000000005</v>
      </c>
      <c r="J19" s="21">
        <f>ROUND(VLOOKUP($B19,'[2]CCF (t)'!$B$10:$O$66,8,FALSE),4)</f>
        <v>0.75460000000000005</v>
      </c>
      <c r="K19" s="21"/>
      <c r="L19" s="21"/>
      <c r="M19" s="21"/>
      <c r="N19" s="22"/>
      <c r="O19" s="22"/>
    </row>
    <row r="20" spans="2:19" ht="14.25" customHeight="1" x14ac:dyDescent="0.2">
      <c r="B20" s="19" t="s">
        <v>173</v>
      </c>
      <c r="C20" s="20"/>
      <c r="D20" s="134" t="s">
        <v>184</v>
      </c>
      <c r="E20" s="135"/>
      <c r="F20" s="21">
        <f>ROUND(VLOOKUP($B20,'[2]CCF (t)'!$B$10:$O$66,4,FALSE)/365,4)</f>
        <v>0</v>
      </c>
      <c r="G20" s="21"/>
      <c r="H20" s="21">
        <f>ROUND(VLOOKUP($B20,'[2]CCF (t)'!$B$10:$O$66,6,FALSE),4)</f>
        <v>0.75460000000000005</v>
      </c>
      <c r="I20" s="21">
        <f>ROUND(VLOOKUP($B20,'[2]CCF (t)'!$B$10:$O$66,7,FALSE),4)</f>
        <v>0.75460000000000005</v>
      </c>
      <c r="J20" s="21">
        <f>ROUND(VLOOKUP($B20,'[2]CCF (t)'!$B$10:$O$66,8,FALSE),4)</f>
        <v>0.75460000000000005</v>
      </c>
      <c r="K20" s="21">
        <f>ROUND(VLOOKUP($B20,'[2]CCF (t)'!$B$10:$O$66,10,FALSE),4)</f>
        <v>0</v>
      </c>
      <c r="L20" s="127"/>
      <c r="M20" s="21"/>
      <c r="N20" s="22"/>
      <c r="O20" s="22"/>
    </row>
    <row r="21" spans="2:19" ht="14.25" customHeight="1" x14ac:dyDescent="0.2">
      <c r="B21" s="19" t="s">
        <v>31</v>
      </c>
      <c r="C21" s="20" t="s">
        <v>170</v>
      </c>
      <c r="D21" s="134" t="s">
        <v>116</v>
      </c>
      <c r="E21" s="135"/>
      <c r="F21" s="21">
        <f>ROUND(VLOOKUP($B21,'[2]CCF (t)'!$B$10:$O$66,4,FALSE)/365,4)</f>
        <v>0</v>
      </c>
      <c r="G21" s="21"/>
      <c r="H21" s="21">
        <f>ROUND(VLOOKUP($B21,'[2]CCF (t)'!$B$10:$O$66,6,FALSE),4)</f>
        <v>0.75460000000000005</v>
      </c>
      <c r="I21" s="21">
        <f>ROUND(VLOOKUP($B21,'[2]CCF (t)'!$B$10:$O$66,7,FALSE),4)</f>
        <v>0.75460000000000005</v>
      </c>
      <c r="J21" s="21">
        <f>ROUND(VLOOKUP($B21,'[2]CCF (t)'!$B$10:$O$66,8,FALSE),4)</f>
        <v>0.75460000000000005</v>
      </c>
      <c r="K21" s="21"/>
      <c r="L21" s="21"/>
      <c r="M21" s="21"/>
      <c r="N21" s="22"/>
      <c r="O21" s="22"/>
    </row>
    <row r="22" spans="2:19" ht="14.25" customHeight="1" x14ac:dyDescent="0.2">
      <c r="B22" s="19" t="s">
        <v>175</v>
      </c>
      <c r="C22" s="20"/>
      <c r="D22" s="134" t="s">
        <v>176</v>
      </c>
      <c r="E22" s="135"/>
      <c r="F22" s="21">
        <f>ROUND(VLOOKUP($B22,'[2]CCF (t)'!$B$10:$O$66,4,FALSE)/365,4)</f>
        <v>0</v>
      </c>
      <c r="G22" s="21"/>
      <c r="H22" s="21">
        <f>ROUND(VLOOKUP($B22,'[2]CCF (t)'!$B$10:$O$66,6,FALSE),4)</f>
        <v>0.75460000000000005</v>
      </c>
      <c r="I22" s="21">
        <f>ROUND(VLOOKUP($B22,'[2]CCF (t)'!$B$10:$O$66,7,FALSE),4)</f>
        <v>0.75460000000000005</v>
      </c>
      <c r="J22" s="21">
        <f>ROUND(VLOOKUP($B22,'[2]CCF (t)'!$B$10:$O$66,8,FALSE),4)</f>
        <v>0.75460000000000005</v>
      </c>
      <c r="K22" s="21">
        <f>ROUND(VLOOKUP($B22,'[2]CCF (t)'!$B$10:$O$66,10,FALSE),4)</f>
        <v>0</v>
      </c>
      <c r="L22" s="21">
        <f>ROUND(VLOOKUP($B22,'[2]CCF (t)'!$B$10:$O$66,11,FALSE),4)</f>
        <v>0</v>
      </c>
      <c r="M22" s="21">
        <f>ROUND(VLOOKUP($B22,'[2]CCF (t)'!$B$10:$O$66,12,FALSE),4)</f>
        <v>0</v>
      </c>
      <c r="N22" s="22"/>
      <c r="O22" s="22"/>
    </row>
    <row r="23" spans="2:19" ht="14.25" customHeight="1" x14ac:dyDescent="0.2">
      <c r="B23" s="19" t="s">
        <v>32</v>
      </c>
      <c r="C23" s="20"/>
      <c r="D23" s="134" t="s">
        <v>47</v>
      </c>
      <c r="E23" s="135"/>
      <c r="F23" s="21">
        <f>ROUND(VLOOKUP($B23,'[2]CCF (t)'!$B$10:$O$66,4,FALSE)/365,4)</f>
        <v>0</v>
      </c>
      <c r="G23" s="21"/>
      <c r="H23" s="21">
        <f>ROUND(VLOOKUP($B23,'[2]CCF (t)'!$B$10:$O$66,6,FALSE),4)</f>
        <v>0.75460000000000005</v>
      </c>
      <c r="I23" s="21">
        <f>ROUND(VLOOKUP($B23,'[2]CCF (t)'!$B$10:$O$66,7,FALSE),4)</f>
        <v>0.75460000000000005</v>
      </c>
      <c r="J23" s="21">
        <f>ROUND(VLOOKUP($B23,'[2]CCF (t)'!$B$10:$O$66,8,FALSE),4)</f>
        <v>0.75460000000000005</v>
      </c>
      <c r="K23" s="21">
        <f>ROUND(VLOOKUP($B23,'[2]CCF (t)'!$B$10:$O$66,10,FALSE),4)</f>
        <v>0</v>
      </c>
      <c r="L23" s="21">
        <f>ROUND(VLOOKUP($B23,'[2]CCF (t)'!$B$10:$O$66,11,FALSE),4)</f>
        <v>0</v>
      </c>
      <c r="M23" s="21">
        <f>ROUND(VLOOKUP($B23,'[2]CCF (t)'!$B$10:$O$66,12,FALSE),4)</f>
        <v>0</v>
      </c>
      <c r="N23" s="22"/>
      <c r="O23" s="97"/>
    </row>
    <row r="24" spans="2:19" ht="14.25" customHeight="1" x14ac:dyDescent="0.2">
      <c r="B24" s="19" t="s">
        <v>61</v>
      </c>
      <c r="C24" s="20"/>
      <c r="D24" s="134" t="s">
        <v>74</v>
      </c>
      <c r="E24" s="135"/>
      <c r="F24" s="21">
        <f>ROUND(VLOOKUP($B24,'[2]CCF (t)'!$B$10:$O$66,4,FALSE)/365,4)</f>
        <v>0</v>
      </c>
      <c r="G24" s="21"/>
      <c r="H24" s="21">
        <f>ROUND(VLOOKUP($B24,'[2]CCF (t)'!$B$10:$O$66,6,FALSE),4)</f>
        <v>0.75460000000000005</v>
      </c>
      <c r="I24" s="21">
        <f>ROUND(VLOOKUP($B24,'[2]CCF (t)'!$B$10:$O$66,7,FALSE),4)</f>
        <v>0.75460000000000005</v>
      </c>
      <c r="J24" s="21">
        <f>ROUND(VLOOKUP($B24,'[2]CCF (t)'!$B$10:$O$66,8,FALSE),4)</f>
        <v>0.75460000000000005</v>
      </c>
      <c r="K24" s="129">
        <f>ROUND(VLOOKUP($B24,'[2]CCF (t)'!$B$10:$O$66,10,FALSE),4)</f>
        <v>0</v>
      </c>
      <c r="L24" s="130"/>
      <c r="M24" s="21"/>
      <c r="N24" s="22"/>
      <c r="O24" s="22"/>
    </row>
    <row r="25" spans="2:19" ht="14.25" customHeight="1" x14ac:dyDescent="0.2">
      <c r="B25" s="19" t="s">
        <v>34</v>
      </c>
      <c r="C25" s="20"/>
      <c r="D25" s="134" t="s">
        <v>41</v>
      </c>
      <c r="E25" s="135"/>
      <c r="F25" s="21">
        <f>ROUND(VLOOKUP($B25,'[2]CCF (t)'!$B$10:$O$66,4,FALSE)/365,4)</f>
        <v>0</v>
      </c>
      <c r="G25" s="21"/>
      <c r="H25" s="21">
        <f>ROUND(VLOOKUP($B25,'[2]CCF (t)'!$B$10:$O$66,6,FALSE),4)</f>
        <v>0.75460000000000005</v>
      </c>
      <c r="I25" s="21">
        <f>ROUND(VLOOKUP($B25,'[2]CCF (t)'!$B$10:$O$66,7,FALSE),4)</f>
        <v>0.75460000000000005</v>
      </c>
      <c r="J25" s="21">
        <f>ROUND(VLOOKUP($B25,'[2]CCF (t)'!$B$10:$O$66,8,FALSE),4)</f>
        <v>0.75460000000000005</v>
      </c>
      <c r="K25" s="21">
        <f>ROUND(VLOOKUP($B25,'[2]CCF (t)'!$B$10:$O$66,10,FALSE),4)</f>
        <v>0</v>
      </c>
      <c r="L25" s="21">
        <f>ROUND(VLOOKUP($B25,'[2]CCF (t)'!$B$10:$O$66,11,FALSE),4)</f>
        <v>0</v>
      </c>
      <c r="M25" s="21">
        <f>ROUND(VLOOKUP($B25,'[2]CCF (t)'!$B$10:$O$66,12,FALSE),4)</f>
        <v>0</v>
      </c>
      <c r="N25" s="22"/>
      <c r="O25" s="22"/>
    </row>
    <row r="26" spans="2:19" ht="14.25" customHeight="1" x14ac:dyDescent="0.2">
      <c r="B26" s="19" t="s">
        <v>23</v>
      </c>
      <c r="C26" s="20"/>
      <c r="D26" s="143" t="s">
        <v>38</v>
      </c>
      <c r="E26" s="144"/>
      <c r="F26" s="21">
        <f>ROUND(VLOOKUP($B26,'[2]CCF (t)'!$B$10:$O$66,4,FALSE)/365,4)</f>
        <v>0</v>
      </c>
      <c r="G26" s="21"/>
      <c r="H26" s="21">
        <f>ROUND(VLOOKUP($B26,'[2]CCF (t)'!$B$10:$O$66,6,FALSE),4)</f>
        <v>0.20119999999999999</v>
      </c>
      <c r="I26" s="21">
        <f>ROUND(VLOOKUP($B26,'[2]CCF (t)'!$B$10:$O$66,7,FALSE),4)</f>
        <v>0.20119999999999999</v>
      </c>
      <c r="J26" s="21">
        <f>ROUND(VLOOKUP($B26,'[2]CCF (t)'!$B$10:$O$66,8,FALSE),4)</f>
        <v>0.20119999999999999</v>
      </c>
      <c r="K26" s="21">
        <f>ROUND(VLOOKUP($B26,'[2]CCF (t)'!$B$10:$O$66,10,FALSE),4)</f>
        <v>0</v>
      </c>
      <c r="L26" s="21">
        <f>ROUND(VLOOKUP($B26,'[2]CCF (t)'!$B$10:$O$66,11,FALSE),4)</f>
        <v>0</v>
      </c>
      <c r="M26" s="21">
        <f>ROUND(VLOOKUP($B26,'[2]CCF (t)'!$B$10:$O$66,12,FALSE),4)</f>
        <v>0</v>
      </c>
    </row>
    <row r="27" spans="2:19" ht="18" x14ac:dyDescent="0.25">
      <c r="B27" s="71" t="s">
        <v>45</v>
      </c>
      <c r="C27" s="71"/>
      <c r="D27" s="72"/>
      <c r="E27" s="73"/>
      <c r="F27" s="75"/>
      <c r="G27" s="75"/>
      <c r="H27" s="75"/>
      <c r="I27" s="75"/>
      <c r="J27" s="75"/>
      <c r="K27" s="75"/>
      <c r="L27" s="75"/>
      <c r="M27" s="75"/>
      <c r="N27" s="65"/>
      <c r="O27" s="65"/>
    </row>
    <row r="28" spans="2:19" ht="14.25" customHeight="1" x14ac:dyDescent="0.2">
      <c r="B28" s="19" t="s">
        <v>36</v>
      </c>
      <c r="C28" s="20" t="s">
        <v>44</v>
      </c>
      <c r="D28" s="134" t="s">
        <v>109</v>
      </c>
      <c r="E28" s="135"/>
      <c r="F28" s="21">
        <f>ROUND(VLOOKUP($B28,'[2]CCF (t)'!$B$10:$O$66,4,FALSE)/365,4)</f>
        <v>0</v>
      </c>
      <c r="G28" s="21">
        <f>ROUND(VLOOKUP($B28,'[2]CCF (t)'!$B$10:$O$66,5,FALSE),4)</f>
        <v>0.75460000000000005</v>
      </c>
      <c r="H28" s="21"/>
      <c r="I28" s="21"/>
      <c r="J28" s="21"/>
      <c r="K28" s="21"/>
      <c r="L28" s="21"/>
      <c r="M28" s="21"/>
    </row>
    <row r="29" spans="2:19" ht="14.25" customHeight="1" x14ac:dyDescent="0.2">
      <c r="B29" s="19" t="s">
        <v>37</v>
      </c>
      <c r="C29" s="20"/>
      <c r="D29" s="134" t="s">
        <v>110</v>
      </c>
      <c r="E29" s="135"/>
      <c r="F29" s="21">
        <f>ROUND(VLOOKUP($B29,'[2]CCF (t)'!$B$10:$O$66,4,FALSE)/365,4)</f>
        <v>0</v>
      </c>
      <c r="G29" s="21"/>
      <c r="H29" s="21">
        <f>ROUND(VLOOKUP($B29,'[2]CCF (t)'!$B$10:$O$66,6,FALSE),4)</f>
        <v>0.75460000000000005</v>
      </c>
      <c r="I29" s="21">
        <f>ROUND(VLOOKUP($B29,'[2]CCF (t)'!$B$10:$O$66,7,FALSE),4)</f>
        <v>0.75460000000000005</v>
      </c>
      <c r="J29" s="21">
        <f>ROUND(VLOOKUP($B29,'[2]CCF (t)'!$B$10:$O$66,8,FALSE),4)</f>
        <v>0.75460000000000005</v>
      </c>
      <c r="K29" s="21"/>
      <c r="L29" s="21"/>
      <c r="M29" s="21"/>
    </row>
    <row r="30" spans="2:19" ht="18" x14ac:dyDescent="0.25">
      <c r="B30" s="71" t="s">
        <v>69</v>
      </c>
      <c r="C30" s="71"/>
      <c r="D30" s="72"/>
      <c r="E30" s="73"/>
      <c r="F30" s="75"/>
      <c r="G30" s="75"/>
      <c r="H30" s="75"/>
      <c r="I30" s="75"/>
      <c r="J30" s="75"/>
      <c r="K30" s="75"/>
      <c r="L30" s="75"/>
      <c r="M30" s="75"/>
      <c r="N30" s="65"/>
      <c r="O30" s="65"/>
    </row>
    <row r="31" spans="2:19" ht="14.25" customHeight="1" x14ac:dyDescent="0.2">
      <c r="B31" s="20" t="s">
        <v>50</v>
      </c>
      <c r="C31" s="20"/>
      <c r="D31" s="134" t="s">
        <v>51</v>
      </c>
      <c r="E31" s="135"/>
      <c r="F31" s="27" t="s">
        <v>52</v>
      </c>
      <c r="G31" s="27"/>
      <c r="H31" s="27" t="s">
        <v>52</v>
      </c>
      <c r="I31" s="27" t="s">
        <v>52</v>
      </c>
      <c r="J31" s="27" t="s">
        <v>52</v>
      </c>
      <c r="K31" s="27" t="s">
        <v>52</v>
      </c>
      <c r="L31" s="27" t="s">
        <v>52</v>
      </c>
      <c r="M31" s="27" t="s">
        <v>52</v>
      </c>
    </row>
    <row r="32" spans="2:19" ht="15" x14ac:dyDescent="0.25">
      <c r="B32" s="53" t="s">
        <v>53</v>
      </c>
      <c r="C32" s="47"/>
      <c r="D32" s="48"/>
      <c r="E32" s="37" t="s">
        <v>1</v>
      </c>
      <c r="F32" s="38" t="s">
        <v>2</v>
      </c>
      <c r="G32" s="38" t="s">
        <v>2</v>
      </c>
      <c r="H32" s="38" t="s">
        <v>2</v>
      </c>
      <c r="I32" s="37" t="s">
        <v>3</v>
      </c>
      <c r="J32" s="38" t="s">
        <v>4</v>
      </c>
      <c r="K32" s="38" t="s">
        <v>5</v>
      </c>
      <c r="L32" s="38" t="s">
        <v>6</v>
      </c>
      <c r="M32" s="39" t="s">
        <v>7</v>
      </c>
    </row>
    <row r="33" spans="1:13" ht="15" x14ac:dyDescent="0.25">
      <c r="B33" s="54" t="s">
        <v>0</v>
      </c>
      <c r="C33" s="49" t="s">
        <v>9</v>
      </c>
      <c r="D33" s="98"/>
      <c r="E33" s="40" t="s">
        <v>10</v>
      </c>
      <c r="F33" s="40" t="s">
        <v>4</v>
      </c>
      <c r="G33" s="40" t="s">
        <v>5</v>
      </c>
      <c r="H33" s="40" t="s">
        <v>6</v>
      </c>
      <c r="I33" s="40" t="s">
        <v>12</v>
      </c>
      <c r="J33" s="40" t="s">
        <v>3</v>
      </c>
      <c r="K33" s="40" t="s">
        <v>3</v>
      </c>
      <c r="L33" s="40" t="s">
        <v>3</v>
      </c>
      <c r="M33" s="41" t="s">
        <v>12</v>
      </c>
    </row>
    <row r="34" spans="1:13" ht="15" x14ac:dyDescent="0.25">
      <c r="B34" s="41" t="s">
        <v>8</v>
      </c>
      <c r="C34" s="50"/>
      <c r="D34" s="51"/>
      <c r="E34" s="40" t="s">
        <v>13</v>
      </c>
      <c r="F34" s="40" t="s">
        <v>14</v>
      </c>
      <c r="G34" s="40" t="s">
        <v>14</v>
      </c>
      <c r="H34" s="40" t="s">
        <v>14</v>
      </c>
      <c r="I34" s="40" t="s">
        <v>15</v>
      </c>
      <c r="J34" s="40" t="s">
        <v>15</v>
      </c>
      <c r="K34" s="40" t="s">
        <v>15</v>
      </c>
      <c r="L34" s="40" t="s">
        <v>15</v>
      </c>
      <c r="M34" s="40" t="s">
        <v>15</v>
      </c>
    </row>
    <row r="35" spans="1:13" ht="26.25" x14ac:dyDescent="0.25">
      <c r="B35" s="52"/>
      <c r="C35" s="55"/>
      <c r="D35" s="99"/>
      <c r="E35" s="17" t="s">
        <v>86</v>
      </c>
      <c r="F35" s="17" t="s">
        <v>86</v>
      </c>
      <c r="G35" s="17" t="s">
        <v>86</v>
      </c>
      <c r="H35" s="17" t="s">
        <v>86</v>
      </c>
      <c r="I35" s="17" t="s">
        <v>86</v>
      </c>
      <c r="J35" s="17" t="s">
        <v>86</v>
      </c>
      <c r="K35" s="17" t="s">
        <v>86</v>
      </c>
      <c r="L35" s="17" t="s">
        <v>86</v>
      </c>
      <c r="M35" s="17" t="s">
        <v>86</v>
      </c>
    </row>
    <row r="36" spans="1:13" ht="15" x14ac:dyDescent="0.25">
      <c r="B36" s="23" t="s">
        <v>46</v>
      </c>
      <c r="C36" s="24"/>
      <c r="D36" s="100"/>
      <c r="E36" s="44"/>
      <c r="F36" s="25"/>
      <c r="G36" s="25"/>
      <c r="H36" s="25"/>
      <c r="I36" s="25"/>
      <c r="J36" s="25"/>
      <c r="K36" s="25"/>
      <c r="L36" s="25"/>
      <c r="M36" s="25"/>
    </row>
    <row r="37" spans="1:13" x14ac:dyDescent="0.2">
      <c r="B37" s="19" t="s">
        <v>33</v>
      </c>
      <c r="C37" s="166" t="s">
        <v>58</v>
      </c>
      <c r="D37" s="167"/>
      <c r="E37" s="21">
        <f>ROUND(VLOOKUP($B37,'[2]CCF (t)'!$B$10:$O$66,4,FALSE)/365,4)</f>
        <v>0</v>
      </c>
      <c r="F37" s="21">
        <f>ROUND(VLOOKUP($B37,'[2]CCF (t)'!$B$10:$O$66,6,FALSE),4)</f>
        <v>0.75460000000000005</v>
      </c>
      <c r="G37" s="21">
        <f>ROUND(VLOOKUP($B37,'[2]CCF (t)'!$B$10:$O$66,7,FALSE),4)</f>
        <v>0.75460000000000005</v>
      </c>
      <c r="H37" s="21">
        <f>ROUND(VLOOKUP($B37,'[2]CCF (t)'!$B$10:$O$66,8,FALSE),4)</f>
        <v>0.75460000000000005</v>
      </c>
      <c r="I37" s="21"/>
      <c r="J37" s="21">
        <f>ROUND(VLOOKUP($B37,'[2]CCF (t)'!$B$10:$O$66,10,FALSE),4)</f>
        <v>0</v>
      </c>
      <c r="K37" s="21">
        <f>ROUND(VLOOKUP($B37,'[2]CCF (t)'!$B$10:$O$66,11,FALSE),4)</f>
        <v>0</v>
      </c>
      <c r="L37" s="21">
        <f>ROUND(VLOOKUP($B37,'[2]CCF (t)'!$B$10:$O$66,12,FALSE),4)</f>
        <v>0</v>
      </c>
      <c r="M37" s="21"/>
    </row>
    <row r="38" spans="1:13" x14ac:dyDescent="0.2">
      <c r="B38" s="19" t="s">
        <v>35</v>
      </c>
      <c r="C38" s="164" t="s">
        <v>59</v>
      </c>
      <c r="D38" s="165"/>
      <c r="E38" s="21">
        <f>ROUND(VLOOKUP($B38,'[2]CCF (t)'!$B$10:$O$66,4,FALSE)/365,4)</f>
        <v>0</v>
      </c>
      <c r="F38" s="21">
        <f>ROUND(VLOOKUP($B38,'[2]CCF (t)'!$B$10:$O$66,6,FALSE),4)</f>
        <v>0.75460000000000005</v>
      </c>
      <c r="G38" s="21">
        <f>ROUND(VLOOKUP($B38,'[2]CCF (t)'!$B$10:$O$66,7,FALSE),4)</f>
        <v>0.75460000000000005</v>
      </c>
      <c r="H38" s="21">
        <f>ROUND(VLOOKUP($B38,'[2]CCF (t)'!$B$10:$O$66,8,FALSE),4)</f>
        <v>0.75460000000000005</v>
      </c>
      <c r="I38" s="21"/>
      <c r="J38" s="21">
        <f>ROUND(VLOOKUP($B38,'[2]CCF (t)'!$B$10:$O$66,10,FALSE),4)</f>
        <v>0</v>
      </c>
      <c r="K38" s="21">
        <f>ROUND(VLOOKUP($B38,'[2]CCF (t)'!$B$10:$O$66,11,FALSE),4)</f>
        <v>0</v>
      </c>
      <c r="L38" s="21">
        <f>ROUND(VLOOKUP($B38,'[2]CCF (t)'!$B$10:$O$66,12,FALSE),4)</f>
        <v>0</v>
      </c>
      <c r="M38" s="21"/>
    </row>
    <row r="39" spans="1:13" x14ac:dyDescent="0.2">
      <c r="B39" s="19" t="s">
        <v>170</v>
      </c>
      <c r="C39" s="33" t="s">
        <v>200</v>
      </c>
      <c r="D39" s="101"/>
      <c r="E39" s="21">
        <f>ROUND(VLOOKUP("BLND1CO",'[2]TUOS (t)'!$B$10:$O$66,4,FALSE)/365,4)</f>
        <v>0</v>
      </c>
      <c r="F39" s="21">
        <f>ROUND(VLOOKUP($B39,'[2]CCF (t)'!$B$10:$O$66,6,FALSE),4)</f>
        <v>0.75460000000000005</v>
      </c>
      <c r="G39" s="21">
        <f>ROUND(VLOOKUP($B39,'[2]CCF (t)'!$B$10:$O$66,7,FALSE),4)</f>
        <v>0.75460000000000005</v>
      </c>
      <c r="H39" s="21">
        <f>ROUND(VLOOKUP($B39,'[2]CCF (t)'!$B$10:$O$66,8,FALSE),4)</f>
        <v>0.75460000000000005</v>
      </c>
      <c r="I39" s="21">
        <f>ROUND(VLOOKUP("BLND1CO",'[2]TUOS (t)'!$B$10:$O$66,9,FALSE),4)</f>
        <v>0</v>
      </c>
      <c r="J39" s="21"/>
      <c r="K39" s="21"/>
      <c r="L39" s="21"/>
      <c r="M39" s="21"/>
    </row>
    <row r="40" spans="1:13" ht="28.5" x14ac:dyDescent="0.2">
      <c r="B40" s="20" t="s">
        <v>81</v>
      </c>
      <c r="C40" s="33" t="s">
        <v>48</v>
      </c>
      <c r="D40" s="101"/>
      <c r="E40" s="21">
        <f>ROUND(VLOOKUP("BLND1CO",'[2]CCF (t)'!$B$10:$O$66,4,FALSE)/365,4)</f>
        <v>0</v>
      </c>
      <c r="F40" s="21">
        <f>ROUND(VLOOKUP("BLND1CO",'[2]CCF (t)'!$B$10:$O$66,6,FALSE),4)</f>
        <v>0.75460000000000005</v>
      </c>
      <c r="G40" s="21">
        <f>ROUND(VLOOKUP("BLND1CO",'[2]CCF (t)'!$B$10:$O$66,7,FALSE),4)</f>
        <v>0.75460000000000005</v>
      </c>
      <c r="H40" s="21">
        <f>ROUND(VLOOKUP("BLND1CO",'[2]CCF (t)'!$B$10:$O$66,8,FALSE),4)</f>
        <v>0.75460000000000005</v>
      </c>
      <c r="I40" s="21">
        <f>ROUND(VLOOKUP("BLND1CO",'[2]CCF (t)'!$B$10:$O$66,9,FALSE),4)</f>
        <v>0</v>
      </c>
      <c r="J40" s="21"/>
      <c r="K40" s="21"/>
      <c r="L40" s="21"/>
      <c r="M40" s="21"/>
    </row>
    <row r="41" spans="1:13" x14ac:dyDescent="0.2">
      <c r="B41" s="19" t="s">
        <v>20</v>
      </c>
      <c r="C41" s="33" t="s">
        <v>55</v>
      </c>
      <c r="D41" s="101"/>
      <c r="E41" s="21">
        <f>ROUND(VLOOKUP($B41,'[2]CCF (t)'!$B$10:$O$66,4,FALSE)/365,4)</f>
        <v>0</v>
      </c>
      <c r="F41" s="21">
        <f>ROUND(VLOOKUP($B41,'[2]CCF (t)'!$B$10:$O$66,6,FALSE),4)</f>
        <v>0.75460000000000005</v>
      </c>
      <c r="G41" s="21">
        <f>ROUND(VLOOKUP($B41,'[2]CCF (t)'!$B$10:$O$66,7,FALSE),4)</f>
        <v>0.75460000000000005</v>
      </c>
      <c r="H41" s="21">
        <f>ROUND(VLOOKUP($B41,'[2]CCF (t)'!$B$10:$O$66,8,FALSE),4)</f>
        <v>0.75460000000000005</v>
      </c>
      <c r="I41" s="21">
        <f>ROUND(VLOOKUP($B41,'[2]CCF (t)'!$B$10:$O$66,9,FALSE),4)</f>
        <v>0</v>
      </c>
      <c r="J41" s="21"/>
      <c r="K41" s="21"/>
      <c r="L41" s="21"/>
      <c r="M41" s="21">
        <f>ROUND(VLOOKUP($B41,'[2]CCF (t)'!$B$10:$O$66,13,FALSE),4)</f>
        <v>0</v>
      </c>
    </row>
    <row r="42" spans="1:13" x14ac:dyDescent="0.2">
      <c r="B42" s="19" t="s">
        <v>21</v>
      </c>
      <c r="C42" s="33" t="s">
        <v>54</v>
      </c>
      <c r="D42" s="101"/>
      <c r="E42" s="21">
        <f>ROUND(VLOOKUP($B42,'[2]CCF (t)'!$B$10:$O$66,4,FALSE)/365,4)</f>
        <v>0</v>
      </c>
      <c r="F42" s="21">
        <f>ROUND(VLOOKUP($B42,'[2]CCF (t)'!$B$10:$O$66,6,FALSE),4)</f>
        <v>0.75460000000000005</v>
      </c>
      <c r="G42" s="21">
        <f>ROUND(VLOOKUP($B42,'[2]CCF (t)'!$B$10:$O$66,7,FALSE),4)</f>
        <v>0.75460000000000005</v>
      </c>
      <c r="H42" s="21">
        <f>ROUND(VLOOKUP($B42,'[2]CCF (t)'!$B$10:$O$66,8,FALSE),4)</f>
        <v>0.75460000000000005</v>
      </c>
      <c r="I42" s="21">
        <f>ROUND(VLOOKUP($B42,'[2]CCF (t)'!$B$10:$O$66,9,FALSE),4)</f>
        <v>0</v>
      </c>
      <c r="J42" s="21"/>
      <c r="K42" s="21"/>
      <c r="L42" s="21"/>
      <c r="M42" s="21">
        <f>ROUND(VLOOKUP($B42,'[2]CCF (t)'!$B$10:$O$66,13,FALSE),4)</f>
        <v>0</v>
      </c>
    </row>
    <row r="43" spans="1:13" s="46" customFormat="1" x14ac:dyDescent="0.2">
      <c r="A43" s="45"/>
      <c r="B43" s="19" t="s">
        <v>22</v>
      </c>
      <c r="C43" s="33" t="s">
        <v>56</v>
      </c>
      <c r="D43" s="102"/>
      <c r="E43" s="21">
        <f>ROUND(VLOOKUP($B43,'[2]CCF (t)'!$B$10:$O$66,4,FALSE)/365,4)</f>
        <v>0</v>
      </c>
      <c r="F43" s="21">
        <f>ROUND(VLOOKUP($B43,'[2]CCF (t)'!$B$10:$O$66,6,FALSE),4)</f>
        <v>0.75460000000000005</v>
      </c>
      <c r="G43" s="21">
        <f>ROUND(VLOOKUP($B43,'[2]CCF (t)'!$B$10:$O$66,7,FALSE),4)</f>
        <v>0.75460000000000005</v>
      </c>
      <c r="H43" s="21">
        <f>ROUND(VLOOKUP($B43,'[2]CCF (t)'!$B$10:$O$66,8,FALSE),4)</f>
        <v>0.75460000000000005</v>
      </c>
      <c r="I43" s="21">
        <f>ROUND(VLOOKUP($B43,'[2]CCF (t)'!$B$10:$O$66,9,FALSE),4)</f>
        <v>0</v>
      </c>
      <c r="J43" s="21"/>
      <c r="K43" s="21"/>
      <c r="L43" s="21"/>
      <c r="M43" s="21"/>
    </row>
    <row r="44" spans="1:13" ht="28.5" x14ac:dyDescent="0.2">
      <c r="B44" s="20" t="s">
        <v>80</v>
      </c>
      <c r="C44" s="33" t="s">
        <v>57</v>
      </c>
      <c r="D44" s="101"/>
      <c r="E44" s="21">
        <f>ROUND(VLOOKUP("BHND1SO",'[2]CCF (t)'!$B$10:$O$66,4,FALSE)/365,4)</f>
        <v>0</v>
      </c>
      <c r="F44" s="21">
        <f>ROUND(VLOOKUP("BHND1SO",'[2]CCF (t)'!$B$10:$O$66,6,FALSE),4)</f>
        <v>0.75460000000000005</v>
      </c>
      <c r="G44" s="21">
        <f>ROUND(VLOOKUP("BHND1SO",'[2]CCF (t)'!$B$10:$O$66,7,FALSE),4)</f>
        <v>0.75460000000000005</v>
      </c>
      <c r="H44" s="21">
        <f>ROUND(VLOOKUP("BHND1SO",'[2]CCF (t)'!$B$10:$O$66,8,FALSE),4)</f>
        <v>0.75460000000000005</v>
      </c>
      <c r="I44" s="21">
        <f>ROUND(VLOOKUP("BHND1SO",'[2]CCF (t)'!$B$10:$O$66,9,FALSE),4)</f>
        <v>0</v>
      </c>
      <c r="J44" s="21"/>
      <c r="K44" s="21"/>
      <c r="L44" s="21"/>
      <c r="M44" s="21">
        <f>ROUND(VLOOKUP("BHND1SO",'[2]CCF (t)'!$B$10:$O$66,13,FALSE),4)</f>
        <v>0</v>
      </c>
    </row>
  </sheetData>
  <mergeCells count="27">
    <mergeCell ref="I3:J3"/>
    <mergeCell ref="B5:B7"/>
    <mergeCell ref="C5:C7"/>
    <mergeCell ref="D5:E7"/>
    <mergeCell ref="D10:E10"/>
    <mergeCell ref="D9:E9"/>
    <mergeCell ref="D14:E14"/>
    <mergeCell ref="D18:E18"/>
    <mergeCell ref="D19:E19"/>
    <mergeCell ref="D20:E20"/>
    <mergeCell ref="B3:F3"/>
    <mergeCell ref="D12:E12"/>
    <mergeCell ref="D15:E15"/>
    <mergeCell ref="D17:E17"/>
    <mergeCell ref="D11:E11"/>
    <mergeCell ref="D21:E21"/>
    <mergeCell ref="D22:E22"/>
    <mergeCell ref="D23:E23"/>
    <mergeCell ref="K24:L24"/>
    <mergeCell ref="D28:E28"/>
    <mergeCell ref="C37:D37"/>
    <mergeCell ref="C38:D38"/>
    <mergeCell ref="D31:E31"/>
    <mergeCell ref="D24:E24"/>
    <mergeCell ref="D25:E25"/>
    <mergeCell ref="D26:E26"/>
    <mergeCell ref="D29:E29"/>
  </mergeCells>
  <pageMargins left="0.39370078740157483" right="0.39370078740157483" top="0.39370078740157483" bottom="0.39370078740157483" header="0.51181102362204722" footer="0.51181102362204722"/>
  <pageSetup paperSize="9" scale="67"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2:S44"/>
  <sheetViews>
    <sheetView showGridLines="0" zoomScale="70" zoomScaleNormal="70" zoomScaleSheetLayoutView="58" workbookViewId="0">
      <selection activeCell="J18" sqref="J18"/>
    </sheetView>
  </sheetViews>
  <sheetFormatPr defaultColWidth="8.88671875" defaultRowHeight="14.25" x14ac:dyDescent="0.2"/>
  <cols>
    <col min="1" max="1" width="1.88671875" style="15" customWidth="1"/>
    <col min="2" max="2" width="26" style="8" customWidth="1"/>
    <col min="3" max="3" width="29.77734375" style="8" customWidth="1"/>
    <col min="4" max="4" width="11.21875" style="8" customWidth="1"/>
    <col min="5" max="5" width="17.88671875" style="8" customWidth="1"/>
    <col min="6" max="16" width="10.5546875" style="8" customWidth="1"/>
    <col min="17" max="17" width="8.5546875" style="8" customWidth="1"/>
    <col min="18" max="18" width="63.77734375" style="8" customWidth="1"/>
    <col min="19" max="16384" width="8.88671875" style="8"/>
  </cols>
  <sheetData>
    <row r="2" spans="1:19" ht="33" x14ac:dyDescent="0.45">
      <c r="A2" s="1"/>
      <c r="B2" s="2" t="s">
        <v>180</v>
      </c>
      <c r="C2" s="3"/>
      <c r="D2" s="3"/>
      <c r="E2" s="3"/>
      <c r="F2" s="3"/>
      <c r="G2" s="4"/>
      <c r="H2" s="5"/>
      <c r="I2" s="5"/>
      <c r="J2" s="5"/>
      <c r="K2" s="4"/>
      <c r="L2" s="6"/>
      <c r="M2" s="7"/>
    </row>
    <row r="3" spans="1:19" ht="15.75" x14ac:dyDescent="0.25">
      <c r="A3" s="1"/>
      <c r="B3" s="141" t="str">
        <f>'Price List_Excl GST'!B3:F3</f>
        <v>Effective 1 July 2020</v>
      </c>
      <c r="C3" s="142"/>
      <c r="D3" s="142"/>
      <c r="E3" s="142"/>
      <c r="F3" s="142"/>
      <c r="G3" s="9"/>
      <c r="H3" s="9"/>
      <c r="I3" s="137"/>
      <c r="J3" s="137"/>
      <c r="K3" s="9"/>
      <c r="L3" s="9"/>
      <c r="M3" s="10"/>
    </row>
    <row r="4" spans="1:19" ht="15" x14ac:dyDescent="0.25">
      <c r="A4" s="1"/>
      <c r="B4" s="11"/>
      <c r="C4" s="12"/>
      <c r="D4" s="13"/>
      <c r="E4" s="13"/>
      <c r="F4" s="13"/>
      <c r="G4" s="13"/>
      <c r="H4" s="13"/>
      <c r="I4" s="13"/>
      <c r="J4" s="13"/>
      <c r="K4" s="13"/>
      <c r="L4" s="13"/>
      <c r="M4" s="14"/>
    </row>
    <row r="5" spans="1:19" ht="15" x14ac:dyDescent="0.25">
      <c r="B5" s="131" t="s">
        <v>107</v>
      </c>
      <c r="C5" s="131" t="s">
        <v>24</v>
      </c>
      <c r="D5" s="168" t="s">
        <v>9</v>
      </c>
      <c r="E5" s="169"/>
      <c r="F5" s="57" t="s">
        <v>1</v>
      </c>
      <c r="G5" s="57" t="s">
        <v>2</v>
      </c>
      <c r="H5" s="40" t="s">
        <v>2</v>
      </c>
      <c r="I5" s="40" t="s">
        <v>2</v>
      </c>
      <c r="J5" s="40" t="s">
        <v>2</v>
      </c>
      <c r="K5" s="40" t="s">
        <v>4</v>
      </c>
      <c r="L5" s="40" t="s">
        <v>5</v>
      </c>
      <c r="M5" s="40" t="s">
        <v>6</v>
      </c>
    </row>
    <row r="6" spans="1:19" ht="15" x14ac:dyDescent="0.2">
      <c r="B6" s="132"/>
      <c r="C6" s="132"/>
      <c r="D6" s="146"/>
      <c r="E6" s="147"/>
      <c r="F6" s="83" t="s">
        <v>10</v>
      </c>
      <c r="G6" s="83" t="s">
        <v>174</v>
      </c>
      <c r="H6" s="83" t="s">
        <v>4</v>
      </c>
      <c r="I6" s="83" t="s">
        <v>5</v>
      </c>
      <c r="J6" s="83" t="s">
        <v>6</v>
      </c>
      <c r="K6" s="83" t="s">
        <v>3</v>
      </c>
      <c r="L6" s="83" t="s">
        <v>3</v>
      </c>
      <c r="M6" s="83" t="s">
        <v>3</v>
      </c>
    </row>
    <row r="7" spans="1:19" ht="15" x14ac:dyDescent="0.2">
      <c r="B7" s="133"/>
      <c r="C7" s="133"/>
      <c r="D7" s="170"/>
      <c r="E7" s="171"/>
      <c r="F7" s="83" t="s">
        <v>13</v>
      </c>
      <c r="G7" s="83" t="s">
        <v>14</v>
      </c>
      <c r="H7" s="83" t="s">
        <v>14</v>
      </c>
      <c r="I7" s="83" t="s">
        <v>14</v>
      </c>
      <c r="J7" s="83" t="s">
        <v>14</v>
      </c>
      <c r="K7" s="83" t="s">
        <v>15</v>
      </c>
      <c r="L7" s="83" t="s">
        <v>15</v>
      </c>
      <c r="M7" s="83" t="s">
        <v>15</v>
      </c>
    </row>
    <row r="8" spans="1:19" s="18" customFormat="1" ht="18" x14ac:dyDescent="0.25">
      <c r="A8" s="16"/>
      <c r="B8" s="60" t="s">
        <v>16</v>
      </c>
      <c r="C8" s="61"/>
      <c r="D8" s="62"/>
      <c r="E8" s="63"/>
      <c r="F8" s="64"/>
      <c r="G8" s="64"/>
      <c r="H8" s="64"/>
      <c r="I8" s="64"/>
      <c r="J8" s="64"/>
      <c r="K8" s="64"/>
      <c r="L8" s="64"/>
      <c r="M8" s="64"/>
      <c r="N8" s="65"/>
      <c r="O8" s="65"/>
    </row>
    <row r="9" spans="1:19" ht="14.25" customHeight="1" x14ac:dyDescent="0.2">
      <c r="B9" s="19" t="s">
        <v>25</v>
      </c>
      <c r="C9" s="20"/>
      <c r="D9" s="134" t="s">
        <v>181</v>
      </c>
      <c r="E9" s="135"/>
      <c r="F9" s="21">
        <f>ROUND(VLOOKUP($B9,'[2]QSS (t)'!$B$10:$O$66,4,FALSE)/365,4)</f>
        <v>0</v>
      </c>
      <c r="G9" s="21">
        <f>ROUND(VLOOKUP($B9,'[2]QSS (t)'!$B$10:$O$66,5,FALSE),4)</f>
        <v>1.23E-2</v>
      </c>
      <c r="H9" s="21"/>
      <c r="I9" s="21"/>
      <c r="J9" s="21"/>
      <c r="K9" s="21"/>
      <c r="L9" s="21"/>
      <c r="M9" s="21"/>
      <c r="N9" s="22"/>
      <c r="O9" s="22"/>
    </row>
    <row r="10" spans="1:19" ht="14.25" customHeight="1" x14ac:dyDescent="0.2">
      <c r="B10" s="19" t="s">
        <v>26</v>
      </c>
      <c r="C10" s="20"/>
      <c r="D10" s="134" t="s">
        <v>42</v>
      </c>
      <c r="E10" s="135"/>
      <c r="F10" s="21">
        <f>ROUND(VLOOKUP($B10,'[2]QSS (t)'!$B$10:$O$66,4,FALSE)/365,4)</f>
        <v>0</v>
      </c>
      <c r="G10" s="21"/>
      <c r="H10" s="21">
        <f>ROUND(VLOOKUP($B10,'[2]QSS (t)'!$B$10:$O$66,6,FALSE),4)</f>
        <v>1.23E-2</v>
      </c>
      <c r="I10" s="21">
        <f>ROUND(VLOOKUP($B10,'[2]QSS (t)'!$B$10:$O$66,7,FALSE),4)</f>
        <v>1.23E-2</v>
      </c>
      <c r="J10" s="21">
        <f>ROUND(VLOOKUP($B10,'[2]QSS (t)'!$B$10:$O$66,8,FALSE),4)</f>
        <v>1.23E-2</v>
      </c>
      <c r="K10" s="21"/>
      <c r="L10" s="21"/>
      <c r="M10" s="21"/>
      <c r="N10" s="22"/>
      <c r="O10" s="22"/>
      <c r="P10" s="56"/>
      <c r="Q10" s="22"/>
      <c r="R10" s="22"/>
    </row>
    <row r="11" spans="1:19" ht="14.25" customHeight="1" x14ac:dyDescent="0.2">
      <c r="B11" s="19" t="s">
        <v>167</v>
      </c>
      <c r="C11" s="20"/>
      <c r="D11" s="134" t="s">
        <v>168</v>
      </c>
      <c r="E11" s="135"/>
      <c r="F11" s="21">
        <f>ROUND(VLOOKUP($B11,'[2]QSS (t)'!$B$10:$O$66,4,FALSE)/365,4)</f>
        <v>0</v>
      </c>
      <c r="G11" s="21"/>
      <c r="H11" s="21">
        <f>ROUND(VLOOKUP($B11,'[2]QSS (t)'!$B$10:$O$66,6,FALSE),4)</f>
        <v>1.23E-2</v>
      </c>
      <c r="I11" s="21">
        <f>ROUND(VLOOKUP($B11,'[2]QSS (t)'!$B$10:$O$66,7,FALSE),4)</f>
        <v>1.23E-2</v>
      </c>
      <c r="J11" s="21">
        <f>ROUND(VLOOKUP($B11,'[2]QSS (t)'!$B$10:$O$66,8,FALSE),4)</f>
        <v>1.23E-2</v>
      </c>
      <c r="K11" s="21"/>
      <c r="L11" s="21"/>
      <c r="M11" s="21"/>
      <c r="N11" s="22"/>
      <c r="O11" s="22"/>
      <c r="P11" s="22"/>
      <c r="Q11" s="22"/>
      <c r="R11" s="22"/>
      <c r="S11" s="22"/>
    </row>
    <row r="12" spans="1:19" ht="14.25" customHeight="1" x14ac:dyDescent="0.2">
      <c r="B12" s="19" t="s">
        <v>169</v>
      </c>
      <c r="C12" s="20"/>
      <c r="D12" s="134" t="s">
        <v>183</v>
      </c>
      <c r="E12" s="135"/>
      <c r="F12" s="21">
        <f>ROUND(VLOOKUP($B12,'[2]QSS (t)'!$B$10:$O$66,4,FALSE)/365,4)</f>
        <v>0</v>
      </c>
      <c r="G12" s="21"/>
      <c r="H12" s="21">
        <f>ROUND(VLOOKUP($B12,'[2]QSS (t)'!$B$10:$O$66,6,FALSE),4)</f>
        <v>1.23E-2</v>
      </c>
      <c r="I12" s="21">
        <f>ROUND(VLOOKUP($B12,'[2]QSS (t)'!$B$10:$O$66,7,FALSE),4)</f>
        <v>1.23E-2</v>
      </c>
      <c r="J12" s="21">
        <f>ROUND(VLOOKUP($B12,'[2]QSS (t)'!$B$10:$O$66,8,FALSE),4)</f>
        <v>1.23E-2</v>
      </c>
      <c r="K12" s="21">
        <f>ROUND(VLOOKUP($B12,'[2]QSS (t)'!$B$10:$O$66,10,FALSE),4)</f>
        <v>0</v>
      </c>
      <c r="L12" s="127"/>
      <c r="M12" s="21"/>
      <c r="N12" s="22"/>
      <c r="O12" s="22"/>
      <c r="P12" s="22"/>
      <c r="Q12" s="22"/>
      <c r="R12" s="22"/>
      <c r="S12" s="22"/>
    </row>
    <row r="13" spans="1:19" ht="18" x14ac:dyDescent="0.25">
      <c r="B13" s="61" t="s">
        <v>19</v>
      </c>
      <c r="C13" s="61"/>
      <c r="D13" s="66"/>
      <c r="E13" s="67"/>
      <c r="F13" s="68"/>
      <c r="G13" s="69"/>
      <c r="H13" s="69"/>
      <c r="I13" s="69"/>
      <c r="J13" s="69"/>
      <c r="K13" s="69"/>
      <c r="L13" s="69"/>
      <c r="M13" s="69"/>
      <c r="N13" s="70"/>
      <c r="O13" s="70"/>
      <c r="P13" s="22"/>
      <c r="Q13" s="22"/>
      <c r="R13" s="22"/>
      <c r="S13" s="22"/>
    </row>
    <row r="14" spans="1:19" ht="14.25" customHeight="1" x14ac:dyDescent="0.2">
      <c r="B14" s="19" t="s">
        <v>27</v>
      </c>
      <c r="C14" s="20"/>
      <c r="D14" s="134" t="s">
        <v>39</v>
      </c>
      <c r="E14" s="135"/>
      <c r="F14" s="21">
        <f>ROUND(VLOOKUP($B14,'[2]QSS (t)'!$B$10:$O$66,4,FALSE)/365,4)</f>
        <v>0</v>
      </c>
      <c r="G14" s="21">
        <f>ROUND(VLOOKUP($B14,'[2]QSS (t)'!$B$10:$O$66,5,FALSE),4)</f>
        <v>1.23E-2</v>
      </c>
      <c r="H14" s="21"/>
      <c r="I14" s="21"/>
      <c r="J14" s="21"/>
      <c r="K14" s="21"/>
      <c r="L14" s="21"/>
      <c r="M14" s="21"/>
      <c r="N14" s="22"/>
      <c r="O14" s="22"/>
      <c r="P14" s="22"/>
      <c r="Q14" s="22"/>
      <c r="R14" s="22"/>
      <c r="S14" s="22"/>
    </row>
    <row r="15" spans="1:19" ht="14.25" customHeight="1" x14ac:dyDescent="0.2">
      <c r="B15" s="19" t="s">
        <v>28</v>
      </c>
      <c r="C15" s="20"/>
      <c r="D15" s="134" t="s">
        <v>40</v>
      </c>
      <c r="E15" s="135"/>
      <c r="F15" s="21">
        <f>ROUND(VLOOKUP($B15,'[2]QSS (t)'!$B$10:$O$66,4,FALSE)/365,4)</f>
        <v>0</v>
      </c>
      <c r="G15" s="21">
        <f>ROUND(VLOOKUP($B15,'[2]QSS (t)'!$B$10:$O$66,5,FALSE),4)</f>
        <v>1.23E-2</v>
      </c>
      <c r="H15" s="21"/>
      <c r="I15" s="21"/>
      <c r="J15" s="21"/>
      <c r="K15" s="21"/>
      <c r="L15" s="21"/>
      <c r="M15" s="21"/>
      <c r="N15" s="22"/>
      <c r="O15" s="22"/>
      <c r="P15" s="22"/>
      <c r="Q15" s="22"/>
      <c r="R15" s="22"/>
    </row>
    <row r="16" spans="1:19" ht="18" x14ac:dyDescent="0.25">
      <c r="B16" s="71" t="s">
        <v>18</v>
      </c>
      <c r="C16" s="71"/>
      <c r="D16" s="72"/>
      <c r="E16" s="73"/>
      <c r="F16" s="74"/>
      <c r="G16" s="74"/>
      <c r="H16" s="74"/>
      <c r="I16" s="74"/>
      <c r="J16" s="74"/>
      <c r="K16" s="74"/>
      <c r="L16" s="74"/>
      <c r="M16" s="74"/>
      <c r="N16" s="70"/>
      <c r="O16" s="70"/>
      <c r="P16" s="22"/>
      <c r="Q16" s="22"/>
      <c r="R16" s="22"/>
      <c r="S16" s="22"/>
    </row>
    <row r="17" spans="2:19" ht="14.25" customHeight="1" x14ac:dyDescent="0.2">
      <c r="B17" s="19" t="s">
        <v>29</v>
      </c>
      <c r="C17" s="20"/>
      <c r="D17" s="134" t="s">
        <v>182</v>
      </c>
      <c r="E17" s="135"/>
      <c r="F17" s="21">
        <f>ROUND(VLOOKUP($B17,'[2]QSS (t)'!$B$10:$O$66,4,FALSE)/365,4)</f>
        <v>0</v>
      </c>
      <c r="G17" s="21">
        <f>ROUND(VLOOKUP($B17,'[2]QSS (t)'!$B$10:$O$66,5,FALSE),4)</f>
        <v>1.23E-2</v>
      </c>
      <c r="H17" s="21"/>
      <c r="I17" s="21"/>
      <c r="J17" s="21"/>
      <c r="K17" s="21"/>
      <c r="L17" s="21"/>
      <c r="M17" s="21"/>
      <c r="N17" s="22"/>
      <c r="O17" s="22"/>
      <c r="P17" s="22"/>
      <c r="Q17" s="22"/>
      <c r="R17" s="22"/>
      <c r="S17" s="22"/>
    </row>
    <row r="18" spans="2:19" ht="14.25" customHeight="1" x14ac:dyDescent="0.2">
      <c r="B18" s="19" t="s">
        <v>30</v>
      </c>
      <c r="C18" s="20"/>
      <c r="D18" s="134" t="s">
        <v>43</v>
      </c>
      <c r="E18" s="135"/>
      <c r="F18" s="21">
        <f>ROUND(VLOOKUP($B18,'[2]QSS (t)'!$B$10:$O$66,4,FALSE)/365,4)</f>
        <v>0</v>
      </c>
      <c r="G18" s="21"/>
      <c r="H18" s="21">
        <f>ROUND(VLOOKUP($B18,'[2]QSS (t)'!$B$10:$O$66,6,FALSE),4)</f>
        <v>1.23E-2</v>
      </c>
      <c r="I18" s="21">
        <f>ROUND(VLOOKUP($B18,'[2]QSS (t)'!$B$10:$O$66,7,FALSE),4)</f>
        <v>1.23E-2</v>
      </c>
      <c r="J18" s="21">
        <f>ROUND(VLOOKUP($B18,'[2]QSS (t)'!$B$10:$O$66,8,FALSE),4)</f>
        <v>1.23E-2</v>
      </c>
      <c r="K18" s="21"/>
      <c r="L18" s="21"/>
      <c r="M18" s="21"/>
      <c r="N18" s="22"/>
      <c r="O18" s="22"/>
    </row>
    <row r="19" spans="2:19" ht="14.25" customHeight="1" x14ac:dyDescent="0.2">
      <c r="B19" s="19" t="s">
        <v>171</v>
      </c>
      <c r="C19" s="20"/>
      <c r="D19" s="134" t="s">
        <v>172</v>
      </c>
      <c r="E19" s="135"/>
      <c r="F19" s="21">
        <f>ROUND(VLOOKUP($B19,'[2]QSS (t)'!$B$10:$O$66,4,FALSE)/365,4)</f>
        <v>0</v>
      </c>
      <c r="G19" s="21"/>
      <c r="H19" s="21">
        <f>ROUND(VLOOKUP($B19,'[2]QSS (t)'!$B$10:$O$66,6,FALSE),4)</f>
        <v>1.23E-2</v>
      </c>
      <c r="I19" s="21">
        <f>ROUND(VLOOKUP($B19,'[2]QSS (t)'!$B$10:$O$66,7,FALSE),4)</f>
        <v>1.23E-2</v>
      </c>
      <c r="J19" s="21">
        <f>ROUND(VLOOKUP($B19,'[2]QSS (t)'!$B$10:$O$66,8,FALSE),4)</f>
        <v>1.23E-2</v>
      </c>
      <c r="K19" s="21"/>
      <c r="L19" s="21"/>
      <c r="M19" s="21"/>
      <c r="N19" s="22"/>
      <c r="O19" s="22"/>
    </row>
    <row r="20" spans="2:19" ht="14.25" customHeight="1" x14ac:dyDescent="0.2">
      <c r="B20" s="19" t="s">
        <v>173</v>
      </c>
      <c r="C20" s="20"/>
      <c r="D20" s="134" t="s">
        <v>184</v>
      </c>
      <c r="E20" s="135"/>
      <c r="F20" s="21">
        <f>ROUND(VLOOKUP($B20,'[2]QSS (t)'!$B$10:$O$66,4,FALSE)/365,4)</f>
        <v>0</v>
      </c>
      <c r="G20" s="21"/>
      <c r="H20" s="21">
        <f>ROUND(VLOOKUP($B20,'[2]QSS (t)'!$B$10:$O$66,6,FALSE),4)</f>
        <v>1.23E-2</v>
      </c>
      <c r="I20" s="21">
        <f>ROUND(VLOOKUP($B20,'[2]QSS (t)'!$B$10:$O$66,7,FALSE),4)</f>
        <v>1.23E-2</v>
      </c>
      <c r="J20" s="21">
        <f>ROUND(VLOOKUP($B20,'[2]QSS (t)'!$B$10:$O$66,8,FALSE),4)</f>
        <v>1.23E-2</v>
      </c>
      <c r="K20" s="21">
        <f>ROUND(VLOOKUP($B20,'[2]QSS (t)'!$B$10:$O$66,10,FALSE),4)</f>
        <v>0</v>
      </c>
      <c r="L20" s="127"/>
      <c r="M20" s="21"/>
      <c r="N20" s="22"/>
      <c r="O20" s="22"/>
    </row>
    <row r="21" spans="2:19" ht="14.25" customHeight="1" x14ac:dyDescent="0.2">
      <c r="B21" s="19" t="s">
        <v>31</v>
      </c>
      <c r="C21" s="20" t="s">
        <v>170</v>
      </c>
      <c r="D21" s="134" t="s">
        <v>116</v>
      </c>
      <c r="E21" s="135"/>
      <c r="F21" s="21">
        <f>ROUND(VLOOKUP($B21,'[2]QSS (t)'!$B$10:$O$66,4,FALSE)/365,4)</f>
        <v>0</v>
      </c>
      <c r="G21" s="21"/>
      <c r="H21" s="21">
        <f>ROUND(VLOOKUP($B21,'[2]QSS (t)'!$B$10:$O$66,6,FALSE),4)</f>
        <v>1.23E-2</v>
      </c>
      <c r="I21" s="21">
        <f>ROUND(VLOOKUP($B21,'[2]QSS (t)'!$B$10:$O$66,7,FALSE),4)</f>
        <v>1.23E-2</v>
      </c>
      <c r="J21" s="21">
        <f>ROUND(VLOOKUP($B21,'[2]QSS (t)'!$B$10:$O$66,8,FALSE),4)</f>
        <v>1.23E-2</v>
      </c>
      <c r="K21" s="21"/>
      <c r="L21" s="21"/>
      <c r="M21" s="21"/>
      <c r="N21" s="22"/>
      <c r="O21" s="22"/>
    </row>
    <row r="22" spans="2:19" ht="14.25" customHeight="1" x14ac:dyDescent="0.2">
      <c r="B22" s="19" t="s">
        <v>175</v>
      </c>
      <c r="C22" s="20"/>
      <c r="D22" s="134" t="s">
        <v>176</v>
      </c>
      <c r="E22" s="135"/>
      <c r="F22" s="21">
        <f>ROUND(VLOOKUP($B22,'[2]QSS (t)'!$B$10:$O$66,4,FALSE)/365,4)</f>
        <v>0</v>
      </c>
      <c r="G22" s="21"/>
      <c r="H22" s="21">
        <f>ROUND(VLOOKUP($B22,'[2]QSS (t)'!$B$10:$O$66,6,FALSE),4)</f>
        <v>1.23E-2</v>
      </c>
      <c r="I22" s="21">
        <f>ROUND(VLOOKUP($B22,'[2]QSS (t)'!$B$10:$O$66,7,FALSE),4)</f>
        <v>1.23E-2</v>
      </c>
      <c r="J22" s="21">
        <f>ROUND(VLOOKUP($B22,'[2]QSS (t)'!$B$10:$O$66,8,FALSE),4)</f>
        <v>1.23E-2</v>
      </c>
      <c r="K22" s="21">
        <f>ROUND(VLOOKUP($B22,'[2]QSS (t)'!$B$10:$O$66,10,FALSE),4)</f>
        <v>0</v>
      </c>
      <c r="L22" s="21">
        <f>ROUND(VLOOKUP($B22,'[2]QSS (t)'!$B$10:$O$66,11,FALSE),4)</f>
        <v>0</v>
      </c>
      <c r="M22" s="21">
        <f>ROUND(VLOOKUP($B22,'[2]QSS (t)'!$B$10:$O$66,12,FALSE),4)</f>
        <v>0</v>
      </c>
      <c r="N22" s="22"/>
      <c r="O22" s="22"/>
    </row>
    <row r="23" spans="2:19" ht="14.25" customHeight="1" x14ac:dyDescent="0.2">
      <c r="B23" s="19" t="s">
        <v>32</v>
      </c>
      <c r="C23" s="20"/>
      <c r="D23" s="134" t="s">
        <v>47</v>
      </c>
      <c r="E23" s="135"/>
      <c r="F23" s="21">
        <f>ROUND(VLOOKUP($B23,'[2]QSS (t)'!$B$10:$O$66,4,FALSE)/365,4)</f>
        <v>0</v>
      </c>
      <c r="G23" s="21"/>
      <c r="H23" s="21">
        <f>ROUND(VLOOKUP($B23,'[2]QSS (t)'!$B$10:$O$66,6,FALSE),4)</f>
        <v>1.23E-2</v>
      </c>
      <c r="I23" s="21">
        <f>ROUND(VLOOKUP($B23,'[2]QSS (t)'!$B$10:$O$66,7,FALSE),4)</f>
        <v>1.23E-2</v>
      </c>
      <c r="J23" s="21">
        <f>ROUND(VLOOKUP($B23,'[2]QSS (t)'!$B$10:$O$66,8,FALSE),4)</f>
        <v>1.23E-2</v>
      </c>
      <c r="K23" s="21">
        <f>ROUND(VLOOKUP($B23,'[2]QSS (t)'!$B$10:$O$66,10,FALSE),4)</f>
        <v>0</v>
      </c>
      <c r="L23" s="21">
        <f>ROUND(VLOOKUP($B23,'[2]QSS (t)'!$B$10:$O$66,11,FALSE),4)</f>
        <v>0</v>
      </c>
      <c r="M23" s="21">
        <f>ROUND(VLOOKUP($B23,'[2]QSS (t)'!$B$10:$O$66,12,FALSE),4)</f>
        <v>0</v>
      </c>
      <c r="N23" s="22"/>
      <c r="O23" s="97"/>
    </row>
    <row r="24" spans="2:19" ht="14.25" customHeight="1" x14ac:dyDescent="0.2">
      <c r="B24" s="19" t="s">
        <v>61</v>
      </c>
      <c r="C24" s="20"/>
      <c r="D24" s="134" t="s">
        <v>74</v>
      </c>
      <c r="E24" s="135"/>
      <c r="F24" s="21">
        <f>ROUND(VLOOKUP($B24,'[2]QSS (t)'!$B$10:$O$66,4,FALSE)/365,4)</f>
        <v>0</v>
      </c>
      <c r="G24" s="21"/>
      <c r="H24" s="21">
        <f>ROUND(VLOOKUP($B24,'[2]QSS (t)'!$B$10:$O$66,6,FALSE),4)</f>
        <v>1.23E-2</v>
      </c>
      <c r="I24" s="21">
        <f>ROUND(VLOOKUP($B24,'[2]QSS (t)'!$B$10:$O$66,7,FALSE),4)</f>
        <v>1.23E-2</v>
      </c>
      <c r="J24" s="21">
        <f>ROUND(VLOOKUP($B24,'[2]QSS (t)'!$B$10:$O$66,8,FALSE),4)</f>
        <v>1.23E-2</v>
      </c>
      <c r="K24" s="129">
        <f>ROUND(VLOOKUP($B24,'[2]QSS (t)'!$B$10:$O$66,10,FALSE),4)</f>
        <v>0</v>
      </c>
      <c r="L24" s="130"/>
      <c r="M24" s="21"/>
      <c r="N24" s="22"/>
      <c r="O24" s="22"/>
    </row>
    <row r="25" spans="2:19" ht="14.25" customHeight="1" x14ac:dyDescent="0.2">
      <c r="B25" s="19" t="s">
        <v>34</v>
      </c>
      <c r="C25" s="20"/>
      <c r="D25" s="134" t="s">
        <v>41</v>
      </c>
      <c r="E25" s="135"/>
      <c r="F25" s="21">
        <f>ROUND(VLOOKUP($B25,'[2]QSS (t)'!$B$10:$O$66,4,FALSE)/365,4)</f>
        <v>0</v>
      </c>
      <c r="G25" s="21"/>
      <c r="H25" s="21">
        <f>ROUND(VLOOKUP($B25,'[2]QSS (t)'!$B$10:$O$66,6,FALSE),4)</f>
        <v>0</v>
      </c>
      <c r="I25" s="21">
        <f>ROUND(VLOOKUP($B25,'[2]QSS (t)'!$B$10:$O$66,7,FALSE),4)</f>
        <v>0</v>
      </c>
      <c r="J25" s="21">
        <f>ROUND(VLOOKUP($B25,'[2]QSS (t)'!$B$10:$O$66,8,FALSE),4)</f>
        <v>0</v>
      </c>
      <c r="K25" s="21">
        <f>ROUND(VLOOKUP($B25,'[2]QSS (t)'!$B$10:$O$66,10,FALSE),4)</f>
        <v>0</v>
      </c>
      <c r="L25" s="21">
        <f>ROUND(VLOOKUP($B25,'[2]QSS (t)'!$B$10:$O$66,11,FALSE),4)</f>
        <v>0</v>
      </c>
      <c r="M25" s="21">
        <f>ROUND(VLOOKUP($B25,'[2]QSS (t)'!$B$10:$O$66,12,FALSE),4)</f>
        <v>0</v>
      </c>
      <c r="N25" s="22"/>
      <c r="O25" s="22"/>
    </row>
    <row r="26" spans="2:19" ht="14.25" customHeight="1" x14ac:dyDescent="0.2">
      <c r="B26" s="19" t="s">
        <v>23</v>
      </c>
      <c r="C26" s="20"/>
      <c r="D26" s="143" t="s">
        <v>38</v>
      </c>
      <c r="E26" s="144"/>
      <c r="F26" s="21">
        <f>ROUND(VLOOKUP($B26,'[2]QSS (t)'!$B$10:$O$66,4,FALSE)/365,4)</f>
        <v>0</v>
      </c>
      <c r="G26" s="21"/>
      <c r="H26" s="21">
        <f>ROUND(VLOOKUP($B26,'[2]QSS (t)'!$B$10:$O$66,6,FALSE),4)</f>
        <v>0</v>
      </c>
      <c r="I26" s="21">
        <f>ROUND(VLOOKUP($B26,'[2]QSS (t)'!$B$10:$O$66,7,FALSE),4)</f>
        <v>0</v>
      </c>
      <c r="J26" s="21">
        <f>ROUND(VLOOKUP($B26,'[2]QSS (t)'!$B$10:$O$66,8,FALSE),4)</f>
        <v>0</v>
      </c>
      <c r="K26" s="21">
        <f>ROUND(VLOOKUP($B26,'[2]QSS (t)'!$B$10:$O$66,10,FALSE),4)</f>
        <v>0</v>
      </c>
      <c r="L26" s="21">
        <f>ROUND(VLOOKUP($B26,'[2]QSS (t)'!$B$10:$O$66,11,FALSE),4)</f>
        <v>0</v>
      </c>
      <c r="M26" s="21">
        <f>ROUND(VLOOKUP($B26,'[2]QSS (t)'!$B$10:$O$66,12,FALSE),4)</f>
        <v>0</v>
      </c>
    </row>
    <row r="27" spans="2:19" ht="18" x14ac:dyDescent="0.25">
      <c r="B27" s="71" t="s">
        <v>45</v>
      </c>
      <c r="C27" s="71"/>
      <c r="D27" s="72"/>
      <c r="E27" s="73"/>
      <c r="F27" s="75"/>
      <c r="G27" s="75"/>
      <c r="H27" s="75"/>
      <c r="I27" s="75"/>
      <c r="J27" s="75"/>
      <c r="K27" s="75"/>
      <c r="L27" s="75"/>
      <c r="M27" s="75"/>
      <c r="N27" s="65"/>
      <c r="O27" s="65"/>
    </row>
    <row r="28" spans="2:19" ht="14.25" customHeight="1" x14ac:dyDescent="0.2">
      <c r="B28" s="19" t="s">
        <v>36</v>
      </c>
      <c r="C28" s="20" t="s">
        <v>44</v>
      </c>
      <c r="D28" s="134" t="s">
        <v>109</v>
      </c>
      <c r="E28" s="135"/>
      <c r="F28" s="21">
        <f>ROUND(VLOOKUP($B28,'[2]QSS (t)'!$B$10:$O$66,4,FALSE)/365,4)</f>
        <v>0</v>
      </c>
      <c r="G28" s="21">
        <f>ROUND(VLOOKUP($B28,'[2]QSS (t)'!$B$10:$O$66,5,FALSE),4)</f>
        <v>0</v>
      </c>
      <c r="H28" s="21"/>
      <c r="I28" s="21"/>
      <c r="J28" s="21"/>
      <c r="K28" s="21"/>
      <c r="L28" s="21"/>
      <c r="M28" s="21"/>
    </row>
    <row r="29" spans="2:19" ht="14.25" customHeight="1" x14ac:dyDescent="0.2">
      <c r="B29" s="19" t="s">
        <v>37</v>
      </c>
      <c r="C29" s="20"/>
      <c r="D29" s="134" t="s">
        <v>110</v>
      </c>
      <c r="E29" s="135"/>
      <c r="F29" s="21">
        <f>ROUND(VLOOKUP($B29,'[2]QSS (t)'!$B$10:$O$66,4,FALSE)/365,4)</f>
        <v>0</v>
      </c>
      <c r="G29" s="21"/>
      <c r="H29" s="21">
        <f>ROUND(VLOOKUP($B29,'[2]QSS (t)'!$B$10:$O$66,6,FALSE),4)</f>
        <v>0</v>
      </c>
      <c r="I29" s="21">
        <f>ROUND(VLOOKUP($B29,'[2]QSS (t)'!$B$10:$O$66,7,FALSE),4)</f>
        <v>0</v>
      </c>
      <c r="J29" s="21">
        <f>ROUND(VLOOKUP($B29,'[2]QSS (t)'!$B$10:$O$66,8,FALSE),4)</f>
        <v>0</v>
      </c>
      <c r="K29" s="21"/>
      <c r="L29" s="21"/>
      <c r="M29" s="21"/>
    </row>
    <row r="30" spans="2:19" ht="18" x14ac:dyDescent="0.25">
      <c r="B30" s="71" t="s">
        <v>69</v>
      </c>
      <c r="C30" s="71"/>
      <c r="D30" s="72"/>
      <c r="E30" s="73"/>
      <c r="F30" s="75"/>
      <c r="G30" s="75"/>
      <c r="H30" s="75"/>
      <c r="I30" s="75"/>
      <c r="J30" s="75"/>
      <c r="K30" s="75"/>
      <c r="L30" s="75"/>
      <c r="M30" s="75"/>
      <c r="N30" s="65"/>
      <c r="O30" s="65"/>
    </row>
    <row r="31" spans="2:19" ht="14.25" customHeight="1" x14ac:dyDescent="0.2">
      <c r="B31" s="20" t="s">
        <v>50</v>
      </c>
      <c r="C31" s="20"/>
      <c r="D31" s="134" t="s">
        <v>51</v>
      </c>
      <c r="E31" s="135"/>
      <c r="F31" s="27" t="s">
        <v>52</v>
      </c>
      <c r="G31" s="27"/>
      <c r="H31" s="27" t="s">
        <v>52</v>
      </c>
      <c r="I31" s="27" t="s">
        <v>52</v>
      </c>
      <c r="J31" s="27" t="s">
        <v>52</v>
      </c>
      <c r="K31" s="27" t="s">
        <v>52</v>
      </c>
      <c r="L31" s="27" t="s">
        <v>52</v>
      </c>
      <c r="M31" s="27" t="s">
        <v>52</v>
      </c>
    </row>
    <row r="32" spans="2:19" ht="15" x14ac:dyDescent="0.25">
      <c r="B32" s="53" t="s">
        <v>53</v>
      </c>
      <c r="C32" s="47"/>
      <c r="D32" s="48"/>
      <c r="E32" s="37" t="s">
        <v>1</v>
      </c>
      <c r="F32" s="38" t="s">
        <v>2</v>
      </c>
      <c r="G32" s="38" t="s">
        <v>2</v>
      </c>
      <c r="H32" s="38" t="s">
        <v>2</v>
      </c>
      <c r="I32" s="37" t="s">
        <v>3</v>
      </c>
      <c r="J32" s="38" t="s">
        <v>4</v>
      </c>
      <c r="K32" s="38" t="s">
        <v>5</v>
      </c>
      <c r="L32" s="38" t="s">
        <v>6</v>
      </c>
      <c r="M32" s="39" t="s">
        <v>7</v>
      </c>
    </row>
    <row r="33" spans="1:13" ht="15" x14ac:dyDescent="0.25">
      <c r="B33" s="54" t="s">
        <v>0</v>
      </c>
      <c r="C33" s="49" t="s">
        <v>9</v>
      </c>
      <c r="D33" s="98"/>
      <c r="E33" s="40" t="s">
        <v>10</v>
      </c>
      <c r="F33" s="40" t="s">
        <v>4</v>
      </c>
      <c r="G33" s="40" t="s">
        <v>5</v>
      </c>
      <c r="H33" s="40" t="s">
        <v>6</v>
      </c>
      <c r="I33" s="40" t="s">
        <v>12</v>
      </c>
      <c r="J33" s="40" t="s">
        <v>3</v>
      </c>
      <c r="K33" s="40" t="s">
        <v>3</v>
      </c>
      <c r="L33" s="40" t="s">
        <v>3</v>
      </c>
      <c r="M33" s="41" t="s">
        <v>12</v>
      </c>
    </row>
    <row r="34" spans="1:13" ht="15" x14ac:dyDescent="0.25">
      <c r="B34" s="41" t="s">
        <v>8</v>
      </c>
      <c r="C34" s="50"/>
      <c r="D34" s="51"/>
      <c r="E34" s="40" t="s">
        <v>13</v>
      </c>
      <c r="F34" s="40" t="s">
        <v>14</v>
      </c>
      <c r="G34" s="40" t="s">
        <v>14</v>
      </c>
      <c r="H34" s="40" t="s">
        <v>14</v>
      </c>
      <c r="I34" s="40" t="s">
        <v>15</v>
      </c>
      <c r="J34" s="40" t="s">
        <v>15</v>
      </c>
      <c r="K34" s="40" t="s">
        <v>15</v>
      </c>
      <c r="L34" s="40" t="s">
        <v>15</v>
      </c>
      <c r="M34" s="40" t="s">
        <v>15</v>
      </c>
    </row>
    <row r="35" spans="1:13" ht="26.25" x14ac:dyDescent="0.25">
      <c r="B35" s="52"/>
      <c r="C35" s="55"/>
      <c r="D35" s="99"/>
      <c r="E35" s="17" t="s">
        <v>86</v>
      </c>
      <c r="F35" s="17" t="s">
        <v>86</v>
      </c>
      <c r="G35" s="17" t="s">
        <v>86</v>
      </c>
      <c r="H35" s="17" t="s">
        <v>86</v>
      </c>
      <c r="I35" s="17" t="s">
        <v>86</v>
      </c>
      <c r="J35" s="17" t="s">
        <v>86</v>
      </c>
      <c r="K35" s="17" t="s">
        <v>86</v>
      </c>
      <c r="L35" s="17" t="s">
        <v>86</v>
      </c>
      <c r="M35" s="17" t="s">
        <v>86</v>
      </c>
    </row>
    <row r="36" spans="1:13" ht="15" x14ac:dyDescent="0.25">
      <c r="B36" s="23" t="s">
        <v>46</v>
      </c>
      <c r="C36" s="24"/>
      <c r="D36" s="100"/>
      <c r="E36" s="44"/>
      <c r="F36" s="25"/>
      <c r="G36" s="25"/>
      <c r="H36" s="25"/>
      <c r="I36" s="25"/>
      <c r="J36" s="25"/>
      <c r="K36" s="25"/>
      <c r="L36" s="25"/>
      <c r="M36" s="25"/>
    </row>
    <row r="37" spans="1:13" x14ac:dyDescent="0.2">
      <c r="B37" s="19" t="s">
        <v>33</v>
      </c>
      <c r="C37" s="166" t="s">
        <v>58</v>
      </c>
      <c r="D37" s="167"/>
      <c r="E37" s="21">
        <f>ROUND(VLOOKUP($B37,'[2]QSS (t)'!$B$10:$O$66,4,FALSE)/365,4)</f>
        <v>0</v>
      </c>
      <c r="F37" s="21">
        <f>ROUND(VLOOKUP($B37,'[2]QSS (t)'!$B$10:$O$66,6,FALSE),4)</f>
        <v>1.23E-2</v>
      </c>
      <c r="G37" s="21">
        <f>ROUND(VLOOKUP($B37,'[2]QSS (t)'!$B$10:$O$66,7,FALSE),4)</f>
        <v>1.23E-2</v>
      </c>
      <c r="H37" s="21">
        <f>ROUND(VLOOKUP($B37,'[2]QSS (t)'!$B$10:$O$66,8,FALSE),4)</f>
        <v>1.23E-2</v>
      </c>
      <c r="I37" s="21"/>
      <c r="J37" s="21">
        <f>ROUND(VLOOKUP($B37,'[2]QSS (t)'!$B$10:$O$66,10,FALSE),4)</f>
        <v>0</v>
      </c>
      <c r="K37" s="21">
        <f>ROUND(VLOOKUP($B37,'[2]QSS (t)'!$B$10:$O$66,11,FALSE),4)</f>
        <v>0</v>
      </c>
      <c r="L37" s="21">
        <f>ROUND(VLOOKUP($B37,'[2]QSS (t)'!$B$10:$O$66,12,FALSE),4)</f>
        <v>0</v>
      </c>
      <c r="M37" s="21"/>
    </row>
    <row r="38" spans="1:13" x14ac:dyDescent="0.2">
      <c r="B38" s="19" t="s">
        <v>35</v>
      </c>
      <c r="C38" s="164" t="s">
        <v>59</v>
      </c>
      <c r="D38" s="165"/>
      <c r="E38" s="21">
        <f>ROUND(VLOOKUP($B38,'[2]QSS (t)'!$B$10:$O$66,4,FALSE)/365,4)</f>
        <v>0</v>
      </c>
      <c r="F38" s="21">
        <f>ROUND(VLOOKUP($B38,'[2]QSS (t)'!$B$10:$O$66,6,FALSE),4)</f>
        <v>0</v>
      </c>
      <c r="G38" s="21">
        <f>ROUND(VLOOKUP($B38,'[2]QSS (t)'!$B$10:$O$66,7,FALSE),4)</f>
        <v>0</v>
      </c>
      <c r="H38" s="21">
        <f>ROUND(VLOOKUP($B38,'[2]QSS (t)'!$B$10:$O$66,8,FALSE),4)</f>
        <v>0</v>
      </c>
      <c r="I38" s="21"/>
      <c r="J38" s="21">
        <f>ROUND(VLOOKUP($B38,'[2]QSS (t)'!$B$10:$O$66,10,FALSE),4)</f>
        <v>0</v>
      </c>
      <c r="K38" s="21">
        <f>ROUND(VLOOKUP($B38,'[2]QSS (t)'!$B$10:$O$66,11,FALSE),4)</f>
        <v>0</v>
      </c>
      <c r="L38" s="21">
        <f>ROUND(VLOOKUP($B38,'[2]QSS (t)'!$B$10:$O$66,12,FALSE),4)</f>
        <v>0</v>
      </c>
      <c r="M38" s="21"/>
    </row>
    <row r="39" spans="1:13" x14ac:dyDescent="0.2">
      <c r="B39" s="19" t="s">
        <v>170</v>
      </c>
      <c r="C39" s="33" t="s">
        <v>200</v>
      </c>
      <c r="D39" s="101"/>
      <c r="E39" s="21">
        <f>ROUND(VLOOKUP("BLND1CO",'[2]TUOS (t)'!$B$10:$O$66,4,FALSE)/365,4)</f>
        <v>0</v>
      </c>
      <c r="F39" s="21">
        <f>ROUND(VLOOKUP($B39,'[2]QSS (t)'!$B$10:$O$66,6,FALSE),4)</f>
        <v>1.23E-2</v>
      </c>
      <c r="G39" s="21">
        <f>ROUND(VLOOKUP($B39,'[2]QSS (t)'!$B$10:$O$66,7,FALSE),4)</f>
        <v>1.23E-2</v>
      </c>
      <c r="H39" s="21">
        <f>ROUND(VLOOKUP($B39,'[2]QSS (t)'!$B$10:$O$66,8,FALSE),4)</f>
        <v>1.23E-2</v>
      </c>
      <c r="I39" s="21">
        <f>ROUND(VLOOKUP("BLND1CO",'[2]TUOS (t)'!$B$10:$O$66,9,FALSE),4)</f>
        <v>0</v>
      </c>
      <c r="J39" s="21"/>
      <c r="K39" s="21"/>
      <c r="L39" s="21"/>
      <c r="M39" s="21"/>
    </row>
    <row r="40" spans="1:13" ht="28.5" x14ac:dyDescent="0.2">
      <c r="B40" s="20" t="s">
        <v>81</v>
      </c>
      <c r="C40" s="33" t="s">
        <v>48</v>
      </c>
      <c r="D40" s="101"/>
      <c r="E40" s="21">
        <f>ROUND(VLOOKUP("BLND1CO",'[2]QSS (t)'!$B$10:$O$66,4,FALSE)/365,4)</f>
        <v>0</v>
      </c>
      <c r="F40" s="21">
        <f>ROUND(VLOOKUP("BLND1CO",'[2]QSS (t)'!$B$10:$O$66,6,FALSE),4)</f>
        <v>1.23E-2</v>
      </c>
      <c r="G40" s="21">
        <f>ROUND(VLOOKUP("BLND1CO",'[2]QSS (t)'!$B$10:$O$66,7,FALSE),4)</f>
        <v>1.23E-2</v>
      </c>
      <c r="H40" s="21">
        <f>ROUND(VLOOKUP("BLND1CO",'[2]QSS (t)'!$B$10:$O$66,8,FALSE),4)</f>
        <v>1.23E-2</v>
      </c>
      <c r="I40" s="21">
        <f>ROUND(VLOOKUP("BLND1CO",'[2]QSS (t)'!$B$10:$O$66,9,FALSE),4)</f>
        <v>0</v>
      </c>
      <c r="J40" s="21"/>
      <c r="K40" s="21"/>
      <c r="L40" s="21"/>
      <c r="M40" s="21"/>
    </row>
    <row r="41" spans="1:13" x14ac:dyDescent="0.2">
      <c r="B41" s="19" t="s">
        <v>20</v>
      </c>
      <c r="C41" s="33" t="s">
        <v>55</v>
      </c>
      <c r="D41" s="101"/>
      <c r="E41" s="21">
        <f>ROUND(VLOOKUP($B41,'[2]QSS (t)'!$B$10:$O$66,4,FALSE)/365,4)</f>
        <v>0</v>
      </c>
      <c r="F41" s="21">
        <f>ROUND(VLOOKUP($B41,'[2]QSS (t)'!$B$10:$O$66,6,FALSE),4)</f>
        <v>1.23E-2</v>
      </c>
      <c r="G41" s="21">
        <f>ROUND(VLOOKUP($B41,'[2]QSS (t)'!$B$10:$O$66,7,FALSE),4)</f>
        <v>1.23E-2</v>
      </c>
      <c r="H41" s="21">
        <f>ROUND(VLOOKUP($B41,'[2]QSS (t)'!$B$10:$O$66,8,FALSE),4)</f>
        <v>1.23E-2</v>
      </c>
      <c r="I41" s="21">
        <f>ROUND(VLOOKUP($B41,'[2]QSS (t)'!$B$10:$O$66,9,FALSE),4)</f>
        <v>0</v>
      </c>
      <c r="J41" s="21"/>
      <c r="K41" s="21"/>
      <c r="L41" s="21"/>
      <c r="M41" s="21">
        <f>ROUND(VLOOKUP($B41,'[2]QSS (t)'!$B$10:$O$66,13,FALSE),4)</f>
        <v>0</v>
      </c>
    </row>
    <row r="42" spans="1:13" x14ac:dyDescent="0.2">
      <c r="B42" s="19" t="s">
        <v>21</v>
      </c>
      <c r="C42" s="33" t="s">
        <v>54</v>
      </c>
      <c r="D42" s="101"/>
      <c r="E42" s="21">
        <f>ROUND(VLOOKUP($B42,'[2]QSS (t)'!$B$10:$O$66,4,FALSE)/365,4)</f>
        <v>0</v>
      </c>
      <c r="F42" s="21">
        <f>ROUND(VLOOKUP($B42,'[2]QSS (t)'!$B$10:$O$66,6,FALSE),4)</f>
        <v>1.23E-2</v>
      </c>
      <c r="G42" s="21">
        <f>ROUND(VLOOKUP($B42,'[2]QSS (t)'!$B$10:$O$66,7,FALSE),4)</f>
        <v>1.23E-2</v>
      </c>
      <c r="H42" s="21">
        <f>ROUND(VLOOKUP($B42,'[2]QSS (t)'!$B$10:$O$66,8,FALSE),4)</f>
        <v>1.23E-2</v>
      </c>
      <c r="I42" s="21">
        <f>ROUND(VLOOKUP($B42,'[2]QSS (t)'!$B$10:$O$66,9,FALSE),4)</f>
        <v>0</v>
      </c>
      <c r="J42" s="21"/>
      <c r="K42" s="21"/>
      <c r="L42" s="21"/>
      <c r="M42" s="21">
        <f>ROUND(VLOOKUP($B42,'[2]QSS (t)'!$B$10:$O$66,13,FALSE),4)</f>
        <v>0</v>
      </c>
    </row>
    <row r="43" spans="1:13" s="46" customFormat="1" x14ac:dyDescent="0.2">
      <c r="A43" s="45"/>
      <c r="B43" s="19" t="s">
        <v>22</v>
      </c>
      <c r="C43" s="33" t="s">
        <v>56</v>
      </c>
      <c r="D43" s="102"/>
      <c r="E43" s="21">
        <f>ROUND(VLOOKUP($B43,'[2]QSS (t)'!$B$10:$O$66,4,FALSE)/365,4)</f>
        <v>0</v>
      </c>
      <c r="F43" s="21">
        <f>ROUND(VLOOKUP($B43,'[2]QSS (t)'!$B$10:$O$66,6,FALSE),4)</f>
        <v>0</v>
      </c>
      <c r="G43" s="21">
        <f>ROUND(VLOOKUP($B43,'[2]QSS (t)'!$B$10:$O$66,7,FALSE),4)</f>
        <v>0</v>
      </c>
      <c r="H43" s="21">
        <f>ROUND(VLOOKUP($B43,'[2]QSS (t)'!$B$10:$O$66,8,FALSE),4)</f>
        <v>0</v>
      </c>
      <c r="I43" s="21">
        <f>ROUND(VLOOKUP($B43,'[2]QSS (t)'!$B$10:$O$66,9,FALSE),4)</f>
        <v>0</v>
      </c>
      <c r="J43" s="21"/>
      <c r="K43" s="21"/>
      <c r="L43" s="21"/>
      <c r="M43" s="21"/>
    </row>
    <row r="44" spans="1:13" ht="28.5" x14ac:dyDescent="0.2">
      <c r="B44" s="20" t="s">
        <v>80</v>
      </c>
      <c r="C44" s="33" t="s">
        <v>57</v>
      </c>
      <c r="D44" s="101"/>
      <c r="E44" s="21">
        <f>ROUND(VLOOKUP("BHND1SO",'[2]QSS (t)'!$B$10:$O$66,4,FALSE)/365,4)</f>
        <v>0</v>
      </c>
      <c r="F44" s="21">
        <f>ROUND(VLOOKUP("BHND1SO",'[2]QSS (t)'!$B$10:$O$66,6,FALSE),4)</f>
        <v>0</v>
      </c>
      <c r="G44" s="21">
        <f>ROUND(VLOOKUP("BHND1SO",'[2]QSS (t)'!$B$10:$O$66,7,FALSE),4)</f>
        <v>0</v>
      </c>
      <c r="H44" s="21">
        <f>ROUND(VLOOKUP("BHND1SO",'[2]QSS (t)'!$B$10:$O$66,8,FALSE),4)</f>
        <v>0</v>
      </c>
      <c r="I44" s="21">
        <f>ROUND(VLOOKUP("BHND1SO",'[2]QSS (t)'!$B$10:$O$66,9,FALSE),4)</f>
        <v>0</v>
      </c>
      <c r="J44" s="21"/>
      <c r="K44" s="21"/>
      <c r="L44" s="21"/>
      <c r="M44" s="21">
        <f>ROUND(VLOOKUP("BHND1SO",'[2]QSS (t)'!$B$10:$O$66,13,FALSE),4)</f>
        <v>0</v>
      </c>
    </row>
  </sheetData>
  <mergeCells count="27">
    <mergeCell ref="D9:E9"/>
    <mergeCell ref="D10:E10"/>
    <mergeCell ref="K24:L24"/>
    <mergeCell ref="D28:E28"/>
    <mergeCell ref="D29:E29"/>
    <mergeCell ref="D25:E25"/>
    <mergeCell ref="D26:E26"/>
    <mergeCell ref="D24:E24"/>
    <mergeCell ref="D11:E11"/>
    <mergeCell ref="D19:E19"/>
    <mergeCell ref="D20:E20"/>
    <mergeCell ref="D21:E21"/>
    <mergeCell ref="D22:E22"/>
    <mergeCell ref="D14:E14"/>
    <mergeCell ref="D18:E18"/>
    <mergeCell ref="D12:E12"/>
    <mergeCell ref="B3:F3"/>
    <mergeCell ref="I3:J3"/>
    <mergeCell ref="B5:B7"/>
    <mergeCell ref="C5:C7"/>
    <mergeCell ref="D5:E7"/>
    <mergeCell ref="D15:E15"/>
    <mergeCell ref="D17:E17"/>
    <mergeCell ref="C37:D37"/>
    <mergeCell ref="C38:D38"/>
    <mergeCell ref="D23:E23"/>
    <mergeCell ref="D31:E31"/>
  </mergeCells>
  <pageMargins left="0.39370078740157483" right="0.39370078740157483" top="0.39370078740157483" bottom="0.39370078740157483" header="0.51181102362204722" footer="0.51181102362204722"/>
  <pageSetup paperSize="9" scale="67"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B41"/>
  <sheetViews>
    <sheetView zoomScaleNormal="100" zoomScaleSheetLayoutView="80" workbookViewId="0">
      <selection activeCell="B7" sqref="B7"/>
    </sheetView>
  </sheetViews>
  <sheetFormatPr defaultRowHeight="15.75" x14ac:dyDescent="0.3"/>
  <cols>
    <col min="1" max="1" width="40.88671875" customWidth="1"/>
    <col min="2" max="2" width="122.44140625" customWidth="1"/>
  </cols>
  <sheetData>
    <row r="1" spans="1:2" x14ac:dyDescent="0.3">
      <c r="A1" t="s">
        <v>165</v>
      </c>
    </row>
    <row r="3" spans="1:2" ht="16.5" thickBot="1" x14ac:dyDescent="0.35"/>
    <row r="4" spans="1:2" ht="16.5" thickBot="1" x14ac:dyDescent="0.35">
      <c r="A4" s="84" t="s">
        <v>0</v>
      </c>
      <c r="B4" s="85" t="s">
        <v>119</v>
      </c>
    </row>
    <row r="5" spans="1:2" x14ac:dyDescent="0.3">
      <c r="A5" s="95" t="s">
        <v>185</v>
      </c>
      <c r="B5" s="87" t="s">
        <v>186</v>
      </c>
    </row>
    <row r="6" spans="1:2" ht="16.5" thickBot="1" x14ac:dyDescent="0.35">
      <c r="A6" s="88" t="s">
        <v>120</v>
      </c>
      <c r="B6" s="89" t="s">
        <v>121</v>
      </c>
    </row>
    <row r="7" spans="1:2" ht="16.5" thickBot="1" x14ac:dyDescent="0.35">
      <c r="A7" s="96" t="s">
        <v>187</v>
      </c>
      <c r="B7" s="104" t="s">
        <v>194</v>
      </c>
    </row>
    <row r="8" spans="1:2" ht="16.5" thickBot="1" x14ac:dyDescent="0.35">
      <c r="A8" s="96" t="s">
        <v>188</v>
      </c>
      <c r="B8" s="104" t="s">
        <v>194</v>
      </c>
    </row>
    <row r="9" spans="1:2" ht="48.75" thickBot="1" x14ac:dyDescent="0.35">
      <c r="A9" s="88" t="s">
        <v>122</v>
      </c>
      <c r="B9" s="89" t="s">
        <v>123</v>
      </c>
    </row>
    <row r="10" spans="1:2" ht="36.75" thickBot="1" x14ac:dyDescent="0.35">
      <c r="A10" s="88" t="s">
        <v>124</v>
      </c>
      <c r="B10" s="89" t="s">
        <v>125</v>
      </c>
    </row>
    <row r="11" spans="1:2" ht="16.5" thickBot="1" x14ac:dyDescent="0.35">
      <c r="A11" s="88" t="s">
        <v>126</v>
      </c>
      <c r="B11" s="89" t="s">
        <v>127</v>
      </c>
    </row>
    <row r="12" spans="1:2" ht="16.5" thickBot="1" x14ac:dyDescent="0.35">
      <c r="A12" s="88" t="s">
        <v>128</v>
      </c>
      <c r="B12" s="89" t="s">
        <v>129</v>
      </c>
    </row>
    <row r="13" spans="1:2" ht="16.5" thickBot="1" x14ac:dyDescent="0.35">
      <c r="A13" s="88" t="s">
        <v>130</v>
      </c>
      <c r="B13" s="90" t="s">
        <v>131</v>
      </c>
    </row>
    <row r="14" spans="1:2" ht="16.5" thickBot="1" x14ac:dyDescent="0.35">
      <c r="A14" s="88" t="s">
        <v>132</v>
      </c>
      <c r="B14" s="90" t="s">
        <v>133</v>
      </c>
    </row>
    <row r="15" spans="1:2" ht="16.5" thickBot="1" x14ac:dyDescent="0.35">
      <c r="A15" s="88" t="s">
        <v>134</v>
      </c>
      <c r="B15" s="90" t="s">
        <v>135</v>
      </c>
    </row>
    <row r="16" spans="1:2" ht="16.5" thickBot="1" x14ac:dyDescent="0.35">
      <c r="A16" s="88" t="s">
        <v>136</v>
      </c>
      <c r="B16" s="91" t="s">
        <v>166</v>
      </c>
    </row>
    <row r="17" spans="1:2" ht="16.5" thickBot="1" x14ac:dyDescent="0.35">
      <c r="A17" s="88" t="s">
        <v>137</v>
      </c>
      <c r="B17" s="90" t="s">
        <v>138</v>
      </c>
    </row>
    <row r="18" spans="1:2" ht="16.5" thickBot="1" x14ac:dyDescent="0.35">
      <c r="A18" s="96" t="s">
        <v>189</v>
      </c>
      <c r="B18" s="90" t="s">
        <v>190</v>
      </c>
    </row>
    <row r="19" spans="1:2" ht="16.5" thickBot="1" x14ac:dyDescent="0.35">
      <c r="A19" s="88" t="s">
        <v>139</v>
      </c>
      <c r="B19" s="90" t="s">
        <v>140</v>
      </c>
    </row>
    <row r="20" spans="1:2" ht="16.5" thickBot="1" x14ac:dyDescent="0.35">
      <c r="A20" s="96" t="s">
        <v>191</v>
      </c>
      <c r="B20" s="105" t="s">
        <v>195</v>
      </c>
    </row>
    <row r="21" spans="1:2" ht="16.5" thickBot="1" x14ac:dyDescent="0.35">
      <c r="A21" s="96" t="s">
        <v>192</v>
      </c>
      <c r="B21" s="105" t="s">
        <v>195</v>
      </c>
    </row>
    <row r="22" spans="1:2" ht="16.5" thickBot="1" x14ac:dyDescent="0.35">
      <c r="A22" s="88" t="s">
        <v>141</v>
      </c>
      <c r="B22" s="90" t="s">
        <v>142</v>
      </c>
    </row>
    <row r="23" spans="1:2" ht="84.75" thickBot="1" x14ac:dyDescent="0.35">
      <c r="A23" s="96" t="s">
        <v>193</v>
      </c>
      <c r="B23" s="105" t="s">
        <v>196</v>
      </c>
    </row>
    <row r="24" spans="1:2" ht="16.5" thickBot="1" x14ac:dyDescent="0.35">
      <c r="A24" s="88" t="s">
        <v>143</v>
      </c>
      <c r="B24" s="90" t="s">
        <v>144</v>
      </c>
    </row>
    <row r="25" spans="1:2" ht="24" x14ac:dyDescent="0.3">
      <c r="A25" s="172" t="s">
        <v>145</v>
      </c>
      <c r="B25" s="92" t="s">
        <v>202</v>
      </c>
    </row>
    <row r="26" spans="1:2" x14ac:dyDescent="0.3">
      <c r="A26" s="173"/>
      <c r="B26" s="92" t="s">
        <v>146</v>
      </c>
    </row>
    <row r="27" spans="1:2" ht="24" x14ac:dyDescent="0.3">
      <c r="A27" s="173"/>
      <c r="B27" s="92" t="s">
        <v>147</v>
      </c>
    </row>
    <row r="28" spans="1:2" x14ac:dyDescent="0.3">
      <c r="A28" s="173"/>
      <c r="B28" s="92" t="s">
        <v>148</v>
      </c>
    </row>
    <row r="29" spans="1:2" ht="16.5" thickBot="1" x14ac:dyDescent="0.35">
      <c r="A29" s="174"/>
      <c r="B29" s="90" t="s">
        <v>149</v>
      </c>
    </row>
    <row r="30" spans="1:2" ht="16.5" thickBot="1" x14ac:dyDescent="0.35">
      <c r="A30" s="88" t="s">
        <v>150</v>
      </c>
      <c r="B30" s="90" t="s">
        <v>151</v>
      </c>
    </row>
    <row r="31" spans="1:2" ht="16.5" thickBot="1" x14ac:dyDescent="0.35">
      <c r="A31" s="88" t="s">
        <v>152</v>
      </c>
      <c r="B31" s="90" t="s">
        <v>153</v>
      </c>
    </row>
    <row r="32" spans="1:2" ht="48" x14ac:dyDescent="0.3">
      <c r="A32" s="172" t="s">
        <v>154</v>
      </c>
      <c r="B32" s="92" t="s">
        <v>203</v>
      </c>
    </row>
    <row r="33" spans="1:2" x14ac:dyDescent="0.3">
      <c r="A33" s="173"/>
      <c r="B33" s="92" t="s">
        <v>146</v>
      </c>
    </row>
    <row r="34" spans="1:2" ht="24" x14ac:dyDescent="0.3">
      <c r="A34" s="173"/>
      <c r="B34" s="92" t="s">
        <v>155</v>
      </c>
    </row>
    <row r="35" spans="1:2" x14ac:dyDescent="0.3">
      <c r="A35" s="173"/>
      <c r="B35" s="92" t="s">
        <v>148</v>
      </c>
    </row>
    <row r="36" spans="1:2" ht="16.5" thickBot="1" x14ac:dyDescent="0.35">
      <c r="A36" s="174"/>
      <c r="B36" s="90" t="s">
        <v>156</v>
      </c>
    </row>
    <row r="37" spans="1:2" ht="24.75" thickBot="1" x14ac:dyDescent="0.35">
      <c r="A37" s="88" t="s">
        <v>157</v>
      </c>
      <c r="B37" s="90" t="s">
        <v>158</v>
      </c>
    </row>
    <row r="38" spans="1:2" ht="16.5" thickBot="1" x14ac:dyDescent="0.35">
      <c r="A38" s="88" t="s">
        <v>159</v>
      </c>
      <c r="B38" s="90" t="s">
        <v>160</v>
      </c>
    </row>
    <row r="39" spans="1:2" ht="16.5" thickBot="1" x14ac:dyDescent="0.35">
      <c r="A39" s="88" t="s">
        <v>161</v>
      </c>
      <c r="B39" s="90" t="s">
        <v>162</v>
      </c>
    </row>
    <row r="40" spans="1:2" x14ac:dyDescent="0.3">
      <c r="A40" s="86" t="s">
        <v>163</v>
      </c>
      <c r="B40" s="175" t="s">
        <v>164</v>
      </c>
    </row>
    <row r="41" spans="1:2" ht="16.5" thickBot="1" x14ac:dyDescent="0.35">
      <c r="A41" s="88" t="s">
        <v>51</v>
      </c>
      <c r="B41" s="176"/>
    </row>
  </sheetData>
  <mergeCells count="3">
    <mergeCell ref="A25:A29"/>
    <mergeCell ref="A32:A36"/>
    <mergeCell ref="B40:B41"/>
  </mergeCells>
  <pageMargins left="0.70866141732283472" right="0.70866141732283472" top="0.74803149606299213" bottom="0.74803149606299213" header="0.31496062992125984" footer="0.31496062992125984"/>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Price List_Excl GST</vt:lpstr>
      <vt:lpstr>Price List_Incl GST</vt:lpstr>
      <vt:lpstr>Price List_DUOS_Excl GST</vt:lpstr>
      <vt:lpstr>Price List_TUOS_Excl GST</vt:lpstr>
      <vt:lpstr>Price List_CCF_Excl GST</vt:lpstr>
      <vt:lpstr>Price List_QSS_Excl GST</vt:lpstr>
      <vt:lpstr>Explanatory Notes</vt:lpstr>
      <vt:lpstr>'Explanatory Notes'!Print_Area</vt:lpstr>
      <vt:lpstr>'Price List_CCF_Excl GST'!Print_Area</vt:lpstr>
      <vt:lpstr>'Price List_DUOS_Excl GST'!Print_Area</vt:lpstr>
      <vt:lpstr>'Price List_Excl GST'!Print_Area</vt:lpstr>
      <vt:lpstr>'Price List_Incl GST'!Print_Area</vt:lpstr>
      <vt:lpstr>'Price List_QSS_Excl GST'!Print_Area</vt:lpstr>
      <vt:lpstr>'Price List_TUOS_Excl GST'!Print_Area</vt:lpstr>
    </vt:vector>
  </TitlesOfParts>
  <Company>Country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cwaddell</dc:creator>
  <cp:lastModifiedBy>Michelle Hagney</cp:lastModifiedBy>
  <cp:lastPrinted>2017-04-03T05:55:44Z</cp:lastPrinted>
  <dcterms:created xsi:type="dcterms:W3CDTF">2009-05-26T02:30:41Z</dcterms:created>
  <dcterms:modified xsi:type="dcterms:W3CDTF">2020-04-27T05:51:37Z</dcterms:modified>
</cp:coreProperties>
</file>