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368" yWindow="180" windowWidth="5592" windowHeight="7128" tabRatio="895"/>
  </bookViews>
  <sheets>
    <sheet name="Contents" sheetId="11" r:id="rId1"/>
    <sheet name="Escalators" sheetId="3" r:id="rId2"/>
    <sheet name="Lab_Rates" sheetId="16" r:id="rId3"/>
    <sheet name="Rpt_Cat" sheetId="38" r:id="rId4"/>
    <sheet name="Unit_Rates" sheetId="17" r:id="rId5"/>
    <sheet name="Feeder_Vols" sheetId="39" r:id="rId6"/>
    <sheet name="Schedule" sheetId="43" r:id="rId7"/>
    <sheet name="Opex_Inputs" sheetId="5" r:id="rId8"/>
    <sheet name="RWN_Det" sheetId="21" r:id="rId9"/>
    <sheet name="ELM_Det" sheetId="24" r:id="rId10"/>
    <sheet name="FGY_Det" sheetId="27" r:id="rId11"/>
    <sheet name="WOTS22_Det" sheetId="19" r:id="rId12"/>
    <sheet name="MOE_Det" sheetId="29" r:id="rId13"/>
    <sheet name="BGE_Det" sheetId="31" r:id="rId14"/>
    <sheet name="LDL_Det" sheetId="33" r:id="rId15"/>
    <sheet name="BDL_Det" sheetId="35" r:id="rId16"/>
    <sheet name="Spare" sheetId="37" r:id="rId17"/>
    <sheet name="Stat_Phasing" sheetId="40" r:id="rId18"/>
    <sheet name="Other_Capex" sheetId="41" r:id="rId19"/>
    <sheet name="Direct_Capex_Totals" sheetId="2" r:id="rId20"/>
    <sheet name="Direct_Capex_Composition" sheetId="1" r:id="rId21"/>
    <sheet name="Direct_Summary" sheetId="13" r:id="rId22"/>
    <sheet name="Overheads" sheetId="6" r:id="rId23"/>
    <sheet name="Capex_by_Purpose" sheetId="12" r:id="rId24"/>
    <sheet name="Station_Summary" sheetId="7" r:id="rId25"/>
    <sheet name="Other_Tables" sheetId="15" r:id="rId26"/>
    <sheet name="PTRM_Inputs" sheetId="4" r:id="rId27"/>
    <sheet name="T1_Allowance" sheetId="42" r:id="rId28"/>
    <sheet name="T2 Costs - $Nom" sheetId="44" r:id="rId29"/>
  </sheets>
  <definedNames>
    <definedName name="_xlnm.Print_Area" localSheetId="15">BDL_Det!$A$2:$P$93</definedName>
    <definedName name="_xlnm.Print_Area" localSheetId="13">BGE_Det!$A$2:$P$97</definedName>
    <definedName name="_xlnm.Print_Area" localSheetId="9">ELM_Det!$A$2:$P$95</definedName>
    <definedName name="_xlnm.Print_Area" localSheetId="10">FGY_Det!$A$2:$P$93</definedName>
    <definedName name="_xlnm.Print_Area" localSheetId="14">LDL_Det!$A$2:$P$94</definedName>
    <definedName name="_xlnm.Print_Area" localSheetId="12">MOE_Det!$A$2:$P$96</definedName>
    <definedName name="_xlnm.Print_Area" localSheetId="18">Other_Capex!$A$1:$L$39</definedName>
    <definedName name="_xlnm.Print_Area" localSheetId="8">RWN_Det!$A$2:$P$92</definedName>
    <definedName name="_xlnm.Print_Area" localSheetId="16">Spare!$A$2:$P$92</definedName>
    <definedName name="_xlnm.Print_Area" localSheetId="11">WOTS22_Det!$A$2:$P$92</definedName>
    <definedName name="STN_1">Rpt_Cat!$C$13</definedName>
    <definedName name="STN_2">Rpt_Cat!$C$14</definedName>
    <definedName name="STN_3">Rpt_Cat!$C$15</definedName>
    <definedName name="STN_4">Rpt_Cat!$C$16</definedName>
    <definedName name="STN_5">Rpt_Cat!$C$17</definedName>
    <definedName name="STN_6">Rpt_Cat!$C$18</definedName>
    <definedName name="STN_7">Rpt_Cat!$C$19</definedName>
    <definedName name="STN_8">Rpt_Cat!$C$20</definedName>
    <definedName name="STN_9">Rpt_Cat!$C$21</definedName>
    <definedName name="Thousands">Escalators!$C$44</definedName>
  </definedNames>
  <calcPr calcId="145621"/>
</workbook>
</file>

<file path=xl/calcChain.xml><?xml version="1.0" encoding="utf-8"?>
<calcChain xmlns="http://schemas.openxmlformats.org/spreadsheetml/2006/main">
  <c r="H44" i="12" l="1"/>
  <c r="G44" i="12"/>
  <c r="F44" i="12"/>
  <c r="E44" i="12"/>
  <c r="D44" i="12"/>
  <c r="C44" i="12"/>
  <c r="C10" i="3" l="1"/>
  <c r="F10" i="3"/>
  <c r="E10" i="3"/>
  <c r="D10" i="3"/>
  <c r="Y47" i="35" l="1"/>
  <c r="Y47" i="29"/>
  <c r="Y46" i="29"/>
  <c r="Y47" i="24"/>
  <c r="Y47" i="27"/>
  <c r="Q16" i="39" l="1"/>
  <c r="Q8" i="39"/>
  <c r="Q9" i="39"/>
  <c r="Q10" i="39"/>
  <c r="Q11" i="39"/>
  <c r="Q12" i="39"/>
  <c r="Q13" i="39"/>
  <c r="Q14" i="39"/>
  <c r="Q7" i="39"/>
  <c r="H31" i="21" l="1"/>
  <c r="H31" i="24"/>
  <c r="H30" i="27"/>
  <c r="H31" i="19"/>
  <c r="H30" i="29"/>
  <c r="H30" i="31"/>
  <c r="H31" i="33"/>
  <c r="H31" i="35"/>
  <c r="C70" i="39"/>
  <c r="B69" i="39"/>
  <c r="B68" i="39"/>
  <c r="B67" i="39"/>
  <c r="B66" i="39"/>
  <c r="B65" i="39"/>
  <c r="B64" i="39"/>
  <c r="B63" i="39"/>
  <c r="B62" i="39"/>
  <c r="B61" i="39"/>
  <c r="AG74" i="37"/>
  <c r="AH74" i="37" s="1"/>
  <c r="AG73" i="37"/>
  <c r="AH73" i="37"/>
  <c r="AG75" i="35"/>
  <c r="AH75" i="35" s="1"/>
  <c r="AG74" i="35"/>
  <c r="AH74" i="35"/>
  <c r="AG76" i="33"/>
  <c r="AH76" i="33" s="1"/>
  <c r="AG75" i="33"/>
  <c r="AH75" i="33"/>
  <c r="AH79" i="31"/>
  <c r="AG79" i="31"/>
  <c r="AG78" i="31"/>
  <c r="AH78" i="31" s="1"/>
  <c r="AG77" i="29"/>
  <c r="AH77" i="29" s="1"/>
  <c r="AG76" i="29"/>
  <c r="AH76" i="29" s="1"/>
  <c r="AG74" i="19"/>
  <c r="AH74" i="19" s="1"/>
  <c r="AG73" i="19"/>
  <c r="AH73" i="19" s="1"/>
  <c r="AH75" i="27"/>
  <c r="AG75" i="27"/>
  <c r="AG74" i="27"/>
  <c r="AH74" i="27" s="1"/>
  <c r="AG77" i="24"/>
  <c r="AH77" i="24" s="1"/>
  <c r="AG76" i="24"/>
  <c r="AH76" i="24" s="1"/>
  <c r="AH75" i="21"/>
  <c r="AG76" i="21"/>
  <c r="AH76" i="21" s="1"/>
  <c r="AG75" i="21"/>
  <c r="AG74" i="21"/>
  <c r="AH74" i="21" s="1"/>
  <c r="AG73" i="21"/>
  <c r="AH73" i="21" s="1"/>
  <c r="M74" i="37"/>
  <c r="G46" i="19"/>
  <c r="K46" i="19" s="1"/>
  <c r="G43" i="21"/>
  <c r="K43" i="21" s="1"/>
  <c r="G54" i="33"/>
  <c r="K54" i="33" s="1"/>
  <c r="G34" i="27"/>
  <c r="K34" i="27" s="1"/>
  <c r="Z132" i="1"/>
  <c r="AF128" i="1"/>
  <c r="U131" i="1"/>
  <c r="AC131" i="1"/>
  <c r="U127" i="1"/>
  <c r="BE127" i="1" s="1"/>
  <c r="AD131" i="1"/>
  <c r="X133" i="1"/>
  <c r="AY133" i="1" s="1"/>
  <c r="S11" i="2"/>
  <c r="S8" i="2"/>
  <c r="E8" i="2" s="1"/>
  <c r="S7" i="2"/>
  <c r="S6" i="2"/>
  <c r="L6" i="2" s="1"/>
  <c r="C5" i="3"/>
  <c r="H86" i="21"/>
  <c r="U86" i="21" s="1"/>
  <c r="H85" i="21"/>
  <c r="S85" i="21" s="1"/>
  <c r="H84" i="21"/>
  <c r="V84" i="21" s="1"/>
  <c r="H83" i="21"/>
  <c r="X83" i="21" s="1"/>
  <c r="N44" i="41"/>
  <c r="N20" i="41"/>
  <c r="N19" i="41"/>
  <c r="N16" i="41"/>
  <c r="N15" i="41"/>
  <c r="N14" i="41"/>
  <c r="N11" i="41"/>
  <c r="N10" i="41"/>
  <c r="N9" i="41"/>
  <c r="N6" i="41"/>
  <c r="O109" i="2"/>
  <c r="O108" i="2"/>
  <c r="O107" i="2"/>
  <c r="O106" i="2"/>
  <c r="O105" i="2"/>
  <c r="O104" i="2"/>
  <c r="O103" i="2"/>
  <c r="O110" i="2"/>
  <c r="O102" i="2"/>
  <c r="O101" i="2"/>
  <c r="O95" i="2"/>
  <c r="O94" i="2"/>
  <c r="O93" i="2"/>
  <c r="O92" i="2"/>
  <c r="O91" i="2"/>
  <c r="O90" i="2"/>
  <c r="O89" i="2"/>
  <c r="O88" i="2"/>
  <c r="O87" i="2"/>
  <c r="O81" i="2"/>
  <c r="O80" i="2"/>
  <c r="O79" i="2"/>
  <c r="O78" i="2"/>
  <c r="O77" i="2"/>
  <c r="O76" i="2"/>
  <c r="O75" i="2"/>
  <c r="O74" i="2"/>
  <c r="O73" i="2"/>
  <c r="O67" i="2"/>
  <c r="O66" i="2"/>
  <c r="O65" i="2"/>
  <c r="O64" i="2"/>
  <c r="O63" i="2"/>
  <c r="O62" i="2"/>
  <c r="O61" i="2"/>
  <c r="O60" i="2"/>
  <c r="O59" i="2"/>
  <c r="O54" i="2"/>
  <c r="O53" i="2"/>
  <c r="O52" i="2"/>
  <c r="O51" i="2"/>
  <c r="O50" i="2"/>
  <c r="O49" i="2"/>
  <c r="O48" i="2"/>
  <c r="O47" i="2"/>
  <c r="O46" i="2"/>
  <c r="O41" i="2"/>
  <c r="O40" i="2"/>
  <c r="O39" i="2"/>
  <c r="O38" i="2"/>
  <c r="O37" i="2"/>
  <c r="O36" i="2"/>
  <c r="O35" i="2"/>
  <c r="O34" i="2"/>
  <c r="O33" i="2"/>
  <c r="N110" i="2"/>
  <c r="M110" i="2"/>
  <c r="L110" i="2"/>
  <c r="K110" i="2"/>
  <c r="J110" i="2"/>
  <c r="N96" i="2"/>
  <c r="M96" i="2"/>
  <c r="L96" i="2"/>
  <c r="K96" i="2"/>
  <c r="J96" i="2"/>
  <c r="N82" i="2"/>
  <c r="M82" i="2"/>
  <c r="L82" i="2"/>
  <c r="K82" i="2"/>
  <c r="J82" i="2"/>
  <c r="N68" i="2"/>
  <c r="M68" i="2"/>
  <c r="L68" i="2"/>
  <c r="K68" i="2"/>
  <c r="J68" i="2"/>
  <c r="N55" i="2"/>
  <c r="M55" i="2"/>
  <c r="L55" i="2"/>
  <c r="K55" i="2"/>
  <c r="J55" i="2"/>
  <c r="N42" i="2"/>
  <c r="M42" i="2"/>
  <c r="L42" i="2"/>
  <c r="K42" i="2"/>
  <c r="J42" i="2"/>
  <c r="O27" i="2"/>
  <c r="O26" i="2"/>
  <c r="O25" i="2"/>
  <c r="O24" i="2"/>
  <c r="O23" i="2"/>
  <c r="O22" i="2"/>
  <c r="O21" i="2"/>
  <c r="O20" i="2"/>
  <c r="O19" i="2"/>
  <c r="N28" i="2"/>
  <c r="M28" i="2"/>
  <c r="L28" i="2"/>
  <c r="K28" i="2"/>
  <c r="J28" i="2"/>
  <c r="AA14" i="40"/>
  <c r="Z14" i="40"/>
  <c r="AA13" i="40"/>
  <c r="Z13" i="40"/>
  <c r="AA12" i="40"/>
  <c r="Z12" i="40"/>
  <c r="AA11" i="40"/>
  <c r="Z11" i="40"/>
  <c r="AA10" i="40"/>
  <c r="Z10" i="40"/>
  <c r="AA9" i="40"/>
  <c r="Z9" i="40"/>
  <c r="AA8" i="40"/>
  <c r="Z8" i="40"/>
  <c r="AA7" i="40"/>
  <c r="Z7" i="40"/>
  <c r="AA6" i="40"/>
  <c r="Z6" i="40"/>
  <c r="X14" i="40"/>
  <c r="X13" i="40"/>
  <c r="X12" i="40"/>
  <c r="X11" i="40"/>
  <c r="X10" i="40"/>
  <c r="X9" i="40"/>
  <c r="X8" i="40"/>
  <c r="X7" i="40"/>
  <c r="X6" i="40"/>
  <c r="W14" i="40"/>
  <c r="W13" i="40"/>
  <c r="W12" i="40"/>
  <c r="W11" i="40"/>
  <c r="W10" i="40"/>
  <c r="W9" i="40"/>
  <c r="W8" i="40"/>
  <c r="W7" i="40"/>
  <c r="W6" i="40"/>
  <c r="U14" i="40"/>
  <c r="U13" i="40"/>
  <c r="U12" i="40"/>
  <c r="U11" i="40"/>
  <c r="U10" i="40"/>
  <c r="U9" i="40"/>
  <c r="U8" i="40"/>
  <c r="U7" i="40"/>
  <c r="U6" i="40"/>
  <c r="T14" i="40"/>
  <c r="T13" i="40"/>
  <c r="T12" i="40"/>
  <c r="T11" i="40"/>
  <c r="T10" i="40"/>
  <c r="T9" i="40"/>
  <c r="T8" i="40"/>
  <c r="T7" i="40"/>
  <c r="T6" i="40"/>
  <c r="R14" i="40"/>
  <c r="R13" i="40"/>
  <c r="R12" i="40"/>
  <c r="R11" i="40"/>
  <c r="R10" i="40"/>
  <c r="R9" i="40"/>
  <c r="R8" i="40"/>
  <c r="R7" i="40"/>
  <c r="R6" i="40"/>
  <c r="Q14" i="40"/>
  <c r="Q13" i="40"/>
  <c r="Q12" i="40"/>
  <c r="Q11" i="40"/>
  <c r="Q10" i="40"/>
  <c r="Q9" i="40"/>
  <c r="Q8" i="40"/>
  <c r="Q7" i="40"/>
  <c r="Q6" i="40"/>
  <c r="P14" i="40"/>
  <c r="P13" i="40"/>
  <c r="P12" i="40"/>
  <c r="P11" i="40"/>
  <c r="P10" i="40"/>
  <c r="P9" i="40"/>
  <c r="P8" i="40"/>
  <c r="P7" i="40"/>
  <c r="P6" i="40"/>
  <c r="O28" i="2"/>
  <c r="O55" i="2"/>
  <c r="O68" i="2"/>
  <c r="O96" i="2"/>
  <c r="O42" i="2"/>
  <c r="O82" i="2"/>
  <c r="C29" i="5"/>
  <c r="D29" i="5"/>
  <c r="C30" i="5"/>
  <c r="E30" i="5"/>
  <c r="C31" i="5"/>
  <c r="D31" i="5"/>
  <c r="C32" i="5"/>
  <c r="C33" i="5"/>
  <c r="L7" i="44"/>
  <c r="H89" i="24"/>
  <c r="X89" i="24" s="1"/>
  <c r="H88" i="24"/>
  <c r="S88" i="24" s="1"/>
  <c r="H87" i="24"/>
  <c r="H86" i="24"/>
  <c r="H84" i="24"/>
  <c r="H83" i="24"/>
  <c r="X83" i="24" s="1"/>
  <c r="H82" i="24"/>
  <c r="H81" i="24"/>
  <c r="W81" i="24" s="1"/>
  <c r="H87" i="27"/>
  <c r="H86" i="27"/>
  <c r="S86" i="27" s="1"/>
  <c r="H85" i="27"/>
  <c r="H84" i="27"/>
  <c r="H82" i="27"/>
  <c r="H81" i="27"/>
  <c r="T81" i="27" s="1"/>
  <c r="H80" i="27"/>
  <c r="H79" i="27"/>
  <c r="R79" i="27" s="1"/>
  <c r="H86" i="19"/>
  <c r="S86" i="19" s="1"/>
  <c r="H85" i="19"/>
  <c r="S85" i="19" s="1"/>
  <c r="H84" i="19"/>
  <c r="R84" i="19" s="1"/>
  <c r="H83" i="19"/>
  <c r="H81" i="19"/>
  <c r="X81" i="19" s="1"/>
  <c r="H80" i="19"/>
  <c r="R80" i="19" s="1"/>
  <c r="H79" i="19"/>
  <c r="U79" i="19" s="1"/>
  <c r="H78" i="19"/>
  <c r="M78" i="19" s="1"/>
  <c r="S76" i="2" s="1"/>
  <c r="E76" i="2" s="1"/>
  <c r="H90" i="29"/>
  <c r="X90" i="29" s="1"/>
  <c r="H89" i="29"/>
  <c r="H88" i="29"/>
  <c r="R88" i="29" s="1"/>
  <c r="H87" i="29"/>
  <c r="H85" i="29"/>
  <c r="H84" i="29"/>
  <c r="H83" i="29"/>
  <c r="T83" i="29" s="1"/>
  <c r="H82" i="29"/>
  <c r="V82" i="29" s="1"/>
  <c r="H91" i="31"/>
  <c r="V91" i="31" s="1"/>
  <c r="H90" i="31"/>
  <c r="H89" i="31"/>
  <c r="S89" i="31" s="1"/>
  <c r="H88" i="31"/>
  <c r="H86" i="31"/>
  <c r="X86" i="31" s="1"/>
  <c r="H85" i="31"/>
  <c r="H84" i="31"/>
  <c r="W84" i="31" s="1"/>
  <c r="H83" i="31"/>
  <c r="H88" i="33"/>
  <c r="V88" i="33" s="1"/>
  <c r="H87" i="33"/>
  <c r="H86" i="33"/>
  <c r="R86" i="33" s="1"/>
  <c r="H85" i="33"/>
  <c r="V85" i="33" s="1"/>
  <c r="H83" i="33"/>
  <c r="X83" i="33" s="1"/>
  <c r="H82" i="33"/>
  <c r="H81" i="33"/>
  <c r="V81" i="33" s="1"/>
  <c r="H80" i="33"/>
  <c r="H87" i="35"/>
  <c r="S87" i="35" s="1"/>
  <c r="H86" i="35"/>
  <c r="H85" i="35"/>
  <c r="S85" i="35" s="1"/>
  <c r="H84" i="35"/>
  <c r="H82" i="35"/>
  <c r="W82" i="35" s="1"/>
  <c r="H81" i="35"/>
  <c r="H80" i="35"/>
  <c r="R80" i="35" s="1"/>
  <c r="H79" i="35"/>
  <c r="H86" i="37"/>
  <c r="W86" i="37" s="1"/>
  <c r="H85" i="37"/>
  <c r="H84" i="37"/>
  <c r="W84" i="37" s="1"/>
  <c r="H83" i="37"/>
  <c r="S83" i="37" s="1"/>
  <c r="H81" i="37"/>
  <c r="R81" i="37" s="1"/>
  <c r="H80" i="37"/>
  <c r="H79" i="37"/>
  <c r="R79" i="37" s="1"/>
  <c r="H78" i="37"/>
  <c r="I57" i="39"/>
  <c r="N80" i="29"/>
  <c r="G39" i="12"/>
  <c r="F39" i="12"/>
  <c r="E39" i="12"/>
  <c r="D39" i="12"/>
  <c r="C39" i="12"/>
  <c r="G38" i="12"/>
  <c r="F38" i="12"/>
  <c r="E38" i="12"/>
  <c r="D38" i="12"/>
  <c r="C38" i="12"/>
  <c r="G37" i="12"/>
  <c r="F37" i="12"/>
  <c r="E37" i="12"/>
  <c r="D37" i="12"/>
  <c r="C37" i="12"/>
  <c r="G36" i="12"/>
  <c r="F36" i="12"/>
  <c r="E36" i="12"/>
  <c r="D36" i="12"/>
  <c r="C36" i="12"/>
  <c r="G35" i="12"/>
  <c r="F35" i="12"/>
  <c r="E35" i="12"/>
  <c r="D35" i="12"/>
  <c r="C35" i="12"/>
  <c r="X42" i="12"/>
  <c r="W41" i="12"/>
  <c r="W43" i="12"/>
  <c r="V41" i="12"/>
  <c r="V43" i="12"/>
  <c r="U41" i="12"/>
  <c r="T41" i="12"/>
  <c r="S41" i="12"/>
  <c r="S43" i="12"/>
  <c r="X40" i="12"/>
  <c r="X39" i="12"/>
  <c r="X38" i="12"/>
  <c r="X37" i="12"/>
  <c r="X36" i="12"/>
  <c r="X35" i="12"/>
  <c r="P42" i="12"/>
  <c r="O41" i="12"/>
  <c r="O43" i="12"/>
  <c r="N41" i="12"/>
  <c r="N43" i="12"/>
  <c r="K41" i="12"/>
  <c r="K43" i="12"/>
  <c r="P40" i="12"/>
  <c r="M41" i="12"/>
  <c r="M43" i="12"/>
  <c r="L41" i="12"/>
  <c r="L43" i="12"/>
  <c r="P39" i="12"/>
  <c r="P38" i="12"/>
  <c r="P37" i="12"/>
  <c r="P36" i="12"/>
  <c r="P35" i="12"/>
  <c r="G81" i="12"/>
  <c r="F81" i="12"/>
  <c r="E81" i="12"/>
  <c r="D81" i="12"/>
  <c r="C81" i="12"/>
  <c r="U43" i="12"/>
  <c r="T43" i="12"/>
  <c r="X44" i="12"/>
  <c r="X41" i="12"/>
  <c r="X43" i="12"/>
  <c r="P41" i="12"/>
  <c r="P43" i="12"/>
  <c r="H42" i="12"/>
  <c r="H40" i="12"/>
  <c r="H38" i="12"/>
  <c r="H37" i="12"/>
  <c r="H36" i="12"/>
  <c r="H35" i="12"/>
  <c r="M43" i="13"/>
  <c r="M42" i="13"/>
  <c r="H68" i="42"/>
  <c r="G68" i="42"/>
  <c r="F68" i="42"/>
  <c r="E68" i="42"/>
  <c r="D68" i="42"/>
  <c r="C68" i="42"/>
  <c r="G52" i="42"/>
  <c r="F52" i="42"/>
  <c r="E52" i="42"/>
  <c r="D52" i="42"/>
  <c r="C52" i="42"/>
  <c r="G51" i="42"/>
  <c r="F51" i="42"/>
  <c r="E51" i="42"/>
  <c r="D51" i="42"/>
  <c r="C51" i="42"/>
  <c r="G50" i="42"/>
  <c r="F50" i="42"/>
  <c r="E50" i="42"/>
  <c r="D50" i="42"/>
  <c r="C50" i="42"/>
  <c r="G48" i="42"/>
  <c r="F48" i="42"/>
  <c r="E48" i="42"/>
  <c r="D48" i="42"/>
  <c r="C48" i="42"/>
  <c r="G47" i="42"/>
  <c r="F47" i="42"/>
  <c r="E47" i="42"/>
  <c r="D47" i="42"/>
  <c r="C47" i="42"/>
  <c r="H62" i="42"/>
  <c r="H59" i="42"/>
  <c r="H60" i="42"/>
  <c r="H51" i="42"/>
  <c r="H63" i="42"/>
  <c r="H47" i="42"/>
  <c r="H48" i="42"/>
  <c r="H50" i="42"/>
  <c r="H64" i="42"/>
  <c r="H52" i="42"/>
  <c r="F49" i="42"/>
  <c r="D46" i="42"/>
  <c r="F46" i="42"/>
  <c r="G46" i="42"/>
  <c r="G57" i="6" s="1"/>
  <c r="E46" i="42"/>
  <c r="F45" i="42"/>
  <c r="F56" i="6" s="1"/>
  <c r="D45" i="42"/>
  <c r="D56" i="6" s="1"/>
  <c r="E45" i="42"/>
  <c r="E56" i="6" s="1"/>
  <c r="D67" i="42"/>
  <c r="D42" i="6" s="1"/>
  <c r="F65" i="42"/>
  <c r="F41" i="12"/>
  <c r="F43" i="12"/>
  <c r="G49" i="42"/>
  <c r="E67" i="42"/>
  <c r="E42" i="6" s="1"/>
  <c r="E44" i="6" s="1"/>
  <c r="G41" i="12"/>
  <c r="G43" i="12"/>
  <c r="G45" i="42"/>
  <c r="G56" i="6" s="1"/>
  <c r="E41" i="12"/>
  <c r="E43" i="12"/>
  <c r="D65" i="42"/>
  <c r="D41" i="12"/>
  <c r="D43" i="12"/>
  <c r="D49" i="42"/>
  <c r="D58" i="6" s="1"/>
  <c r="C45" i="42"/>
  <c r="C56" i="6" s="1"/>
  <c r="C46" i="42"/>
  <c r="C49" i="42"/>
  <c r="C58" i="6" s="1"/>
  <c r="H61" i="42"/>
  <c r="C41" i="12"/>
  <c r="C43" i="12"/>
  <c r="H39" i="12"/>
  <c r="H41" i="12"/>
  <c r="H43" i="12"/>
  <c r="K39" i="15"/>
  <c r="J39" i="15"/>
  <c r="I39" i="15"/>
  <c r="H39" i="15"/>
  <c r="G39" i="15"/>
  <c r="F39" i="15"/>
  <c r="E39" i="15"/>
  <c r="D39" i="15"/>
  <c r="C39" i="15"/>
  <c r="Y76" i="37"/>
  <c r="Y75" i="37"/>
  <c r="H76" i="37"/>
  <c r="H75" i="37"/>
  <c r="H74" i="37"/>
  <c r="H73" i="37"/>
  <c r="T73" i="37" s="1"/>
  <c r="E76" i="37"/>
  <c r="D76" i="37"/>
  <c r="F76" i="37"/>
  <c r="E75" i="37"/>
  <c r="D75" i="37"/>
  <c r="E74" i="37"/>
  <c r="D74" i="37"/>
  <c r="F74" i="37"/>
  <c r="E73" i="37"/>
  <c r="D73" i="37"/>
  <c r="Y77" i="35"/>
  <c r="Y76" i="35"/>
  <c r="Y78" i="33"/>
  <c r="Y77" i="33"/>
  <c r="Y81" i="31"/>
  <c r="Y80" i="31"/>
  <c r="Y80" i="29"/>
  <c r="Y79" i="29"/>
  <c r="Y78" i="29"/>
  <c r="Y76" i="19"/>
  <c r="Y75" i="19"/>
  <c r="Y77" i="27"/>
  <c r="Y76" i="27"/>
  <c r="Y76" i="21"/>
  <c r="Y75" i="21"/>
  <c r="Y79" i="24"/>
  <c r="Y78" i="24"/>
  <c r="M134" i="1"/>
  <c r="L134" i="1"/>
  <c r="K134" i="1"/>
  <c r="M133" i="1"/>
  <c r="L133" i="1"/>
  <c r="K133" i="1"/>
  <c r="I133" i="1"/>
  <c r="M132" i="1"/>
  <c r="K132" i="1"/>
  <c r="I132" i="1"/>
  <c r="M131" i="1"/>
  <c r="K131" i="1"/>
  <c r="M130" i="1"/>
  <c r="L130" i="1"/>
  <c r="J130" i="1"/>
  <c r="I130" i="1"/>
  <c r="M128" i="1"/>
  <c r="K128" i="1"/>
  <c r="J128" i="1"/>
  <c r="I128" i="1"/>
  <c r="M127" i="1"/>
  <c r="L127" i="1"/>
  <c r="K127" i="1"/>
  <c r="J127" i="1"/>
  <c r="H128" i="1"/>
  <c r="H127" i="1"/>
  <c r="T74" i="37"/>
  <c r="X74" i="37"/>
  <c r="R74" i="37"/>
  <c r="Y74" i="37" s="1"/>
  <c r="S74" i="37"/>
  <c r="U74" i="37"/>
  <c r="V74" i="37"/>
  <c r="W74" i="37"/>
  <c r="R73" i="37"/>
  <c r="F75" i="37"/>
  <c r="F73" i="37"/>
  <c r="H131" i="1"/>
  <c r="H130" i="1"/>
  <c r="H137" i="1"/>
  <c r="H136" i="1"/>
  <c r="H135" i="1"/>
  <c r="F80" i="29"/>
  <c r="L16" i="15"/>
  <c r="L15" i="15"/>
  <c r="D47" i="35"/>
  <c r="E47" i="35"/>
  <c r="D47" i="33"/>
  <c r="E47" i="33"/>
  <c r="D46" i="31"/>
  <c r="E46" i="31"/>
  <c r="E47" i="29"/>
  <c r="D47" i="29"/>
  <c r="E46" i="29"/>
  <c r="D46" i="29"/>
  <c r="D46" i="19"/>
  <c r="E46" i="19"/>
  <c r="E47" i="27"/>
  <c r="D47" i="27"/>
  <c r="E46" i="27"/>
  <c r="D46" i="27"/>
  <c r="D47" i="24"/>
  <c r="E47" i="24"/>
  <c r="E86" i="37"/>
  <c r="D86" i="37"/>
  <c r="E85" i="37"/>
  <c r="D85" i="37"/>
  <c r="F85" i="37"/>
  <c r="E84" i="37"/>
  <c r="D84" i="37"/>
  <c r="E87" i="35"/>
  <c r="D87" i="35"/>
  <c r="E86" i="35"/>
  <c r="D86" i="35"/>
  <c r="E85" i="35"/>
  <c r="D85" i="35"/>
  <c r="E88" i="33"/>
  <c r="D88" i="33"/>
  <c r="E87" i="33"/>
  <c r="D87" i="33"/>
  <c r="F87" i="33"/>
  <c r="E86" i="33"/>
  <c r="D86" i="33"/>
  <c r="E91" i="31"/>
  <c r="D91" i="31"/>
  <c r="F91" i="31"/>
  <c r="E90" i="31"/>
  <c r="D90" i="31"/>
  <c r="E89" i="31"/>
  <c r="D89" i="31"/>
  <c r="E90" i="29"/>
  <c r="D90" i="29"/>
  <c r="E89" i="29"/>
  <c r="D89" i="29"/>
  <c r="E88" i="29"/>
  <c r="D88" i="29"/>
  <c r="E86" i="19"/>
  <c r="D86" i="19"/>
  <c r="E85" i="19"/>
  <c r="D85" i="19"/>
  <c r="E84" i="19"/>
  <c r="D84" i="19"/>
  <c r="F84" i="19"/>
  <c r="E83" i="19"/>
  <c r="D83" i="19"/>
  <c r="E87" i="27"/>
  <c r="D87" i="27"/>
  <c r="E86" i="27"/>
  <c r="D86" i="27"/>
  <c r="E85" i="27"/>
  <c r="D85" i="27"/>
  <c r="E86" i="21"/>
  <c r="D86" i="21"/>
  <c r="E85" i="21"/>
  <c r="D85" i="21"/>
  <c r="E84" i="21"/>
  <c r="D84" i="21"/>
  <c r="E89" i="24"/>
  <c r="D89" i="24"/>
  <c r="E88" i="24"/>
  <c r="D88" i="24"/>
  <c r="E87" i="24"/>
  <c r="D87" i="24"/>
  <c r="E77" i="35"/>
  <c r="D77" i="35"/>
  <c r="E76" i="35"/>
  <c r="D76" i="35"/>
  <c r="F76" i="35"/>
  <c r="E75" i="35"/>
  <c r="D75" i="35"/>
  <c r="E74" i="35"/>
  <c r="D74" i="35"/>
  <c r="F74" i="35"/>
  <c r="D31" i="35"/>
  <c r="E31" i="35"/>
  <c r="D26" i="35"/>
  <c r="E26" i="35"/>
  <c r="E78" i="33"/>
  <c r="D78" i="33"/>
  <c r="E77" i="33"/>
  <c r="D77" i="33"/>
  <c r="E76" i="33"/>
  <c r="D76" i="33"/>
  <c r="E75" i="33"/>
  <c r="D75" i="33"/>
  <c r="F75" i="33"/>
  <c r="D31" i="33"/>
  <c r="E31" i="33"/>
  <c r="E81" i="31"/>
  <c r="D81" i="31"/>
  <c r="E80" i="31"/>
  <c r="F80" i="31"/>
  <c r="D80" i="31"/>
  <c r="E79" i="31"/>
  <c r="D79" i="31"/>
  <c r="E78" i="31"/>
  <c r="D78" i="31"/>
  <c r="E76" i="21"/>
  <c r="D76" i="21"/>
  <c r="E75" i="21"/>
  <c r="D75" i="21"/>
  <c r="E74" i="21"/>
  <c r="D74" i="21"/>
  <c r="E73" i="21"/>
  <c r="D73" i="21"/>
  <c r="E79" i="24"/>
  <c r="D79" i="24"/>
  <c r="E78" i="24"/>
  <c r="D78" i="24"/>
  <c r="E77" i="24"/>
  <c r="D77" i="24"/>
  <c r="E76" i="24"/>
  <c r="D76" i="24"/>
  <c r="E77" i="27"/>
  <c r="D77" i="27"/>
  <c r="E76" i="27"/>
  <c r="D76" i="27"/>
  <c r="E75" i="27"/>
  <c r="D75" i="27"/>
  <c r="E74" i="27"/>
  <c r="D74" i="27"/>
  <c r="E76" i="19"/>
  <c r="D76" i="19"/>
  <c r="E75" i="19"/>
  <c r="D75" i="19"/>
  <c r="E74" i="19"/>
  <c r="D74" i="19"/>
  <c r="E73" i="19"/>
  <c r="D73" i="19"/>
  <c r="E72" i="19"/>
  <c r="D72" i="19"/>
  <c r="E79" i="29"/>
  <c r="D79" i="29"/>
  <c r="E78" i="29"/>
  <c r="D78" i="29"/>
  <c r="E77" i="29"/>
  <c r="D77" i="29"/>
  <c r="E76" i="29"/>
  <c r="D76" i="29"/>
  <c r="D30" i="31"/>
  <c r="E30" i="31"/>
  <c r="D30" i="29"/>
  <c r="E30" i="29"/>
  <c r="D31" i="19"/>
  <c r="E31" i="19"/>
  <c r="D30" i="27"/>
  <c r="E30" i="27"/>
  <c r="D19" i="24"/>
  <c r="E19" i="24"/>
  <c r="D31" i="24"/>
  <c r="E31" i="24"/>
  <c r="D31" i="21"/>
  <c r="E31" i="21"/>
  <c r="K26" i="15"/>
  <c r="J26" i="15"/>
  <c r="I26" i="15"/>
  <c r="H26" i="15"/>
  <c r="G26" i="15"/>
  <c r="F26" i="15"/>
  <c r="E26" i="15"/>
  <c r="D26" i="15"/>
  <c r="C26" i="15"/>
  <c r="F76" i="33"/>
  <c r="F84" i="21"/>
  <c r="F86" i="27"/>
  <c r="F83" i="19"/>
  <c r="F85" i="19"/>
  <c r="F90" i="29"/>
  <c r="F90" i="31"/>
  <c r="F75" i="19"/>
  <c r="F76" i="24"/>
  <c r="F78" i="24"/>
  <c r="F73" i="21"/>
  <c r="F46" i="31"/>
  <c r="F76" i="19"/>
  <c r="F74" i="21"/>
  <c r="F79" i="29"/>
  <c r="F73" i="19"/>
  <c r="F79" i="24"/>
  <c r="F81" i="31"/>
  <c r="F75" i="35"/>
  <c r="F88" i="24"/>
  <c r="F86" i="33"/>
  <c r="F86" i="35"/>
  <c r="F86" i="37"/>
  <c r="F78" i="29"/>
  <c r="F76" i="27"/>
  <c r="F85" i="27"/>
  <c r="F86" i="19"/>
  <c r="F89" i="29"/>
  <c r="F89" i="31"/>
  <c r="F74" i="19"/>
  <c r="F79" i="31"/>
  <c r="F77" i="29"/>
  <c r="F74" i="27"/>
  <c r="F77" i="24"/>
  <c r="F77" i="33"/>
  <c r="F77" i="35"/>
  <c r="F87" i="27"/>
  <c r="F88" i="33"/>
  <c r="F76" i="21"/>
  <c r="F86" i="21"/>
  <c r="F75" i="27"/>
  <c r="F77" i="27"/>
  <c r="F75" i="21"/>
  <c r="F78" i="31"/>
  <c r="F78" i="33"/>
  <c r="F87" i="24"/>
  <c r="F89" i="24"/>
  <c r="F85" i="21"/>
  <c r="F85" i="35"/>
  <c r="F87" i="35"/>
  <c r="F84" i="37"/>
  <c r="F88" i="29"/>
  <c r="F76" i="29"/>
  <c r="G48" i="39"/>
  <c r="G49" i="39"/>
  <c r="G50" i="39"/>
  <c r="G51" i="39"/>
  <c r="G52" i="39"/>
  <c r="G53" i="39"/>
  <c r="G57" i="39" s="1"/>
  <c r="G54" i="39"/>
  <c r="AC136" i="1"/>
  <c r="L10" i="41"/>
  <c r="L11" i="41"/>
  <c r="O10" i="41"/>
  <c r="O11" i="41"/>
  <c r="L9" i="41"/>
  <c r="O9" i="41"/>
  <c r="G47" i="27"/>
  <c r="K47" i="27" s="1"/>
  <c r="Y46" i="27"/>
  <c r="Y26" i="35"/>
  <c r="H76" i="21"/>
  <c r="H75" i="21"/>
  <c r="H74" i="21"/>
  <c r="X74" i="21" s="1"/>
  <c r="K30" i="39"/>
  <c r="J30" i="39"/>
  <c r="I30" i="39"/>
  <c r="V74" i="21"/>
  <c r="G18" i="19"/>
  <c r="K18" i="19" s="1"/>
  <c r="G19" i="19"/>
  <c r="K19" i="19" s="1"/>
  <c r="G21" i="19"/>
  <c r="K21" i="19" s="1"/>
  <c r="G24" i="19"/>
  <c r="K24" i="19" s="1"/>
  <c r="G32" i="19"/>
  <c r="K32" i="19" s="1"/>
  <c r="K48" i="35"/>
  <c r="G18" i="21"/>
  <c r="K18" i="21" s="1"/>
  <c r="G20" i="21"/>
  <c r="K20" i="21" s="1"/>
  <c r="G22" i="21"/>
  <c r="K22" i="21" s="1"/>
  <c r="G25" i="21"/>
  <c r="K25" i="21" s="1"/>
  <c r="G26" i="21"/>
  <c r="K26" i="21" s="1"/>
  <c r="G33" i="21"/>
  <c r="K33" i="21" s="1"/>
  <c r="G20" i="35"/>
  <c r="K20" i="35" s="1"/>
  <c r="G21" i="35"/>
  <c r="K21" i="35" s="1"/>
  <c r="G22" i="35"/>
  <c r="K22" i="35" s="1"/>
  <c r="G33" i="35"/>
  <c r="K33" i="35" s="1"/>
  <c r="G18" i="33"/>
  <c r="K18" i="33" s="1"/>
  <c r="G20" i="33"/>
  <c r="K20" i="33" s="1"/>
  <c r="G22" i="33"/>
  <c r="K22" i="33" s="1"/>
  <c r="G25" i="33"/>
  <c r="K25" i="33" s="1"/>
  <c r="G33" i="33"/>
  <c r="K33" i="33" s="1"/>
  <c r="G18" i="31"/>
  <c r="K18" i="31" s="1"/>
  <c r="G20" i="31"/>
  <c r="K20" i="31" s="1"/>
  <c r="G21" i="31"/>
  <c r="K21" i="31" s="1"/>
  <c r="G22" i="31"/>
  <c r="K22" i="31" s="1"/>
  <c r="G24" i="31"/>
  <c r="K24" i="31" s="1"/>
  <c r="G32" i="31"/>
  <c r="K32" i="31" s="1"/>
  <c r="G20" i="29"/>
  <c r="K20" i="29" s="1"/>
  <c r="G21" i="29"/>
  <c r="K21" i="29" s="1"/>
  <c r="G24" i="29"/>
  <c r="K24" i="29" s="1"/>
  <c r="G32" i="29"/>
  <c r="K32" i="29" s="1"/>
  <c r="G20" i="27"/>
  <c r="K20" i="27" s="1"/>
  <c r="G21" i="27"/>
  <c r="K21" i="27" s="1"/>
  <c r="G24" i="27"/>
  <c r="K24" i="27" s="1"/>
  <c r="G32" i="27"/>
  <c r="K32" i="27" s="1"/>
  <c r="G18" i="24"/>
  <c r="K18" i="24" s="1"/>
  <c r="G20" i="24"/>
  <c r="K20" i="24" s="1"/>
  <c r="G22" i="24"/>
  <c r="K22" i="24" s="1"/>
  <c r="G25" i="24"/>
  <c r="G33" i="24"/>
  <c r="K33" i="24" s="1"/>
  <c r="G36" i="24"/>
  <c r="K36" i="24" s="1"/>
  <c r="N36" i="24"/>
  <c r="Y31" i="35"/>
  <c r="Y31" i="33"/>
  <c r="Y30" i="31"/>
  <c r="Y30" i="29"/>
  <c r="Y31" i="19"/>
  <c r="Y30" i="27"/>
  <c r="Y31" i="24"/>
  <c r="AJ10" i="21"/>
  <c r="AJ12" i="21"/>
  <c r="G55" i="39"/>
  <c r="G56" i="39"/>
  <c r="K39" i="33"/>
  <c r="K38" i="27"/>
  <c r="BE78" i="1"/>
  <c r="BD78" i="1"/>
  <c r="BC78" i="1"/>
  <c r="AY78" i="1"/>
  <c r="AX78" i="1"/>
  <c r="BE77" i="1"/>
  <c r="BD77" i="1"/>
  <c r="BC77" i="1"/>
  <c r="AY77" i="1"/>
  <c r="AX77" i="1"/>
  <c r="BE76" i="1"/>
  <c r="BD76" i="1"/>
  <c r="BC76" i="1"/>
  <c r="AY76" i="1"/>
  <c r="AX76" i="1"/>
  <c r="BE75" i="1"/>
  <c r="BD75" i="1"/>
  <c r="BC75" i="1"/>
  <c r="AY75" i="1"/>
  <c r="AX75" i="1"/>
  <c r="BE74" i="1"/>
  <c r="BD74" i="1"/>
  <c r="BC74" i="1"/>
  <c r="AY74" i="1"/>
  <c r="AX74" i="1"/>
  <c r="BE73" i="1"/>
  <c r="BD73" i="1"/>
  <c r="BC73" i="1"/>
  <c r="AY73" i="1"/>
  <c r="AX73" i="1"/>
  <c r="BE72" i="1"/>
  <c r="BD72" i="1"/>
  <c r="BC72" i="1"/>
  <c r="AY72" i="1"/>
  <c r="AX72" i="1"/>
  <c r="BE71" i="1"/>
  <c r="BD71" i="1"/>
  <c r="BC71" i="1"/>
  <c r="AY71" i="1"/>
  <c r="AX71" i="1"/>
  <c r="BE70" i="1"/>
  <c r="BD70" i="1"/>
  <c r="BC70" i="1"/>
  <c r="BB70" i="1"/>
  <c r="AY70" i="1"/>
  <c r="AX70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B45" i="43"/>
  <c r="B44" i="43"/>
  <c r="B43" i="43"/>
  <c r="B42" i="43"/>
  <c r="B41" i="43"/>
  <c r="B40" i="43"/>
  <c r="B39" i="43"/>
  <c r="B38" i="43"/>
  <c r="B37" i="43"/>
  <c r="H78" i="1"/>
  <c r="H77" i="1"/>
  <c r="H76" i="1"/>
  <c r="H75" i="1"/>
  <c r="H74" i="1"/>
  <c r="H73" i="1"/>
  <c r="H72" i="1"/>
  <c r="H71" i="1"/>
  <c r="H70" i="1"/>
  <c r="B78" i="1"/>
  <c r="B77" i="1"/>
  <c r="B76" i="1"/>
  <c r="B75" i="1"/>
  <c r="B74" i="1"/>
  <c r="B73" i="1"/>
  <c r="B72" i="1"/>
  <c r="B71" i="1"/>
  <c r="B70" i="1"/>
  <c r="B54" i="2"/>
  <c r="B53" i="2"/>
  <c r="B52" i="2"/>
  <c r="B51" i="2"/>
  <c r="B50" i="2"/>
  <c r="B49" i="2"/>
  <c r="B48" i="2"/>
  <c r="B47" i="2"/>
  <c r="B46" i="2"/>
  <c r="H30" i="39"/>
  <c r="G29" i="39"/>
  <c r="G28" i="39"/>
  <c r="G27" i="39"/>
  <c r="G26" i="39"/>
  <c r="G25" i="39"/>
  <c r="G24" i="39"/>
  <c r="G23" i="39"/>
  <c r="G22" i="39"/>
  <c r="G21" i="39"/>
  <c r="K39" i="35"/>
  <c r="K38" i="31"/>
  <c r="K38" i="29"/>
  <c r="AG86" i="37"/>
  <c r="AH86" i="37"/>
  <c r="AG85" i="37"/>
  <c r="AH85" i="37" s="1"/>
  <c r="AG84" i="37"/>
  <c r="AH84" i="37"/>
  <c r="AG83" i="37"/>
  <c r="AH83" i="37"/>
  <c r="AG81" i="37"/>
  <c r="AH81" i="37"/>
  <c r="AG80" i="37"/>
  <c r="AH80" i="37" s="1"/>
  <c r="AG79" i="37"/>
  <c r="AH79" i="37"/>
  <c r="AG78" i="37"/>
  <c r="AH78" i="37" s="1"/>
  <c r="AG72" i="37"/>
  <c r="AH72" i="37"/>
  <c r="AG69" i="37"/>
  <c r="AH69" i="37" s="1"/>
  <c r="AG67" i="37"/>
  <c r="AH67" i="37"/>
  <c r="AG66" i="37"/>
  <c r="AH66" i="37"/>
  <c r="AG65" i="37"/>
  <c r="AH65" i="37"/>
  <c r="AG64" i="37"/>
  <c r="AH64" i="37"/>
  <c r="AG63" i="37"/>
  <c r="AH63" i="37"/>
  <c r="AG62" i="37"/>
  <c r="AH62" i="37" s="1"/>
  <c r="Y68" i="37"/>
  <c r="Y55" i="37"/>
  <c r="Y54" i="37"/>
  <c r="Y53" i="37"/>
  <c r="Y52" i="37"/>
  <c r="Y51" i="37"/>
  <c r="Y49" i="37"/>
  <c r="Y48" i="37"/>
  <c r="Y47" i="37"/>
  <c r="Y46" i="37"/>
  <c r="Y45" i="37"/>
  <c r="Y44" i="37"/>
  <c r="Y43" i="37"/>
  <c r="Y42" i="37"/>
  <c r="Y39" i="37"/>
  <c r="Y38" i="37"/>
  <c r="Y37" i="37"/>
  <c r="Y36" i="37"/>
  <c r="Y35" i="37"/>
  <c r="Y34" i="37"/>
  <c r="Y33" i="37"/>
  <c r="Y32" i="37"/>
  <c r="Y31" i="37"/>
  <c r="Y30" i="37"/>
  <c r="Y29" i="37"/>
  <c r="Y28" i="37"/>
  <c r="Y27" i="37"/>
  <c r="Y26" i="37"/>
  <c r="Y25" i="37"/>
  <c r="Y24" i="37"/>
  <c r="Y23" i="37"/>
  <c r="Y22" i="37"/>
  <c r="Y21" i="37"/>
  <c r="Y20" i="37"/>
  <c r="Y19" i="37"/>
  <c r="Y18" i="37"/>
  <c r="Y17" i="37"/>
  <c r="Y13" i="37"/>
  <c r="Y12" i="37"/>
  <c r="Y11" i="37"/>
  <c r="Y10" i="37"/>
  <c r="AG87" i="35"/>
  <c r="AH87" i="35"/>
  <c r="AG86" i="35"/>
  <c r="AH86" i="35" s="1"/>
  <c r="AG85" i="35"/>
  <c r="AH85" i="35"/>
  <c r="AG84" i="35"/>
  <c r="AH84" i="35"/>
  <c r="AG82" i="35"/>
  <c r="AH82" i="35"/>
  <c r="AG81" i="35"/>
  <c r="AH81" i="35" s="1"/>
  <c r="AG80" i="35"/>
  <c r="AH80" i="35"/>
  <c r="AG79" i="35"/>
  <c r="AH79" i="35"/>
  <c r="AG73" i="35"/>
  <c r="AH73" i="35"/>
  <c r="AG70" i="35"/>
  <c r="AH70" i="35" s="1"/>
  <c r="Y69" i="35"/>
  <c r="AG68" i="35"/>
  <c r="AH68" i="35" s="1"/>
  <c r="AG67" i="35"/>
  <c r="AH67" i="35" s="1"/>
  <c r="AG66" i="35"/>
  <c r="AH66" i="35" s="1"/>
  <c r="AG65" i="35"/>
  <c r="AH65" i="35" s="1"/>
  <c r="AG64" i="35"/>
  <c r="AH64" i="35" s="1"/>
  <c r="AG63" i="35"/>
  <c r="AH63" i="35" s="1"/>
  <c r="Y56" i="35"/>
  <c r="Y55" i="35"/>
  <c r="Y54" i="35"/>
  <c r="Y53" i="35"/>
  <c r="Y52" i="35"/>
  <c r="Y50" i="35"/>
  <c r="Y49" i="35"/>
  <c r="Y48" i="35"/>
  <c r="Y46" i="35"/>
  <c r="Y45" i="35"/>
  <c r="Y44" i="35"/>
  <c r="Y43" i="35"/>
  <c r="Y40" i="35"/>
  <c r="Y39" i="35"/>
  <c r="Y38" i="35"/>
  <c r="Y37" i="35"/>
  <c r="Y36" i="35"/>
  <c r="Y35" i="35"/>
  <c r="Y34" i="35"/>
  <c r="Y33" i="35"/>
  <c r="Y32" i="35"/>
  <c r="Y30" i="35"/>
  <c r="Y29" i="35"/>
  <c r="Y28" i="35"/>
  <c r="Y27" i="35"/>
  <c r="Y25" i="35"/>
  <c r="Y24" i="35"/>
  <c r="Y23" i="35"/>
  <c r="Y22" i="35"/>
  <c r="Y21" i="35"/>
  <c r="Y20" i="35"/>
  <c r="Y19" i="35"/>
  <c r="Y18" i="35"/>
  <c r="Y17" i="35"/>
  <c r="Y13" i="35"/>
  <c r="Y12" i="35"/>
  <c r="Y11" i="35"/>
  <c r="Y10" i="35"/>
  <c r="Y51" i="33"/>
  <c r="Y56" i="33"/>
  <c r="AG88" i="33"/>
  <c r="AH88" i="33" s="1"/>
  <c r="AG87" i="33"/>
  <c r="AH87" i="33" s="1"/>
  <c r="AG86" i="33"/>
  <c r="AH86" i="33" s="1"/>
  <c r="AG85" i="33"/>
  <c r="AH85" i="33" s="1"/>
  <c r="AH83" i="33"/>
  <c r="AG83" i="33"/>
  <c r="AG82" i="33"/>
  <c r="AH82" i="33" s="1"/>
  <c r="AG81" i="33"/>
  <c r="AH81" i="33" s="1"/>
  <c r="AG80" i="33"/>
  <c r="AH80" i="33" s="1"/>
  <c r="AH74" i="33"/>
  <c r="AG74" i="33"/>
  <c r="AG71" i="33"/>
  <c r="AH71" i="33" s="1"/>
  <c r="Y70" i="33"/>
  <c r="AG69" i="33"/>
  <c r="AH69" i="33"/>
  <c r="AG68" i="33"/>
  <c r="AH68" i="33"/>
  <c r="AG67" i="33"/>
  <c r="AH67" i="33"/>
  <c r="AG66" i="33"/>
  <c r="AH66" i="33"/>
  <c r="AG65" i="33"/>
  <c r="AH65" i="33"/>
  <c r="AG64" i="33"/>
  <c r="AH64" i="33"/>
  <c r="Y57" i="33"/>
  <c r="Y55" i="33"/>
  <c r="Y54" i="33"/>
  <c r="Y53" i="33"/>
  <c r="Y50" i="33"/>
  <c r="Y49" i="33"/>
  <c r="Y48" i="33"/>
  <c r="Y46" i="33"/>
  <c r="Y45" i="33"/>
  <c r="Y44" i="33"/>
  <c r="Y43" i="33"/>
  <c r="Y40" i="33"/>
  <c r="Y39" i="33"/>
  <c r="Y38" i="33"/>
  <c r="Y37" i="33"/>
  <c r="Y36" i="33"/>
  <c r="Y35" i="33"/>
  <c r="Y34" i="33"/>
  <c r="Y33" i="33"/>
  <c r="Y32" i="33"/>
  <c r="Y30" i="33"/>
  <c r="Y29" i="33"/>
  <c r="Y28" i="33"/>
  <c r="Y27" i="33"/>
  <c r="Y26" i="33"/>
  <c r="Y25" i="33"/>
  <c r="Y24" i="33"/>
  <c r="Y23" i="33"/>
  <c r="Y22" i="33"/>
  <c r="Y21" i="33"/>
  <c r="Y20" i="33"/>
  <c r="Y19" i="33"/>
  <c r="Y18" i="33"/>
  <c r="Y17" i="33"/>
  <c r="Y13" i="33"/>
  <c r="Y12" i="33"/>
  <c r="Y11" i="33"/>
  <c r="Y10" i="33"/>
  <c r="AG91" i="31"/>
  <c r="AH91" i="31"/>
  <c r="AG90" i="31"/>
  <c r="AH90" i="31"/>
  <c r="AG89" i="31"/>
  <c r="AH89" i="31"/>
  <c r="AG88" i="31"/>
  <c r="AH88" i="31"/>
  <c r="AG86" i="31"/>
  <c r="AH86" i="31"/>
  <c r="AG85" i="31"/>
  <c r="AH85" i="31"/>
  <c r="AG84" i="31"/>
  <c r="AH84" i="31"/>
  <c r="AG83" i="31"/>
  <c r="AH83" i="31"/>
  <c r="AG77" i="31"/>
  <c r="AH77" i="31"/>
  <c r="AG74" i="31"/>
  <c r="AH74" i="31"/>
  <c r="AG72" i="31"/>
  <c r="AH72" i="31"/>
  <c r="AG71" i="31"/>
  <c r="AH71" i="31"/>
  <c r="AG70" i="31"/>
  <c r="AH70" i="31"/>
  <c r="AG69" i="31"/>
  <c r="AH69" i="31"/>
  <c r="AG68" i="31"/>
  <c r="AH68" i="31"/>
  <c r="AG67" i="31"/>
  <c r="AH67" i="31"/>
  <c r="Y73" i="31"/>
  <c r="Y60" i="31"/>
  <c r="Y58" i="31"/>
  <c r="Y57" i="31"/>
  <c r="Y56" i="31"/>
  <c r="Y51" i="31"/>
  <c r="Y42" i="31"/>
  <c r="Y55" i="31"/>
  <c r="Y54" i="31"/>
  <c r="Y52" i="31"/>
  <c r="Y50" i="31"/>
  <c r="Y49" i="31"/>
  <c r="Y48" i="31"/>
  <c r="Y47" i="31"/>
  <c r="Y45" i="31"/>
  <c r="Y44" i="31"/>
  <c r="Y43" i="31"/>
  <c r="Y39" i="31"/>
  <c r="Y38" i="31"/>
  <c r="Y37" i="31"/>
  <c r="Y36" i="31"/>
  <c r="Y35" i="31"/>
  <c r="Y34" i="31"/>
  <c r="Y33" i="31"/>
  <c r="Y32" i="31"/>
  <c r="Y31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3" i="31"/>
  <c r="Y12" i="31"/>
  <c r="Y11" i="31"/>
  <c r="Y10" i="31"/>
  <c r="AG90" i="29"/>
  <c r="AH90" i="29" s="1"/>
  <c r="AG89" i="29"/>
  <c r="AH89" i="29" s="1"/>
  <c r="AG88" i="29"/>
  <c r="AH88" i="29" s="1"/>
  <c r="AG87" i="29"/>
  <c r="AH87" i="29"/>
  <c r="AG85" i="29"/>
  <c r="AH85" i="29" s="1"/>
  <c r="AG84" i="29"/>
  <c r="AH84" i="29"/>
  <c r="AG83" i="29"/>
  <c r="AH83" i="29" s="1"/>
  <c r="AG82" i="29"/>
  <c r="AH82" i="29"/>
  <c r="AG75" i="29"/>
  <c r="AH75" i="29" s="1"/>
  <c r="AG72" i="29"/>
  <c r="AH72" i="29" s="1"/>
  <c r="Y71" i="29"/>
  <c r="AG70" i="29"/>
  <c r="AH70" i="29"/>
  <c r="AG69" i="29"/>
  <c r="AH69" i="29"/>
  <c r="AG68" i="29"/>
  <c r="AH68" i="29" s="1"/>
  <c r="AG67" i="29"/>
  <c r="AH67" i="29"/>
  <c r="AG66" i="29"/>
  <c r="AH66" i="29" s="1"/>
  <c r="AG65" i="29"/>
  <c r="AH65" i="29"/>
  <c r="Y58" i="29"/>
  <c r="Y56" i="29"/>
  <c r="Y55" i="29"/>
  <c r="Y54" i="29"/>
  <c r="Y53" i="29"/>
  <c r="Y51" i="29"/>
  <c r="Y50" i="29"/>
  <c r="Y49" i="29"/>
  <c r="Y48" i="29"/>
  <c r="Y45" i="29"/>
  <c r="Y44" i="29"/>
  <c r="Y43" i="29"/>
  <c r="Y40" i="29"/>
  <c r="Y39" i="29"/>
  <c r="Y38" i="29"/>
  <c r="Y37" i="29"/>
  <c r="Y36" i="29"/>
  <c r="Y35" i="29"/>
  <c r="Y34" i="29"/>
  <c r="Y33" i="29"/>
  <c r="Y32" i="29"/>
  <c r="Y31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3" i="29"/>
  <c r="Y12" i="29"/>
  <c r="Y11" i="29"/>
  <c r="Y10" i="29"/>
  <c r="AG86" i="19"/>
  <c r="AH86" i="19" s="1"/>
  <c r="AG85" i="19"/>
  <c r="AH85" i="19"/>
  <c r="AG84" i="19"/>
  <c r="AH84" i="19" s="1"/>
  <c r="AG83" i="19"/>
  <c r="AH83" i="19"/>
  <c r="AG81" i="19"/>
  <c r="AH81" i="19" s="1"/>
  <c r="AG80" i="19"/>
  <c r="AH80" i="19" s="1"/>
  <c r="AG79" i="19"/>
  <c r="AH79" i="19"/>
  <c r="AG78" i="19"/>
  <c r="AH78" i="19" s="1"/>
  <c r="AG72" i="19"/>
  <c r="AH72" i="19" s="1"/>
  <c r="AG69" i="19"/>
  <c r="AH69" i="19" s="1"/>
  <c r="Y68" i="19"/>
  <c r="AG67" i="19"/>
  <c r="AH67" i="19" s="1"/>
  <c r="AG66" i="19"/>
  <c r="AH66" i="19" s="1"/>
  <c r="AG65" i="19"/>
  <c r="AH65" i="19" s="1"/>
  <c r="AG64" i="19"/>
  <c r="AH64" i="19" s="1"/>
  <c r="AG63" i="19"/>
  <c r="AH63" i="19" s="1"/>
  <c r="AG62" i="19"/>
  <c r="AH62" i="19" s="1"/>
  <c r="Y55" i="19"/>
  <c r="Y54" i="19"/>
  <c r="Y53" i="19"/>
  <c r="Y52" i="19"/>
  <c r="Y51" i="19"/>
  <c r="Y49" i="19"/>
  <c r="Y48" i="19"/>
  <c r="Y47" i="19"/>
  <c r="Y45" i="19"/>
  <c r="Y44" i="19"/>
  <c r="Y43" i="19"/>
  <c r="Y42" i="19"/>
  <c r="Y39" i="19"/>
  <c r="Y38" i="19"/>
  <c r="Y37" i="19"/>
  <c r="Y36" i="19"/>
  <c r="Y35" i="19"/>
  <c r="Y34" i="19"/>
  <c r="Y33" i="19"/>
  <c r="Y32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3" i="19"/>
  <c r="Y12" i="19"/>
  <c r="Y11" i="19"/>
  <c r="Y10" i="19"/>
  <c r="AG87" i="27"/>
  <c r="AH87" i="27"/>
  <c r="AG86" i="27"/>
  <c r="AH86" i="27"/>
  <c r="AG85" i="27"/>
  <c r="AH85" i="27"/>
  <c r="AG84" i="27"/>
  <c r="AH84" i="27"/>
  <c r="AG82" i="27"/>
  <c r="AH82" i="27"/>
  <c r="AG81" i="27"/>
  <c r="AH81" i="27"/>
  <c r="AG80" i="27"/>
  <c r="AH80" i="27"/>
  <c r="AG79" i="27"/>
  <c r="AH79" i="27"/>
  <c r="AG73" i="27"/>
  <c r="AH73" i="27"/>
  <c r="AG70" i="27"/>
  <c r="AH70" i="27"/>
  <c r="AG68" i="27"/>
  <c r="AH68" i="27"/>
  <c r="AG67" i="27"/>
  <c r="AH67" i="27"/>
  <c r="AG66" i="27"/>
  <c r="AH66" i="27"/>
  <c r="AG65" i="27"/>
  <c r="AH65" i="27"/>
  <c r="AG64" i="27"/>
  <c r="AH64" i="27"/>
  <c r="AG63" i="27"/>
  <c r="AH63" i="27"/>
  <c r="Y69" i="27"/>
  <c r="Y52" i="27"/>
  <c r="Y42" i="27"/>
  <c r="Y56" i="27"/>
  <c r="Y55" i="27"/>
  <c r="Y54" i="27"/>
  <c r="Y53" i="27"/>
  <c r="Y50" i="27"/>
  <c r="Y49" i="27"/>
  <c r="Y48" i="27"/>
  <c r="Y45" i="27"/>
  <c r="Y44" i="27"/>
  <c r="Y43" i="27"/>
  <c r="Y39" i="27"/>
  <c r="Y38" i="27"/>
  <c r="Y37" i="27"/>
  <c r="Y36" i="27"/>
  <c r="Y35" i="27"/>
  <c r="Y34" i="27"/>
  <c r="Y33" i="27"/>
  <c r="Y32" i="27"/>
  <c r="Y31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Y17" i="27"/>
  <c r="Y13" i="27"/>
  <c r="Y12" i="27"/>
  <c r="Y11" i="27"/>
  <c r="Y10" i="27"/>
  <c r="AG89" i="24"/>
  <c r="AH89" i="24" s="1"/>
  <c r="AG88" i="24"/>
  <c r="AH88" i="24" s="1"/>
  <c r="AG87" i="24"/>
  <c r="AH87" i="24" s="1"/>
  <c r="AG86" i="24"/>
  <c r="AH86" i="24" s="1"/>
  <c r="AG84" i="24"/>
  <c r="AH84" i="24" s="1"/>
  <c r="AG83" i="24"/>
  <c r="AH83" i="24" s="1"/>
  <c r="AG82" i="24"/>
  <c r="AH82" i="24" s="1"/>
  <c r="AG81" i="24"/>
  <c r="AH81" i="24" s="1"/>
  <c r="AG75" i="24"/>
  <c r="AH75" i="24" s="1"/>
  <c r="AG72" i="24"/>
  <c r="AH72" i="24" s="1"/>
  <c r="AG70" i="24"/>
  <c r="AH70" i="24" s="1"/>
  <c r="AG69" i="24"/>
  <c r="AH69" i="24" s="1"/>
  <c r="AG68" i="24"/>
  <c r="AH68" i="24" s="1"/>
  <c r="AG67" i="24"/>
  <c r="AH67" i="24" s="1"/>
  <c r="AG66" i="24"/>
  <c r="AH66" i="24" s="1"/>
  <c r="AG65" i="24"/>
  <c r="AH65" i="24" s="1"/>
  <c r="Y58" i="24"/>
  <c r="Y71" i="24"/>
  <c r="Y56" i="24"/>
  <c r="Y55" i="24"/>
  <c r="Y54" i="24"/>
  <c r="Y53" i="24"/>
  <c r="Y51" i="24"/>
  <c r="Y50" i="24"/>
  <c r="Y49" i="24"/>
  <c r="Y48" i="24"/>
  <c r="Y46" i="24"/>
  <c r="Y45" i="24"/>
  <c r="Y44" i="24"/>
  <c r="Y41" i="24"/>
  <c r="Y40" i="24"/>
  <c r="Y39" i="24"/>
  <c r="Y38" i="24"/>
  <c r="Y37" i="24"/>
  <c r="Y36" i="24"/>
  <c r="Y35" i="24"/>
  <c r="Y34" i="24"/>
  <c r="Y33" i="24"/>
  <c r="Y32" i="24"/>
  <c r="Y30" i="24"/>
  <c r="Y29" i="24"/>
  <c r="Y28" i="24"/>
  <c r="Y27" i="24"/>
  <c r="Y26" i="24"/>
  <c r="Y25" i="24"/>
  <c r="Y24" i="24"/>
  <c r="Y23" i="24"/>
  <c r="Y22" i="24"/>
  <c r="Y21" i="24"/>
  <c r="Y20" i="24"/>
  <c r="Y18" i="24"/>
  <c r="Y17" i="24"/>
  <c r="Y13" i="24"/>
  <c r="Y12" i="24"/>
  <c r="Y11" i="24"/>
  <c r="Y10" i="24"/>
  <c r="Y82" i="21"/>
  <c r="Y68" i="21"/>
  <c r="AG86" i="21"/>
  <c r="AH86" i="21" s="1"/>
  <c r="AG85" i="21"/>
  <c r="AH85" i="21" s="1"/>
  <c r="AG84" i="21"/>
  <c r="AH84" i="21" s="1"/>
  <c r="AG83" i="21"/>
  <c r="AH83" i="21"/>
  <c r="AG81" i="21"/>
  <c r="AH81" i="21" s="1"/>
  <c r="AG80" i="21"/>
  <c r="AH80" i="21" s="1"/>
  <c r="AG79" i="21"/>
  <c r="AH79" i="21" s="1"/>
  <c r="AG78" i="21"/>
  <c r="AH78" i="21" s="1"/>
  <c r="AG72" i="21"/>
  <c r="AH72" i="21" s="1"/>
  <c r="AG69" i="21"/>
  <c r="AH69" i="21" s="1"/>
  <c r="AG67" i="21"/>
  <c r="AH67" i="21" s="1"/>
  <c r="AG66" i="21"/>
  <c r="AH66" i="21"/>
  <c r="AG65" i="21"/>
  <c r="AH65" i="21" s="1"/>
  <c r="AG64" i="21"/>
  <c r="AH64" i="21" s="1"/>
  <c r="AG63" i="21"/>
  <c r="AH63" i="21" s="1"/>
  <c r="AG62" i="21"/>
  <c r="AH62" i="21" s="1"/>
  <c r="Y55" i="21"/>
  <c r="Y54" i="21"/>
  <c r="Y53" i="21"/>
  <c r="Y52" i="21"/>
  <c r="Y51" i="21"/>
  <c r="Y49" i="21"/>
  <c r="Y48" i="21"/>
  <c r="Y47" i="21"/>
  <c r="Y46" i="21"/>
  <c r="Y45" i="21"/>
  <c r="Y44" i="21"/>
  <c r="Y43" i="21"/>
  <c r="Y40" i="21"/>
  <c r="Y39" i="21"/>
  <c r="Y38" i="21"/>
  <c r="Y37" i="21"/>
  <c r="Y36" i="21"/>
  <c r="Y35" i="21"/>
  <c r="Y34" i="21"/>
  <c r="Y33" i="21"/>
  <c r="Y32" i="21"/>
  <c r="Y30" i="21"/>
  <c r="Y29" i="21"/>
  <c r="Y28" i="21"/>
  <c r="Y27" i="21"/>
  <c r="Y26" i="21"/>
  <c r="Y25" i="21"/>
  <c r="Y24" i="21"/>
  <c r="Y23" i="21"/>
  <c r="Y22" i="21"/>
  <c r="Y21" i="21"/>
  <c r="Y20" i="21"/>
  <c r="Y19" i="21"/>
  <c r="Y18" i="21"/>
  <c r="Y17" i="21"/>
  <c r="Y13" i="21"/>
  <c r="Y12" i="21"/>
  <c r="Y11" i="21"/>
  <c r="Y10" i="21"/>
  <c r="B12" i="43"/>
  <c r="B11" i="43"/>
  <c r="B10" i="43"/>
  <c r="B9" i="43"/>
  <c r="B8" i="43"/>
  <c r="B7" i="43"/>
  <c r="B6" i="43"/>
  <c r="B5" i="43"/>
  <c r="B4" i="43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E126" i="1"/>
  <c r="D126" i="1"/>
  <c r="C126" i="1"/>
  <c r="E125" i="1"/>
  <c r="D125" i="1"/>
  <c r="C125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22" i="1"/>
  <c r="D122" i="1"/>
  <c r="E121" i="1"/>
  <c r="D121" i="1"/>
  <c r="C121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C122" i="1"/>
  <c r="B23" i="43"/>
  <c r="B22" i="43"/>
  <c r="B21" i="43"/>
  <c r="B20" i="43"/>
  <c r="B19" i="43"/>
  <c r="B18" i="43"/>
  <c r="B17" i="43"/>
  <c r="B16" i="43"/>
  <c r="B15" i="43"/>
  <c r="B89" i="43"/>
  <c r="B88" i="43"/>
  <c r="B87" i="43"/>
  <c r="B86" i="43"/>
  <c r="B85" i="43"/>
  <c r="B84" i="43"/>
  <c r="B83" i="43"/>
  <c r="B82" i="43"/>
  <c r="B81" i="43"/>
  <c r="B78" i="43"/>
  <c r="B77" i="43"/>
  <c r="B76" i="43"/>
  <c r="B75" i="43"/>
  <c r="B74" i="43"/>
  <c r="B73" i="43"/>
  <c r="B72" i="43"/>
  <c r="B71" i="43"/>
  <c r="B70" i="43"/>
  <c r="B67" i="43"/>
  <c r="B66" i="43"/>
  <c r="B65" i="43"/>
  <c r="B64" i="43"/>
  <c r="B63" i="43"/>
  <c r="B62" i="43"/>
  <c r="B61" i="43"/>
  <c r="B60" i="43"/>
  <c r="B59" i="43"/>
  <c r="B56" i="43"/>
  <c r="B55" i="43"/>
  <c r="B54" i="43"/>
  <c r="B53" i="43"/>
  <c r="B52" i="43"/>
  <c r="B51" i="43"/>
  <c r="B50" i="43"/>
  <c r="B49" i="43"/>
  <c r="B48" i="43"/>
  <c r="B34" i="43"/>
  <c r="B33" i="43"/>
  <c r="B32" i="43"/>
  <c r="B31" i="43"/>
  <c r="B30" i="43"/>
  <c r="B29" i="43"/>
  <c r="B28" i="43"/>
  <c r="B27" i="43"/>
  <c r="B26" i="43"/>
  <c r="G40" i="42"/>
  <c r="F40" i="42"/>
  <c r="E40" i="42"/>
  <c r="D40" i="42"/>
  <c r="C40" i="42"/>
  <c r="H40" i="42"/>
  <c r="G39" i="42"/>
  <c r="F39" i="42"/>
  <c r="E39" i="42"/>
  <c r="D39" i="42"/>
  <c r="C39" i="42"/>
  <c r="H39" i="42"/>
  <c r="G38" i="42"/>
  <c r="F38" i="42"/>
  <c r="E38" i="42"/>
  <c r="D38" i="42"/>
  <c r="C38" i="42"/>
  <c r="H38" i="42"/>
  <c r="G37" i="42"/>
  <c r="F37" i="42"/>
  <c r="E37" i="42"/>
  <c r="D37" i="42"/>
  <c r="C37" i="42"/>
  <c r="H37" i="42"/>
  <c r="G36" i="42"/>
  <c r="F36" i="42"/>
  <c r="E36" i="42"/>
  <c r="D36" i="42"/>
  <c r="C36" i="42"/>
  <c r="H36" i="42"/>
  <c r="G35" i="42"/>
  <c r="F35" i="42"/>
  <c r="E35" i="42"/>
  <c r="D35" i="42"/>
  <c r="C35" i="42"/>
  <c r="H35" i="42"/>
  <c r="G34" i="42"/>
  <c r="F34" i="42"/>
  <c r="E34" i="42"/>
  <c r="D34" i="42"/>
  <c r="C34" i="42"/>
  <c r="H34" i="42"/>
  <c r="G33" i="42"/>
  <c r="G41" i="42"/>
  <c r="F33" i="42"/>
  <c r="F41" i="42"/>
  <c r="E33" i="42"/>
  <c r="E41" i="42"/>
  <c r="D33" i="42"/>
  <c r="D41" i="42"/>
  <c r="C33" i="42"/>
  <c r="C41" i="42"/>
  <c r="H33" i="42"/>
  <c r="H41" i="42"/>
  <c r="D56" i="1"/>
  <c r="E40" i="1"/>
  <c r="E42" i="1"/>
  <c r="E44" i="1"/>
  <c r="E46" i="1"/>
  <c r="E48" i="1"/>
  <c r="C50" i="1"/>
  <c r="E52" i="1"/>
  <c r="C54" i="1"/>
  <c r="E56" i="1"/>
  <c r="D39" i="1"/>
  <c r="D41" i="1"/>
  <c r="D43" i="1"/>
  <c r="E45" i="1"/>
  <c r="D47" i="1"/>
  <c r="C49" i="1"/>
  <c r="D51" i="1"/>
  <c r="C53" i="1"/>
  <c r="D55" i="1"/>
  <c r="E39" i="1"/>
  <c r="D40" i="1"/>
  <c r="C41" i="1"/>
  <c r="E41" i="1"/>
  <c r="D42" i="1"/>
  <c r="C43" i="1"/>
  <c r="E43" i="1"/>
  <c r="D44" i="1"/>
  <c r="C45" i="1"/>
  <c r="E47" i="1"/>
  <c r="D50" i="1"/>
  <c r="E51" i="1"/>
  <c r="D54" i="1"/>
  <c r="E55" i="1"/>
  <c r="C40" i="1"/>
  <c r="C42" i="1"/>
  <c r="C44" i="1"/>
  <c r="C46" i="1"/>
  <c r="D46" i="1"/>
  <c r="D45" i="1"/>
  <c r="C48" i="1"/>
  <c r="D49" i="1"/>
  <c r="E50" i="1"/>
  <c r="C52" i="1"/>
  <c r="D53" i="1"/>
  <c r="E54" i="1"/>
  <c r="C56" i="1"/>
  <c r="C47" i="1"/>
  <c r="D48" i="1"/>
  <c r="E49" i="1"/>
  <c r="C51" i="1"/>
  <c r="D52" i="1"/>
  <c r="E53" i="1"/>
  <c r="C55" i="1"/>
  <c r="C39" i="1"/>
  <c r="C28" i="5"/>
  <c r="D28" i="5"/>
  <c r="O7" i="42"/>
  <c r="N7" i="42"/>
  <c r="M7" i="42"/>
  <c r="L7" i="42"/>
  <c r="K7" i="42"/>
  <c r="P6" i="42"/>
  <c r="P5" i="42"/>
  <c r="G50" i="4"/>
  <c r="F50" i="4"/>
  <c r="E50" i="4"/>
  <c r="D50" i="4"/>
  <c r="C50" i="4"/>
  <c r="G49" i="4"/>
  <c r="F49" i="4"/>
  <c r="E49" i="4"/>
  <c r="D49" i="4"/>
  <c r="C49" i="4"/>
  <c r="G48" i="4"/>
  <c r="F48" i="4"/>
  <c r="E48" i="4"/>
  <c r="D48" i="4"/>
  <c r="C48" i="4"/>
  <c r="G47" i="4"/>
  <c r="F47" i="4"/>
  <c r="E47" i="4"/>
  <c r="D47" i="4"/>
  <c r="C47" i="4"/>
  <c r="G46" i="4"/>
  <c r="F46" i="4"/>
  <c r="E46" i="4"/>
  <c r="D46" i="4"/>
  <c r="C46" i="4"/>
  <c r="G45" i="4"/>
  <c r="F45" i="4"/>
  <c r="E45" i="4"/>
  <c r="D45" i="4"/>
  <c r="C45" i="4"/>
  <c r="G44" i="4"/>
  <c r="F44" i="4"/>
  <c r="E44" i="4"/>
  <c r="D44" i="4"/>
  <c r="C44" i="4"/>
  <c r="G43" i="4"/>
  <c r="F43" i="4"/>
  <c r="E43" i="4"/>
  <c r="D43" i="4"/>
  <c r="C43" i="4"/>
  <c r="G27" i="42"/>
  <c r="F27" i="42"/>
  <c r="E27" i="42"/>
  <c r="D27" i="42"/>
  <c r="C27" i="42"/>
  <c r="H26" i="42"/>
  <c r="H25" i="42"/>
  <c r="H24" i="42"/>
  <c r="H23" i="42"/>
  <c r="H22" i="42"/>
  <c r="H21" i="42"/>
  <c r="H20" i="42"/>
  <c r="H19" i="42"/>
  <c r="H11" i="42"/>
  <c r="H10" i="42"/>
  <c r="H9" i="42"/>
  <c r="H8" i="42"/>
  <c r="H7" i="42"/>
  <c r="H6" i="42"/>
  <c r="H5" i="42"/>
  <c r="H4" i="42"/>
  <c r="P7" i="42"/>
  <c r="F57" i="39"/>
  <c r="E57" i="39"/>
  <c r="H27" i="42"/>
  <c r="D57" i="39"/>
  <c r="H12" i="42"/>
  <c r="G12" i="42"/>
  <c r="G13" i="42"/>
  <c r="F12" i="42"/>
  <c r="F13" i="42"/>
  <c r="E12" i="42"/>
  <c r="E13" i="42"/>
  <c r="D12" i="42"/>
  <c r="D13" i="42"/>
  <c r="C12" i="42"/>
  <c r="C13" i="42"/>
  <c r="BE122" i="1"/>
  <c r="BD122" i="1"/>
  <c r="BC122" i="1"/>
  <c r="BE121" i="1"/>
  <c r="BD121" i="1"/>
  <c r="BC121" i="1"/>
  <c r="BE120" i="1"/>
  <c r="BD120" i="1"/>
  <c r="BC120" i="1"/>
  <c r="BE119" i="1"/>
  <c r="BD119" i="1"/>
  <c r="BC119" i="1"/>
  <c r="BE118" i="1"/>
  <c r="BD118" i="1"/>
  <c r="BC118" i="1"/>
  <c r="BE117" i="1"/>
  <c r="BD117" i="1"/>
  <c r="BC117" i="1"/>
  <c r="BE116" i="1"/>
  <c r="BD116" i="1"/>
  <c r="BC116" i="1"/>
  <c r="BE115" i="1"/>
  <c r="BD115" i="1"/>
  <c r="BC115" i="1"/>
  <c r="BE114" i="1"/>
  <c r="BD114" i="1"/>
  <c r="BC114" i="1"/>
  <c r="BE111" i="1"/>
  <c r="BD111" i="1"/>
  <c r="BC111" i="1"/>
  <c r="BE110" i="1"/>
  <c r="BD110" i="1"/>
  <c r="BC110" i="1"/>
  <c r="BE109" i="1"/>
  <c r="BD109" i="1"/>
  <c r="BC109" i="1"/>
  <c r="BE108" i="1"/>
  <c r="BD108" i="1"/>
  <c r="BC108" i="1"/>
  <c r="BE107" i="1"/>
  <c r="BD107" i="1"/>
  <c r="BC107" i="1"/>
  <c r="BE106" i="1"/>
  <c r="BD106" i="1"/>
  <c r="BC106" i="1"/>
  <c r="BE105" i="1"/>
  <c r="BD105" i="1"/>
  <c r="BC105" i="1"/>
  <c r="BE104" i="1"/>
  <c r="BD104" i="1"/>
  <c r="BC104" i="1"/>
  <c r="BE103" i="1"/>
  <c r="BD103" i="1"/>
  <c r="BC103" i="1"/>
  <c r="BE100" i="1"/>
  <c r="BD100" i="1"/>
  <c r="BC100" i="1"/>
  <c r="BE99" i="1"/>
  <c r="BD99" i="1"/>
  <c r="BC99" i="1"/>
  <c r="BE98" i="1"/>
  <c r="BD98" i="1"/>
  <c r="BC98" i="1"/>
  <c r="BE97" i="1"/>
  <c r="BD97" i="1"/>
  <c r="BC97" i="1"/>
  <c r="BE96" i="1"/>
  <c r="BD96" i="1"/>
  <c r="BC96" i="1"/>
  <c r="BE95" i="1"/>
  <c r="BD95" i="1"/>
  <c r="BC95" i="1"/>
  <c r="BE94" i="1"/>
  <c r="BD94" i="1"/>
  <c r="BC94" i="1"/>
  <c r="BE93" i="1"/>
  <c r="BD93" i="1"/>
  <c r="BC93" i="1"/>
  <c r="BE92" i="1"/>
  <c r="BD92" i="1"/>
  <c r="BC92" i="1"/>
  <c r="BE89" i="1"/>
  <c r="BD89" i="1"/>
  <c r="BC89" i="1"/>
  <c r="BE88" i="1"/>
  <c r="BD88" i="1"/>
  <c r="BC88" i="1"/>
  <c r="BE87" i="1"/>
  <c r="BD87" i="1"/>
  <c r="BC87" i="1"/>
  <c r="BE86" i="1"/>
  <c r="BD86" i="1"/>
  <c r="BC86" i="1"/>
  <c r="BE85" i="1"/>
  <c r="BD85" i="1"/>
  <c r="BC85" i="1"/>
  <c r="BE84" i="1"/>
  <c r="BD84" i="1"/>
  <c r="BC84" i="1"/>
  <c r="BE83" i="1"/>
  <c r="BD83" i="1"/>
  <c r="BC83" i="1"/>
  <c r="BE82" i="1"/>
  <c r="BD82" i="1"/>
  <c r="BC82" i="1"/>
  <c r="BE81" i="1"/>
  <c r="BD81" i="1"/>
  <c r="BC81" i="1"/>
  <c r="BE67" i="1"/>
  <c r="BD67" i="1"/>
  <c r="BC67" i="1"/>
  <c r="BE66" i="1"/>
  <c r="BD66" i="1"/>
  <c r="BC66" i="1"/>
  <c r="BE65" i="1"/>
  <c r="BD65" i="1"/>
  <c r="BC65" i="1"/>
  <c r="BE64" i="1"/>
  <c r="BD64" i="1"/>
  <c r="BC64" i="1"/>
  <c r="BE63" i="1"/>
  <c r="BD63" i="1"/>
  <c r="BC63" i="1"/>
  <c r="BE62" i="1"/>
  <c r="BD62" i="1"/>
  <c r="BC62" i="1"/>
  <c r="BE61" i="1"/>
  <c r="BD61" i="1"/>
  <c r="BC61" i="1"/>
  <c r="BE60" i="1"/>
  <c r="BD60" i="1"/>
  <c r="BC60" i="1"/>
  <c r="BE59" i="1"/>
  <c r="BD59" i="1"/>
  <c r="BC59" i="1"/>
  <c r="BE56" i="1"/>
  <c r="BD56" i="1"/>
  <c r="BC56" i="1"/>
  <c r="BE55" i="1"/>
  <c r="BD55" i="1"/>
  <c r="BC55" i="1"/>
  <c r="BE54" i="1"/>
  <c r="BD54" i="1"/>
  <c r="BC54" i="1"/>
  <c r="BE53" i="1"/>
  <c r="BD53" i="1"/>
  <c r="BC53" i="1"/>
  <c r="BE52" i="1"/>
  <c r="BD52" i="1"/>
  <c r="BC52" i="1"/>
  <c r="BE51" i="1"/>
  <c r="BD51" i="1"/>
  <c r="BC51" i="1"/>
  <c r="BE50" i="1"/>
  <c r="BD50" i="1"/>
  <c r="BC50" i="1"/>
  <c r="BE49" i="1"/>
  <c r="BD49" i="1"/>
  <c r="BC49" i="1"/>
  <c r="BE48" i="1"/>
  <c r="BD48" i="1"/>
  <c r="BC48" i="1"/>
  <c r="BE47" i="1"/>
  <c r="BD47" i="1"/>
  <c r="BC47" i="1"/>
  <c r="BE46" i="1"/>
  <c r="BD46" i="1"/>
  <c r="BC46" i="1"/>
  <c r="BE45" i="1"/>
  <c r="BD45" i="1"/>
  <c r="BC45" i="1"/>
  <c r="BE44" i="1"/>
  <c r="BD44" i="1"/>
  <c r="BC44" i="1"/>
  <c r="BE43" i="1"/>
  <c r="BD43" i="1"/>
  <c r="BC43" i="1"/>
  <c r="BE42" i="1"/>
  <c r="BD42" i="1"/>
  <c r="BC42" i="1"/>
  <c r="BE41" i="1"/>
  <c r="BD41" i="1"/>
  <c r="BC41" i="1"/>
  <c r="BE40" i="1"/>
  <c r="BD40" i="1"/>
  <c r="BC40" i="1"/>
  <c r="BE39" i="1"/>
  <c r="BD39" i="1"/>
  <c r="BC39" i="1"/>
  <c r="L44" i="41"/>
  <c r="L16" i="41"/>
  <c r="O16" i="41"/>
  <c r="L15" i="41"/>
  <c r="O15" i="41"/>
  <c r="L14" i="41"/>
  <c r="O14" i="41"/>
  <c r="L20" i="41"/>
  <c r="O20" i="41"/>
  <c r="L19" i="41"/>
  <c r="O19" i="41"/>
  <c r="K14" i="5"/>
  <c r="R123" i="2"/>
  <c r="J134" i="1"/>
  <c r="O44" i="4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14" i="7"/>
  <c r="B13" i="7"/>
  <c r="B12" i="7"/>
  <c r="B11" i="7"/>
  <c r="B10" i="7"/>
  <c r="B9" i="7"/>
  <c r="B8" i="7"/>
  <c r="B7" i="7"/>
  <c r="B6" i="7"/>
  <c r="B148" i="1"/>
  <c r="B147" i="1"/>
  <c r="B146" i="1"/>
  <c r="B145" i="1"/>
  <c r="B144" i="1"/>
  <c r="B143" i="1"/>
  <c r="B142" i="1"/>
  <c r="B141" i="1"/>
  <c r="B140" i="1"/>
  <c r="B122" i="1"/>
  <c r="B121" i="1"/>
  <c r="B120" i="1"/>
  <c r="B119" i="1"/>
  <c r="B118" i="1"/>
  <c r="B117" i="1"/>
  <c r="B116" i="1"/>
  <c r="B115" i="1"/>
  <c r="B114" i="1"/>
  <c r="B111" i="1"/>
  <c r="B110" i="1"/>
  <c r="B109" i="1"/>
  <c r="B108" i="1"/>
  <c r="B107" i="1"/>
  <c r="B106" i="1"/>
  <c r="B105" i="1"/>
  <c r="B104" i="1"/>
  <c r="B103" i="1"/>
  <c r="B100" i="1"/>
  <c r="B99" i="1"/>
  <c r="B98" i="1"/>
  <c r="B97" i="1"/>
  <c r="B96" i="1"/>
  <c r="B95" i="1"/>
  <c r="B94" i="1"/>
  <c r="B93" i="1"/>
  <c r="B92" i="1"/>
  <c r="B89" i="1"/>
  <c r="B88" i="1"/>
  <c r="B87" i="1"/>
  <c r="B86" i="1"/>
  <c r="B85" i="1"/>
  <c r="B84" i="1"/>
  <c r="B83" i="1"/>
  <c r="B82" i="1"/>
  <c r="B81" i="1"/>
  <c r="B67" i="1"/>
  <c r="B66" i="1"/>
  <c r="B65" i="1"/>
  <c r="B64" i="1"/>
  <c r="B63" i="1"/>
  <c r="B62" i="1"/>
  <c r="B61" i="1"/>
  <c r="B60" i="1"/>
  <c r="B59" i="1"/>
  <c r="B50" i="40"/>
  <c r="B49" i="40"/>
  <c r="B48" i="40"/>
  <c r="B47" i="40"/>
  <c r="B46" i="40"/>
  <c r="B45" i="40"/>
  <c r="B44" i="40"/>
  <c r="B43" i="40"/>
  <c r="B42" i="40"/>
  <c r="B38" i="40"/>
  <c r="B37" i="40"/>
  <c r="B36" i="40"/>
  <c r="B35" i="40"/>
  <c r="B34" i="40"/>
  <c r="B33" i="40"/>
  <c r="B32" i="40"/>
  <c r="B31" i="40"/>
  <c r="B30" i="40"/>
  <c r="B26" i="40"/>
  <c r="B25" i="40"/>
  <c r="B24" i="40"/>
  <c r="B23" i="40"/>
  <c r="B22" i="40"/>
  <c r="B21" i="40"/>
  <c r="B20" i="40"/>
  <c r="B19" i="40"/>
  <c r="B18" i="40"/>
  <c r="B14" i="40"/>
  <c r="B13" i="40"/>
  <c r="B12" i="40"/>
  <c r="B11" i="40"/>
  <c r="B10" i="40"/>
  <c r="B9" i="40"/>
  <c r="B8" i="40"/>
  <c r="B7" i="40"/>
  <c r="B6" i="40"/>
  <c r="B140" i="2"/>
  <c r="B139" i="2"/>
  <c r="B138" i="2"/>
  <c r="B137" i="2"/>
  <c r="B136" i="2"/>
  <c r="B135" i="2"/>
  <c r="B134" i="2"/>
  <c r="B133" i="2"/>
  <c r="B132" i="2"/>
  <c r="B109" i="2"/>
  <c r="B108" i="2"/>
  <c r="B107" i="2"/>
  <c r="B106" i="2"/>
  <c r="B105" i="2"/>
  <c r="B104" i="2"/>
  <c r="B103" i="2"/>
  <c r="B102" i="2"/>
  <c r="B101" i="2"/>
  <c r="B95" i="2"/>
  <c r="B94" i="2"/>
  <c r="B93" i="2"/>
  <c r="B92" i="2"/>
  <c r="B91" i="2"/>
  <c r="B90" i="2"/>
  <c r="B89" i="2"/>
  <c r="B88" i="2"/>
  <c r="B87" i="2"/>
  <c r="B81" i="2"/>
  <c r="B80" i="2"/>
  <c r="B79" i="2"/>
  <c r="B78" i="2"/>
  <c r="B77" i="2"/>
  <c r="B76" i="2"/>
  <c r="B75" i="2"/>
  <c r="B74" i="2"/>
  <c r="B73" i="2"/>
  <c r="B67" i="2"/>
  <c r="B66" i="2"/>
  <c r="B65" i="2"/>
  <c r="B64" i="2"/>
  <c r="B63" i="2"/>
  <c r="B62" i="2"/>
  <c r="B61" i="2"/>
  <c r="B60" i="2"/>
  <c r="B59" i="2"/>
  <c r="B41" i="2"/>
  <c r="B40" i="2"/>
  <c r="B39" i="2"/>
  <c r="B38" i="2"/>
  <c r="B37" i="2"/>
  <c r="B36" i="2"/>
  <c r="B35" i="2"/>
  <c r="B34" i="2"/>
  <c r="B33" i="2"/>
  <c r="B27" i="2"/>
  <c r="B26" i="2"/>
  <c r="B25" i="2"/>
  <c r="B24" i="2"/>
  <c r="B23" i="2"/>
  <c r="B22" i="2"/>
  <c r="B21" i="2"/>
  <c r="B20" i="2"/>
  <c r="B19" i="2"/>
  <c r="B13" i="2"/>
  <c r="B12" i="2"/>
  <c r="B11" i="2"/>
  <c r="B10" i="2"/>
  <c r="B9" i="2"/>
  <c r="B8" i="2"/>
  <c r="B7" i="2"/>
  <c r="B6" i="2"/>
  <c r="B5" i="2"/>
  <c r="B2" i="37"/>
  <c r="B3" i="37"/>
  <c r="B2" i="35"/>
  <c r="B3" i="35"/>
  <c r="B2" i="33"/>
  <c r="B3" i="33"/>
  <c r="B2" i="31"/>
  <c r="B3" i="31"/>
  <c r="B2" i="29"/>
  <c r="B3" i="29"/>
  <c r="B2" i="19"/>
  <c r="B3" i="19"/>
  <c r="B2" i="27"/>
  <c r="B3" i="27"/>
  <c r="B2" i="24"/>
  <c r="B3" i="24"/>
  <c r="B2" i="21"/>
  <c r="B3" i="21"/>
  <c r="B56" i="39"/>
  <c r="B55" i="39"/>
  <c r="B54" i="39"/>
  <c r="B53" i="39"/>
  <c r="B52" i="39"/>
  <c r="B51" i="39"/>
  <c r="B50" i="39"/>
  <c r="B49" i="39"/>
  <c r="B48" i="39"/>
  <c r="B43" i="39"/>
  <c r="B42" i="39"/>
  <c r="B41" i="39"/>
  <c r="B40" i="39"/>
  <c r="B39" i="39"/>
  <c r="B38" i="39"/>
  <c r="B37" i="39"/>
  <c r="B36" i="39"/>
  <c r="B35" i="39"/>
  <c r="B29" i="39"/>
  <c r="B28" i="39"/>
  <c r="B27" i="39"/>
  <c r="B26" i="39"/>
  <c r="B25" i="39"/>
  <c r="B24" i="39"/>
  <c r="B23" i="39"/>
  <c r="B22" i="39"/>
  <c r="B21" i="39"/>
  <c r="B15" i="39"/>
  <c r="B14" i="39"/>
  <c r="B13" i="39"/>
  <c r="B12" i="39"/>
  <c r="B11" i="39"/>
  <c r="B10" i="39"/>
  <c r="B9" i="39"/>
  <c r="B8" i="39"/>
  <c r="B7" i="39"/>
  <c r="B30" i="11"/>
  <c r="B29" i="11"/>
  <c r="B28" i="11"/>
  <c r="B27" i="11"/>
  <c r="B26" i="11"/>
  <c r="B25" i="11"/>
  <c r="B24" i="11"/>
  <c r="B23" i="11"/>
  <c r="B22" i="11"/>
  <c r="H78" i="33"/>
  <c r="H75" i="33"/>
  <c r="R75" i="33" s="1"/>
  <c r="H76" i="33"/>
  <c r="H77" i="33"/>
  <c r="H78" i="31"/>
  <c r="H79" i="31"/>
  <c r="R79" i="31" s="1"/>
  <c r="H80" i="31"/>
  <c r="H81" i="31"/>
  <c r="H79" i="24"/>
  <c r="H76" i="24"/>
  <c r="V76" i="24" s="1"/>
  <c r="H77" i="24"/>
  <c r="H78" i="24"/>
  <c r="H75" i="19"/>
  <c r="H73" i="19"/>
  <c r="T73" i="19" s="1"/>
  <c r="H76" i="19"/>
  <c r="H74" i="19"/>
  <c r="H79" i="29"/>
  <c r="H76" i="29"/>
  <c r="S76" i="29" s="1"/>
  <c r="H77" i="29"/>
  <c r="X77" i="29" s="1"/>
  <c r="H78" i="29"/>
  <c r="H76" i="27"/>
  <c r="H77" i="27"/>
  <c r="H75" i="27"/>
  <c r="U75" i="27" s="1"/>
  <c r="H74" i="27"/>
  <c r="V74" i="27" s="1"/>
  <c r="H77" i="35"/>
  <c r="H74" i="35"/>
  <c r="T74" i="35" s="1"/>
  <c r="H76" i="35"/>
  <c r="H75" i="35"/>
  <c r="S75" i="35" s="1"/>
  <c r="H73" i="21"/>
  <c r="T73" i="21" s="1"/>
  <c r="E8" i="1"/>
  <c r="C8" i="1"/>
  <c r="D8" i="1"/>
  <c r="E10" i="1"/>
  <c r="C10" i="1"/>
  <c r="D10" i="1"/>
  <c r="E12" i="1"/>
  <c r="C12" i="1"/>
  <c r="D12" i="1"/>
  <c r="E14" i="1"/>
  <c r="C14" i="1"/>
  <c r="D14" i="1"/>
  <c r="E16" i="1"/>
  <c r="C16" i="1"/>
  <c r="D16" i="1"/>
  <c r="D20" i="1"/>
  <c r="C20" i="1"/>
  <c r="E20" i="1"/>
  <c r="E22" i="1"/>
  <c r="C22" i="1"/>
  <c r="D22" i="1"/>
  <c r="D24" i="1"/>
  <c r="C24" i="1"/>
  <c r="E24" i="1"/>
  <c r="E26" i="1"/>
  <c r="C26" i="1"/>
  <c r="D26" i="1"/>
  <c r="D28" i="1"/>
  <c r="C28" i="1"/>
  <c r="E28" i="1"/>
  <c r="E30" i="1"/>
  <c r="C30" i="1"/>
  <c r="D30" i="1"/>
  <c r="D32" i="1"/>
  <c r="C32" i="1"/>
  <c r="E32" i="1"/>
  <c r="E34" i="1"/>
  <c r="C34" i="1"/>
  <c r="D34" i="1"/>
  <c r="D36" i="1"/>
  <c r="C36" i="1"/>
  <c r="E36" i="1"/>
  <c r="D7" i="1"/>
  <c r="E7" i="1"/>
  <c r="C7" i="1"/>
  <c r="D9" i="1"/>
  <c r="E9" i="1"/>
  <c r="C9" i="1"/>
  <c r="D11" i="1"/>
  <c r="E11" i="1"/>
  <c r="C11" i="1"/>
  <c r="D13" i="1"/>
  <c r="E13" i="1"/>
  <c r="C13" i="1"/>
  <c r="D15" i="1"/>
  <c r="E15" i="1"/>
  <c r="C15" i="1"/>
  <c r="E21" i="1"/>
  <c r="D21" i="1"/>
  <c r="C21" i="1"/>
  <c r="C23" i="1"/>
  <c r="D23" i="1"/>
  <c r="E23" i="1"/>
  <c r="E25" i="1"/>
  <c r="D25" i="1"/>
  <c r="C25" i="1"/>
  <c r="C27" i="1"/>
  <c r="D27" i="1"/>
  <c r="E27" i="1"/>
  <c r="E29" i="1"/>
  <c r="D29" i="1"/>
  <c r="C29" i="1"/>
  <c r="C31" i="1"/>
  <c r="D31" i="1"/>
  <c r="E31" i="1"/>
  <c r="E33" i="1"/>
  <c r="D33" i="1"/>
  <c r="C33" i="1"/>
  <c r="C35" i="1"/>
  <c r="E35" i="1"/>
  <c r="D35" i="1"/>
  <c r="C17" i="1"/>
  <c r="E17" i="1"/>
  <c r="D17" i="1"/>
  <c r="D18" i="1"/>
  <c r="C18" i="1"/>
  <c r="E18" i="1"/>
  <c r="E19" i="1"/>
  <c r="D19" i="1"/>
  <c r="C19" i="1"/>
  <c r="L6" i="41"/>
  <c r="S75" i="27"/>
  <c r="T75" i="27"/>
  <c r="R75" i="27"/>
  <c r="Y75" i="27" s="1"/>
  <c r="V75" i="27"/>
  <c r="W75" i="27"/>
  <c r="X75" i="27"/>
  <c r="V73" i="19"/>
  <c r="X73" i="19"/>
  <c r="V79" i="31"/>
  <c r="T79" i="31"/>
  <c r="S78" i="31"/>
  <c r="W78" i="31"/>
  <c r="R78" i="31"/>
  <c r="Y78" i="31" s="1"/>
  <c r="T78" i="31"/>
  <c r="X78" i="31"/>
  <c r="U78" i="31"/>
  <c r="V78" i="31"/>
  <c r="V77" i="29"/>
  <c r="W77" i="29"/>
  <c r="S77" i="24"/>
  <c r="W77" i="24"/>
  <c r="U77" i="24"/>
  <c r="V77" i="24"/>
  <c r="Y77" i="24" s="1"/>
  <c r="T77" i="24"/>
  <c r="X77" i="24"/>
  <c r="R77" i="24"/>
  <c r="T76" i="33"/>
  <c r="X76" i="33"/>
  <c r="V76" i="33"/>
  <c r="S76" i="33"/>
  <c r="Y76" i="33" s="1"/>
  <c r="W76" i="33"/>
  <c r="U76" i="33"/>
  <c r="R76" i="33"/>
  <c r="X73" i="21"/>
  <c r="V73" i="21"/>
  <c r="S74" i="35"/>
  <c r="R74" i="35"/>
  <c r="X74" i="35"/>
  <c r="V74" i="35"/>
  <c r="V76" i="29"/>
  <c r="T76" i="29"/>
  <c r="R76" i="29"/>
  <c r="U75" i="33"/>
  <c r="V75" i="33"/>
  <c r="R75" i="35"/>
  <c r="W75" i="35"/>
  <c r="R74" i="27"/>
  <c r="S74" i="27"/>
  <c r="U74" i="19"/>
  <c r="S74" i="19"/>
  <c r="X74" i="19"/>
  <c r="R74" i="19"/>
  <c r="V74" i="19"/>
  <c r="W74" i="19"/>
  <c r="T74" i="19"/>
  <c r="O6" i="41"/>
  <c r="O78" i="31"/>
  <c r="U51" i="2"/>
  <c r="M75" i="1" s="1"/>
  <c r="M78" i="31"/>
  <c r="S51" i="2"/>
  <c r="K75" i="1" s="1"/>
  <c r="AH75" i="1" s="1"/>
  <c r="W89" i="24"/>
  <c r="V89" i="24"/>
  <c r="R89" i="24"/>
  <c r="U85" i="27"/>
  <c r="V85" i="27"/>
  <c r="T85" i="27"/>
  <c r="V87" i="24"/>
  <c r="T87" i="24"/>
  <c r="R87" i="24"/>
  <c r="U86" i="27"/>
  <c r="W86" i="27"/>
  <c r="T86" i="27"/>
  <c r="R87" i="27"/>
  <c r="X87" i="27"/>
  <c r="V87" i="27"/>
  <c r="U88" i="24"/>
  <c r="R88" i="24"/>
  <c r="V85" i="21"/>
  <c r="S83" i="21"/>
  <c r="R83" i="21"/>
  <c r="V83" i="21"/>
  <c r="U83" i="21"/>
  <c r="V86" i="21"/>
  <c r="R86" i="21"/>
  <c r="T86" i="19"/>
  <c r="R90" i="29"/>
  <c r="S90" i="29"/>
  <c r="T90" i="29"/>
  <c r="U90" i="29"/>
  <c r="S86" i="35"/>
  <c r="X86" i="35"/>
  <c r="V86" i="35"/>
  <c r="T86" i="35"/>
  <c r="U86" i="35"/>
  <c r="W86" i="35"/>
  <c r="R86" i="35"/>
  <c r="W86" i="33"/>
  <c r="W85" i="37"/>
  <c r="S85" i="37"/>
  <c r="V85" i="37"/>
  <c r="U85" i="37"/>
  <c r="X85" i="37"/>
  <c r="T85" i="37"/>
  <c r="R85" i="37"/>
  <c r="W89" i="31"/>
  <c r="R89" i="29"/>
  <c r="W89" i="29"/>
  <c r="U89" i="29"/>
  <c r="S89" i="29"/>
  <c r="T89" i="29"/>
  <c r="V89" i="29"/>
  <c r="X89" i="29"/>
  <c r="T86" i="37"/>
  <c r="V86" i="37"/>
  <c r="T87" i="33"/>
  <c r="V87" i="33"/>
  <c r="W87" i="33"/>
  <c r="U87" i="33"/>
  <c r="S87" i="33"/>
  <c r="X87" i="33"/>
  <c r="R87" i="33"/>
  <c r="V85" i="19"/>
  <c r="T85" i="19"/>
  <c r="S88" i="29"/>
  <c r="U88" i="29"/>
  <c r="W87" i="35"/>
  <c r="X85" i="35"/>
  <c r="X91" i="31"/>
  <c r="W84" i="19"/>
  <c r="V84" i="19"/>
  <c r="W90" i="31"/>
  <c r="T90" i="31"/>
  <c r="S90" i="31"/>
  <c r="X90" i="31"/>
  <c r="V90" i="31"/>
  <c r="U90" i="31"/>
  <c r="R90" i="31"/>
  <c r="R84" i="37"/>
  <c r="X84" i="37"/>
  <c r="U88" i="33"/>
  <c r="T88" i="33"/>
  <c r="L50" i="40"/>
  <c r="M50" i="40"/>
  <c r="L49" i="40"/>
  <c r="M49" i="40"/>
  <c r="L48" i="40"/>
  <c r="M48" i="40"/>
  <c r="L47" i="40"/>
  <c r="M47" i="40"/>
  <c r="L46" i="40"/>
  <c r="M46" i="40"/>
  <c r="L45" i="40"/>
  <c r="M45" i="40"/>
  <c r="L44" i="40"/>
  <c r="M44" i="40"/>
  <c r="L43" i="40"/>
  <c r="M43" i="40"/>
  <c r="L42" i="40"/>
  <c r="M42" i="40"/>
  <c r="L38" i="40"/>
  <c r="M38" i="40"/>
  <c r="L37" i="40"/>
  <c r="M37" i="40" s="1"/>
  <c r="L36" i="40"/>
  <c r="M36" i="40"/>
  <c r="L35" i="40"/>
  <c r="M35" i="40"/>
  <c r="L34" i="40"/>
  <c r="M34" i="40"/>
  <c r="L33" i="40"/>
  <c r="M33" i="40"/>
  <c r="L32" i="40"/>
  <c r="M32" i="40" s="1"/>
  <c r="L31" i="40"/>
  <c r="M31" i="40" s="1"/>
  <c r="L30" i="40"/>
  <c r="M30" i="40"/>
  <c r="L26" i="40"/>
  <c r="M26" i="40"/>
  <c r="L25" i="40"/>
  <c r="M25" i="40" s="1"/>
  <c r="L24" i="40"/>
  <c r="M24" i="40" s="1"/>
  <c r="L23" i="40"/>
  <c r="M23" i="40" s="1"/>
  <c r="L22" i="40"/>
  <c r="M22" i="40" s="1"/>
  <c r="L21" i="40"/>
  <c r="M21" i="40" s="1"/>
  <c r="L20" i="40"/>
  <c r="M20" i="40" s="1"/>
  <c r="L19" i="40"/>
  <c r="M19" i="40" s="1"/>
  <c r="L18" i="40"/>
  <c r="M18" i="40"/>
  <c r="L7" i="40"/>
  <c r="M7" i="40" s="1"/>
  <c r="L8" i="40"/>
  <c r="M8" i="40"/>
  <c r="L9" i="40"/>
  <c r="M9" i="40"/>
  <c r="L10" i="40"/>
  <c r="M10" i="40"/>
  <c r="L11" i="40"/>
  <c r="M11" i="40"/>
  <c r="L12" i="40"/>
  <c r="M12" i="40"/>
  <c r="L13" i="40"/>
  <c r="M13" i="40" s="1"/>
  <c r="L14" i="40"/>
  <c r="M14" i="40"/>
  <c r="L6" i="40"/>
  <c r="M6" i="40"/>
  <c r="E51" i="2"/>
  <c r="F58" i="29"/>
  <c r="F56" i="29"/>
  <c r="S9" i="2"/>
  <c r="K58" i="29"/>
  <c r="F60" i="31"/>
  <c r="K60" i="31"/>
  <c r="H25" i="1"/>
  <c r="H21" i="1"/>
  <c r="H11" i="1"/>
  <c r="F58" i="24"/>
  <c r="H126" i="1"/>
  <c r="C30" i="39"/>
  <c r="D31" i="39"/>
  <c r="D24" i="39"/>
  <c r="D29" i="39"/>
  <c r="D27" i="39"/>
  <c r="D25" i="39"/>
  <c r="D23" i="39"/>
  <c r="D21" i="39"/>
  <c r="D28" i="39"/>
  <c r="D26" i="39"/>
  <c r="D22" i="39"/>
  <c r="E46" i="21"/>
  <c r="D46" i="21"/>
  <c r="E45" i="21"/>
  <c r="D45" i="21"/>
  <c r="E44" i="21"/>
  <c r="D44" i="21"/>
  <c r="E43" i="21"/>
  <c r="D43" i="21"/>
  <c r="E38" i="21"/>
  <c r="D38" i="21"/>
  <c r="E37" i="21"/>
  <c r="D37" i="21"/>
  <c r="E36" i="21"/>
  <c r="D36" i="21"/>
  <c r="E35" i="21"/>
  <c r="D35" i="21"/>
  <c r="E34" i="21"/>
  <c r="D34" i="21"/>
  <c r="E33" i="21"/>
  <c r="D33" i="21"/>
  <c r="E32" i="21"/>
  <c r="D32" i="21"/>
  <c r="E30" i="21"/>
  <c r="D30" i="21"/>
  <c r="E29" i="21"/>
  <c r="D29" i="21"/>
  <c r="E28" i="21"/>
  <c r="D28" i="21"/>
  <c r="E27" i="21"/>
  <c r="D27" i="21"/>
  <c r="E26" i="21"/>
  <c r="D26" i="21"/>
  <c r="E25" i="21"/>
  <c r="D25" i="21"/>
  <c r="E24" i="21"/>
  <c r="D24" i="21"/>
  <c r="E23" i="21"/>
  <c r="D23" i="21"/>
  <c r="E22" i="21"/>
  <c r="D22" i="21"/>
  <c r="E21" i="21"/>
  <c r="D21" i="21"/>
  <c r="E20" i="21"/>
  <c r="D20" i="21"/>
  <c r="E18" i="21"/>
  <c r="E19" i="21" s="1"/>
  <c r="D18" i="21"/>
  <c r="E17" i="21"/>
  <c r="D17" i="21"/>
  <c r="E46" i="24"/>
  <c r="D46" i="24"/>
  <c r="E45" i="24"/>
  <c r="D45" i="24"/>
  <c r="E44" i="24"/>
  <c r="D44" i="24"/>
  <c r="E43" i="24"/>
  <c r="D43" i="24"/>
  <c r="E38" i="24"/>
  <c r="D38" i="24"/>
  <c r="E37" i="24"/>
  <c r="D37" i="24"/>
  <c r="E36" i="24"/>
  <c r="D36" i="24"/>
  <c r="E35" i="24"/>
  <c r="D35" i="24"/>
  <c r="E34" i="24"/>
  <c r="D34" i="24"/>
  <c r="E33" i="24"/>
  <c r="D33" i="24"/>
  <c r="E32" i="24"/>
  <c r="D32" i="24"/>
  <c r="E30" i="24"/>
  <c r="D30" i="24"/>
  <c r="E29" i="24"/>
  <c r="D29" i="24"/>
  <c r="E28" i="24"/>
  <c r="D28" i="24"/>
  <c r="E27" i="24"/>
  <c r="D27" i="24"/>
  <c r="E26" i="24"/>
  <c r="D26" i="24"/>
  <c r="E25" i="24"/>
  <c r="D25" i="24"/>
  <c r="E24" i="24"/>
  <c r="D24" i="24"/>
  <c r="E23" i="24"/>
  <c r="D23" i="24"/>
  <c r="E22" i="24"/>
  <c r="D22" i="24"/>
  <c r="E21" i="24"/>
  <c r="D21" i="24"/>
  <c r="E20" i="24"/>
  <c r="D20" i="24"/>
  <c r="E18" i="24"/>
  <c r="D18" i="24"/>
  <c r="E17" i="24"/>
  <c r="D17" i="24"/>
  <c r="E45" i="27"/>
  <c r="D45" i="27"/>
  <c r="E44" i="27"/>
  <c r="D44" i="27"/>
  <c r="E43" i="27"/>
  <c r="D43" i="27"/>
  <c r="E42" i="27"/>
  <c r="D42" i="27"/>
  <c r="E37" i="27"/>
  <c r="D37" i="27"/>
  <c r="E36" i="27"/>
  <c r="D36" i="27"/>
  <c r="E35" i="27"/>
  <c r="D35" i="27"/>
  <c r="E34" i="27"/>
  <c r="D34" i="27"/>
  <c r="E33" i="27"/>
  <c r="D33" i="27"/>
  <c r="E32" i="27"/>
  <c r="D32" i="27"/>
  <c r="E31" i="27"/>
  <c r="D31" i="27"/>
  <c r="E29" i="27"/>
  <c r="D29" i="27"/>
  <c r="E28" i="27"/>
  <c r="D28" i="27"/>
  <c r="E27" i="27"/>
  <c r="D27" i="27"/>
  <c r="E26" i="27"/>
  <c r="D26" i="27"/>
  <c r="E25" i="27"/>
  <c r="D25" i="27"/>
  <c r="E24" i="27"/>
  <c r="D24" i="27"/>
  <c r="E23" i="27"/>
  <c r="D23" i="27"/>
  <c r="E22" i="27"/>
  <c r="D22" i="27"/>
  <c r="E21" i="27"/>
  <c r="D21" i="27"/>
  <c r="E20" i="27"/>
  <c r="D20" i="27"/>
  <c r="E19" i="27"/>
  <c r="D19" i="27"/>
  <c r="E18" i="27"/>
  <c r="D18" i="27"/>
  <c r="E17" i="27"/>
  <c r="D17" i="27"/>
  <c r="E45" i="19"/>
  <c r="D45" i="19"/>
  <c r="E44" i="19"/>
  <c r="D44" i="19"/>
  <c r="E43" i="19"/>
  <c r="D43" i="19"/>
  <c r="E42" i="19"/>
  <c r="D42" i="19"/>
  <c r="E36" i="19"/>
  <c r="D36" i="19"/>
  <c r="E35" i="19"/>
  <c r="D35" i="19"/>
  <c r="E34" i="19"/>
  <c r="D34" i="19"/>
  <c r="E33" i="19"/>
  <c r="D33" i="19"/>
  <c r="E32" i="19"/>
  <c r="D32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45" i="29"/>
  <c r="D45" i="29"/>
  <c r="E44" i="29"/>
  <c r="D44" i="29"/>
  <c r="E43" i="29"/>
  <c r="D43" i="29"/>
  <c r="E42" i="29"/>
  <c r="D42" i="29"/>
  <c r="E37" i="29"/>
  <c r="D37" i="29"/>
  <c r="E36" i="29"/>
  <c r="D36" i="29"/>
  <c r="E35" i="29"/>
  <c r="D35" i="29"/>
  <c r="E34" i="29"/>
  <c r="D34" i="29"/>
  <c r="E33" i="29"/>
  <c r="D33" i="29"/>
  <c r="E32" i="29"/>
  <c r="D32" i="29"/>
  <c r="E31" i="29"/>
  <c r="D31" i="29"/>
  <c r="E29" i="29"/>
  <c r="D29" i="29"/>
  <c r="E28" i="29"/>
  <c r="D28" i="29"/>
  <c r="E27" i="29"/>
  <c r="D27" i="29"/>
  <c r="E26" i="29"/>
  <c r="D26" i="29"/>
  <c r="E25" i="29"/>
  <c r="D25" i="29"/>
  <c r="E24" i="29"/>
  <c r="D24" i="29"/>
  <c r="E23" i="29"/>
  <c r="D23" i="29"/>
  <c r="E22" i="29"/>
  <c r="D22" i="29"/>
  <c r="E21" i="29"/>
  <c r="D21" i="29"/>
  <c r="E20" i="29"/>
  <c r="D20" i="29"/>
  <c r="E19" i="29"/>
  <c r="D19" i="29"/>
  <c r="E18" i="29"/>
  <c r="D18" i="29"/>
  <c r="E17" i="29"/>
  <c r="D17" i="29"/>
  <c r="E37" i="31"/>
  <c r="D37" i="31"/>
  <c r="E36" i="31"/>
  <c r="D36" i="31"/>
  <c r="E35" i="31"/>
  <c r="D35" i="31"/>
  <c r="E34" i="31"/>
  <c r="D34" i="31"/>
  <c r="E33" i="31"/>
  <c r="D33" i="31"/>
  <c r="E32" i="31"/>
  <c r="D32" i="31"/>
  <c r="E31" i="31"/>
  <c r="D31" i="31"/>
  <c r="E29" i="31"/>
  <c r="D29" i="31"/>
  <c r="E28" i="31"/>
  <c r="D28" i="31"/>
  <c r="E27" i="31"/>
  <c r="D27" i="31"/>
  <c r="E26" i="31"/>
  <c r="D26" i="31"/>
  <c r="E25" i="31"/>
  <c r="D25" i="31"/>
  <c r="E24" i="31"/>
  <c r="D24" i="31"/>
  <c r="E23" i="31"/>
  <c r="D23" i="31"/>
  <c r="E22" i="31"/>
  <c r="D22" i="31"/>
  <c r="E21" i="31"/>
  <c r="D21" i="31"/>
  <c r="E20" i="31"/>
  <c r="D20" i="31"/>
  <c r="E19" i="31"/>
  <c r="D19" i="31"/>
  <c r="E18" i="31"/>
  <c r="D18" i="31"/>
  <c r="E17" i="31"/>
  <c r="D17" i="31"/>
  <c r="E46" i="33"/>
  <c r="D46" i="33"/>
  <c r="E45" i="33"/>
  <c r="D45" i="33"/>
  <c r="E44" i="33"/>
  <c r="D44" i="33"/>
  <c r="E43" i="33"/>
  <c r="D43" i="33"/>
  <c r="E38" i="33"/>
  <c r="D38" i="33"/>
  <c r="E37" i="33"/>
  <c r="D37" i="33"/>
  <c r="E36" i="33"/>
  <c r="D36" i="33"/>
  <c r="E35" i="33"/>
  <c r="D35" i="33"/>
  <c r="E34" i="33"/>
  <c r="D34" i="33"/>
  <c r="E33" i="33"/>
  <c r="D33" i="33"/>
  <c r="E32" i="33"/>
  <c r="D32" i="33"/>
  <c r="E30" i="33"/>
  <c r="D30" i="33"/>
  <c r="E29" i="33"/>
  <c r="D29" i="33"/>
  <c r="E28" i="33"/>
  <c r="D28" i="33"/>
  <c r="E27" i="33"/>
  <c r="D27" i="33"/>
  <c r="E26" i="33"/>
  <c r="D26" i="33"/>
  <c r="E25" i="33"/>
  <c r="D25" i="33"/>
  <c r="E24" i="33"/>
  <c r="D24" i="33"/>
  <c r="E23" i="33"/>
  <c r="D23" i="33"/>
  <c r="E22" i="33"/>
  <c r="D22" i="33"/>
  <c r="E21" i="33"/>
  <c r="D21" i="33"/>
  <c r="E20" i="33"/>
  <c r="D20" i="33"/>
  <c r="E18" i="33"/>
  <c r="D18" i="33"/>
  <c r="E17" i="33"/>
  <c r="D17" i="33"/>
  <c r="E46" i="35"/>
  <c r="D46" i="35"/>
  <c r="E45" i="35"/>
  <c r="D45" i="35"/>
  <c r="E44" i="35"/>
  <c r="D44" i="35"/>
  <c r="E43" i="35"/>
  <c r="D43" i="35"/>
  <c r="E38" i="35"/>
  <c r="D38" i="35"/>
  <c r="E37" i="35"/>
  <c r="D37" i="35"/>
  <c r="E36" i="35"/>
  <c r="D36" i="35"/>
  <c r="E35" i="35"/>
  <c r="D35" i="35"/>
  <c r="E34" i="35"/>
  <c r="D34" i="35"/>
  <c r="E33" i="35"/>
  <c r="D33" i="35"/>
  <c r="E32" i="35"/>
  <c r="D32" i="35"/>
  <c r="E30" i="35"/>
  <c r="D30" i="35"/>
  <c r="E22" i="35"/>
  <c r="D22" i="35"/>
  <c r="E29" i="35"/>
  <c r="D29" i="35"/>
  <c r="E28" i="35"/>
  <c r="D28" i="35"/>
  <c r="E27" i="35"/>
  <c r="D27" i="35"/>
  <c r="E25" i="35"/>
  <c r="D25" i="35"/>
  <c r="E24" i="35"/>
  <c r="D24" i="35"/>
  <c r="E23" i="35"/>
  <c r="D23" i="35"/>
  <c r="E20" i="35"/>
  <c r="D20" i="35"/>
  <c r="E19" i="35"/>
  <c r="D19" i="35"/>
  <c r="E18" i="35"/>
  <c r="D18" i="35"/>
  <c r="E17" i="35"/>
  <c r="D17" i="35"/>
  <c r="E44" i="37"/>
  <c r="D44" i="37"/>
  <c r="E43" i="37"/>
  <c r="D43" i="37"/>
  <c r="E42" i="37"/>
  <c r="D42" i="37"/>
  <c r="E41" i="37"/>
  <c r="D41" i="37"/>
  <c r="E36" i="37"/>
  <c r="D36" i="37"/>
  <c r="E35" i="37"/>
  <c r="D35" i="37"/>
  <c r="E34" i="37"/>
  <c r="D34" i="37"/>
  <c r="E33" i="37"/>
  <c r="D33" i="37"/>
  <c r="E32" i="37"/>
  <c r="D32" i="37"/>
  <c r="E31" i="37"/>
  <c r="D31" i="37"/>
  <c r="E30" i="37"/>
  <c r="D30" i="37"/>
  <c r="E29" i="37"/>
  <c r="D29" i="37"/>
  <c r="E28" i="37"/>
  <c r="D28" i="37"/>
  <c r="E27" i="37"/>
  <c r="D27" i="37"/>
  <c r="E26" i="37"/>
  <c r="D26" i="37"/>
  <c r="E25" i="37"/>
  <c r="D25" i="37"/>
  <c r="E24" i="37"/>
  <c r="D24" i="37"/>
  <c r="E23" i="37"/>
  <c r="D23" i="37"/>
  <c r="E22" i="37"/>
  <c r="D22" i="37"/>
  <c r="E20" i="37"/>
  <c r="D20" i="37"/>
  <c r="E19" i="37"/>
  <c r="D19" i="37"/>
  <c r="E18" i="37"/>
  <c r="D18" i="37"/>
  <c r="E17" i="37"/>
  <c r="D17" i="37"/>
  <c r="O53" i="24"/>
  <c r="N46" i="24"/>
  <c r="N45" i="24"/>
  <c r="O36" i="24"/>
  <c r="N35" i="24"/>
  <c r="O33" i="24"/>
  <c r="O30" i="24"/>
  <c r="N30" i="24"/>
  <c r="O26" i="24"/>
  <c r="N25" i="24"/>
  <c r="N22" i="24"/>
  <c r="E45" i="31"/>
  <c r="E44" i="31"/>
  <c r="E43" i="31"/>
  <c r="D45" i="31"/>
  <c r="D44" i="31"/>
  <c r="D43" i="31"/>
  <c r="H69" i="21"/>
  <c r="H64" i="21"/>
  <c r="H63" i="21"/>
  <c r="H72" i="24"/>
  <c r="H67" i="24"/>
  <c r="H66" i="24"/>
  <c r="H70" i="27"/>
  <c r="T70" i="27" s="1"/>
  <c r="H65" i="27"/>
  <c r="H64" i="27"/>
  <c r="H69" i="19"/>
  <c r="X69" i="19" s="1"/>
  <c r="H64" i="19"/>
  <c r="H63" i="19"/>
  <c r="H72" i="29"/>
  <c r="S72" i="29" s="1"/>
  <c r="H67" i="29"/>
  <c r="H66" i="29"/>
  <c r="H74" i="31"/>
  <c r="S74" i="31" s="1"/>
  <c r="H69" i="31"/>
  <c r="H68" i="31"/>
  <c r="H71" i="33"/>
  <c r="S71" i="33" s="1"/>
  <c r="H66" i="33"/>
  <c r="H65" i="33"/>
  <c r="H70" i="35"/>
  <c r="T70" i="35" s="1"/>
  <c r="H65" i="35"/>
  <c r="H64" i="35"/>
  <c r="H69" i="37"/>
  <c r="W69" i="37" s="1"/>
  <c r="H64" i="37"/>
  <c r="H63" i="37"/>
  <c r="H81" i="21"/>
  <c r="H80" i="21"/>
  <c r="H79" i="21"/>
  <c r="X79" i="21" s="1"/>
  <c r="H78" i="21"/>
  <c r="X78" i="21" s="1"/>
  <c r="O16" i="39"/>
  <c r="X81" i="37"/>
  <c r="S81" i="37"/>
  <c r="U81" i="37"/>
  <c r="V81" i="37"/>
  <c r="U78" i="37"/>
  <c r="X78" i="37"/>
  <c r="W78" i="37"/>
  <c r="V78" i="37"/>
  <c r="R78" i="37"/>
  <c r="T78" i="37"/>
  <c r="Y78" i="37" s="1"/>
  <c r="S78" i="37"/>
  <c r="V79" i="37"/>
  <c r="X79" i="37"/>
  <c r="S79" i="37"/>
  <c r="T79" i="37"/>
  <c r="W80" i="37"/>
  <c r="S80" i="37"/>
  <c r="R80" i="37"/>
  <c r="X80" i="37"/>
  <c r="T80" i="37"/>
  <c r="V80" i="37"/>
  <c r="U80" i="37"/>
  <c r="V69" i="37"/>
  <c r="X82" i="24"/>
  <c r="T82" i="24"/>
  <c r="V82" i="24"/>
  <c r="U82" i="24"/>
  <c r="S82" i="24"/>
  <c r="Y82" i="24" s="1"/>
  <c r="R82" i="24"/>
  <c r="W82" i="24"/>
  <c r="W80" i="27"/>
  <c r="S80" i="27"/>
  <c r="T80" i="27"/>
  <c r="X80" i="27"/>
  <c r="R80" i="27"/>
  <c r="V80" i="27"/>
  <c r="U80" i="27"/>
  <c r="R79" i="19"/>
  <c r="W79" i="19"/>
  <c r="S79" i="19"/>
  <c r="X83" i="29"/>
  <c r="S83" i="29"/>
  <c r="R83" i="29"/>
  <c r="S84" i="31"/>
  <c r="R84" i="31"/>
  <c r="X84" i="31"/>
  <c r="R81" i="33"/>
  <c r="T81" i="33"/>
  <c r="X81" i="33"/>
  <c r="W80" i="35"/>
  <c r="V80" i="35"/>
  <c r="U80" i="35"/>
  <c r="X80" i="35"/>
  <c r="S83" i="24"/>
  <c r="X81" i="27"/>
  <c r="W81" i="27"/>
  <c r="V81" i="27"/>
  <c r="U81" i="27"/>
  <c r="V80" i="19"/>
  <c r="T80" i="19"/>
  <c r="U84" i="29"/>
  <c r="X84" i="29"/>
  <c r="T84" i="29"/>
  <c r="S84" i="29"/>
  <c r="R84" i="29"/>
  <c r="W84" i="29"/>
  <c r="V84" i="29"/>
  <c r="X85" i="31"/>
  <c r="T85" i="31"/>
  <c r="W85" i="31"/>
  <c r="S85" i="31"/>
  <c r="U85" i="31"/>
  <c r="Y85" i="31" s="1"/>
  <c r="R85" i="31"/>
  <c r="V85" i="31"/>
  <c r="W82" i="33"/>
  <c r="S82" i="33"/>
  <c r="V82" i="33"/>
  <c r="R82" i="33"/>
  <c r="U82" i="33"/>
  <c r="Y82" i="33" s="1"/>
  <c r="T82" i="33"/>
  <c r="X82" i="33"/>
  <c r="X81" i="35"/>
  <c r="T81" i="35"/>
  <c r="W81" i="35"/>
  <c r="S81" i="35"/>
  <c r="Y81" i="35" s="1"/>
  <c r="V81" i="35"/>
  <c r="U81" i="35"/>
  <c r="R81" i="35"/>
  <c r="V84" i="24"/>
  <c r="R84" i="24"/>
  <c r="X84" i="24"/>
  <c r="S84" i="24"/>
  <c r="W84" i="24"/>
  <c r="U84" i="24"/>
  <c r="T84" i="24"/>
  <c r="Y84" i="24" s="1"/>
  <c r="U82" i="27"/>
  <c r="V82" i="27"/>
  <c r="T82" i="27"/>
  <c r="X82" i="27"/>
  <c r="S82" i="27"/>
  <c r="Y82" i="27" s="1"/>
  <c r="W82" i="27"/>
  <c r="R82" i="27"/>
  <c r="T81" i="19"/>
  <c r="S81" i="19"/>
  <c r="V85" i="29"/>
  <c r="R85" i="29"/>
  <c r="Y85" i="29" s="1"/>
  <c r="U85" i="29"/>
  <c r="T85" i="29"/>
  <c r="S85" i="29"/>
  <c r="X85" i="29"/>
  <c r="W85" i="29"/>
  <c r="U86" i="31"/>
  <c r="T86" i="31"/>
  <c r="S86" i="31"/>
  <c r="W86" i="31"/>
  <c r="T83" i="33"/>
  <c r="S83" i="33"/>
  <c r="U83" i="33"/>
  <c r="U82" i="35"/>
  <c r="T82" i="35"/>
  <c r="V82" i="35"/>
  <c r="R82" i="35"/>
  <c r="S81" i="24"/>
  <c r="U81" i="24"/>
  <c r="V79" i="27"/>
  <c r="U79" i="27"/>
  <c r="W79" i="27"/>
  <c r="X79" i="27"/>
  <c r="U78" i="19"/>
  <c r="W78" i="19"/>
  <c r="R78" i="19"/>
  <c r="V78" i="19"/>
  <c r="T78" i="19"/>
  <c r="Y78" i="19" s="1"/>
  <c r="S78" i="19"/>
  <c r="X78" i="19"/>
  <c r="S82" i="29"/>
  <c r="U82" i="29"/>
  <c r="V83" i="31"/>
  <c r="R83" i="31"/>
  <c r="U83" i="31"/>
  <c r="S83" i="31"/>
  <c r="X83" i="31"/>
  <c r="W83" i="31"/>
  <c r="T83" i="31"/>
  <c r="Y83" i="31" s="1"/>
  <c r="U80" i="33"/>
  <c r="X80" i="33"/>
  <c r="T80" i="33"/>
  <c r="S80" i="33"/>
  <c r="R80" i="33"/>
  <c r="W80" i="33"/>
  <c r="V80" i="33"/>
  <c r="V79" i="35"/>
  <c r="R79" i="35"/>
  <c r="U79" i="35"/>
  <c r="T79" i="35"/>
  <c r="S79" i="35"/>
  <c r="Y79" i="35" s="1"/>
  <c r="X79" i="35"/>
  <c r="W79" i="35"/>
  <c r="X72" i="29"/>
  <c r="X74" i="31"/>
  <c r="U72" i="24"/>
  <c r="T72" i="24"/>
  <c r="X71" i="33"/>
  <c r="R71" i="33"/>
  <c r="W70" i="27"/>
  <c r="X70" i="27"/>
  <c r="S70" i="27"/>
  <c r="W70" i="35"/>
  <c r="V70" i="35"/>
  <c r="T69" i="19"/>
  <c r="V80" i="21"/>
  <c r="R80" i="21"/>
  <c r="X80" i="21"/>
  <c r="W80" i="21"/>
  <c r="U80" i="21"/>
  <c r="Y80" i="21" s="1"/>
  <c r="T80" i="21"/>
  <c r="S80" i="21"/>
  <c r="W81" i="21"/>
  <c r="S81" i="21"/>
  <c r="X81" i="21"/>
  <c r="V81" i="21"/>
  <c r="R81" i="21"/>
  <c r="U81" i="21"/>
  <c r="T81" i="21"/>
  <c r="S79" i="21"/>
  <c r="R78" i="21"/>
  <c r="T69" i="21"/>
  <c r="W69" i="21"/>
  <c r="R69" i="21"/>
  <c r="U69" i="21"/>
  <c r="F43" i="31"/>
  <c r="F44" i="31"/>
  <c r="F45" i="31"/>
  <c r="M15" i="39"/>
  <c r="H66" i="37"/>
  <c r="M14" i="39"/>
  <c r="H67" i="35"/>
  <c r="X67" i="35" s="1"/>
  <c r="M13" i="39"/>
  <c r="H68" i="33"/>
  <c r="R68" i="33" s="1"/>
  <c r="M12" i="39"/>
  <c r="H71" i="31"/>
  <c r="X71" i="31" s="1"/>
  <c r="M11" i="39"/>
  <c r="H69" i="29"/>
  <c r="U69" i="29" s="1"/>
  <c r="M10" i="39"/>
  <c r="H66" i="19"/>
  <c r="X66" i="19" s="1"/>
  <c r="M9" i="39"/>
  <c r="H67" i="27"/>
  <c r="W67" i="27" s="1"/>
  <c r="M8" i="39"/>
  <c r="H69" i="24"/>
  <c r="U69" i="24" s="1"/>
  <c r="M7" i="39"/>
  <c r="H66" i="21"/>
  <c r="T66" i="21" s="1"/>
  <c r="J15" i="39"/>
  <c r="H65" i="37"/>
  <c r="J14" i="39"/>
  <c r="H66" i="35"/>
  <c r="J13" i="39"/>
  <c r="H67" i="33"/>
  <c r="J12" i="39"/>
  <c r="H70" i="31"/>
  <c r="J11" i="39"/>
  <c r="H68" i="29"/>
  <c r="J10" i="39"/>
  <c r="H65" i="19"/>
  <c r="J9" i="39"/>
  <c r="H66" i="27"/>
  <c r="J8" i="39"/>
  <c r="H68" i="24"/>
  <c r="J7" i="39"/>
  <c r="H65" i="21"/>
  <c r="E15" i="39"/>
  <c r="E14" i="39"/>
  <c r="E13" i="39"/>
  <c r="E12" i="39"/>
  <c r="E11" i="39"/>
  <c r="E10" i="39"/>
  <c r="E9" i="39"/>
  <c r="E8" i="39"/>
  <c r="E7" i="39"/>
  <c r="I16" i="39"/>
  <c r="L16" i="39"/>
  <c r="K16" i="39"/>
  <c r="H16" i="39"/>
  <c r="G16" i="39"/>
  <c r="F16" i="39"/>
  <c r="N16" i="39"/>
  <c r="D16" i="39"/>
  <c r="C16" i="39"/>
  <c r="Y80" i="37"/>
  <c r="Y80" i="33"/>
  <c r="Y80" i="27"/>
  <c r="Y84" i="29"/>
  <c r="T71" i="31"/>
  <c r="S71" i="31"/>
  <c r="W71" i="31"/>
  <c r="R67" i="27"/>
  <c r="X69" i="24"/>
  <c r="T69" i="24"/>
  <c r="W69" i="24"/>
  <c r="U67" i="35"/>
  <c r="S67" i="35"/>
  <c r="T67" i="35"/>
  <c r="R67" i="35"/>
  <c r="H62" i="19"/>
  <c r="S62" i="19" s="1"/>
  <c r="H68" i="19"/>
  <c r="H67" i="19"/>
  <c r="T67" i="19" s="1"/>
  <c r="H63" i="35"/>
  <c r="M63" i="35" s="1"/>
  <c r="H69" i="35"/>
  <c r="M69" i="35" s="1"/>
  <c r="H68" i="35"/>
  <c r="U68" i="35" s="1"/>
  <c r="H62" i="21"/>
  <c r="W62" i="21" s="1"/>
  <c r="H68" i="21"/>
  <c r="H67" i="21"/>
  <c r="X67" i="21" s="1"/>
  <c r="H65" i="29"/>
  <c r="R65" i="29" s="1"/>
  <c r="H71" i="29"/>
  <c r="M71" i="29" s="1"/>
  <c r="H70" i="29"/>
  <c r="X70" i="29" s="1"/>
  <c r="H62" i="37"/>
  <c r="W62" i="37" s="1"/>
  <c r="H68" i="37"/>
  <c r="H67" i="37"/>
  <c r="U67" i="37" s="1"/>
  <c r="H65" i="24"/>
  <c r="W65" i="24" s="1"/>
  <c r="H71" i="24"/>
  <c r="M71" i="24" s="1"/>
  <c r="H70" i="24"/>
  <c r="V70" i="24" s="1"/>
  <c r="H67" i="31"/>
  <c r="U67" i="31" s="1"/>
  <c r="H73" i="31"/>
  <c r="H72" i="31"/>
  <c r="X72" i="31" s="1"/>
  <c r="H63" i="27"/>
  <c r="S63" i="27" s="1"/>
  <c r="H69" i="27"/>
  <c r="M69" i="27" s="1"/>
  <c r="H68" i="27"/>
  <c r="W68" i="27" s="1"/>
  <c r="H64" i="33"/>
  <c r="S64" i="33" s="1"/>
  <c r="H70" i="33"/>
  <c r="M70" i="33" s="1"/>
  <c r="H69" i="33"/>
  <c r="U69" i="33" s="1"/>
  <c r="J16" i="39"/>
  <c r="M16" i="39"/>
  <c r="E16" i="39"/>
  <c r="W67" i="37"/>
  <c r="R62" i="37"/>
  <c r="V63" i="27"/>
  <c r="U70" i="24"/>
  <c r="T65" i="29"/>
  <c r="V65" i="29"/>
  <c r="S65" i="29"/>
  <c r="W68" i="35"/>
  <c r="S68" i="35"/>
  <c r="R64" i="33"/>
  <c r="U64" i="33"/>
  <c r="X64" i="33"/>
  <c r="W64" i="33"/>
  <c r="T72" i="31"/>
  <c r="W62" i="19"/>
  <c r="R62" i="19"/>
  <c r="S69" i="33"/>
  <c r="X68" i="27"/>
  <c r="S68" i="27"/>
  <c r="V68" i="27"/>
  <c r="R68" i="27"/>
  <c r="T65" i="24"/>
  <c r="R65" i="24"/>
  <c r="U65" i="24"/>
  <c r="U70" i="29"/>
  <c r="W70" i="29"/>
  <c r="V63" i="35"/>
  <c r="R63" i="35"/>
  <c r="S67" i="21"/>
  <c r="V67" i="21"/>
  <c r="R67" i="21"/>
  <c r="T67" i="21"/>
  <c r="C57" i="39"/>
  <c r="F44" i="39"/>
  <c r="E44" i="39"/>
  <c r="C44" i="39"/>
  <c r="D44" i="39"/>
  <c r="H74" i="33"/>
  <c r="W74" i="33" s="1"/>
  <c r="H77" i="31"/>
  <c r="S77" i="31" s="1"/>
  <c r="H75" i="24"/>
  <c r="X75" i="24" s="1"/>
  <c r="H72" i="37"/>
  <c r="T72" i="37" s="1"/>
  <c r="H72" i="21"/>
  <c r="X72" i="21" s="1"/>
  <c r="H73" i="35"/>
  <c r="H75" i="29"/>
  <c r="H73" i="27"/>
  <c r="H72" i="19"/>
  <c r="X72" i="19" s="1"/>
  <c r="V72" i="37"/>
  <c r="X72" i="37"/>
  <c r="W72" i="37"/>
  <c r="U72" i="37"/>
  <c r="X75" i="29"/>
  <c r="T75" i="29"/>
  <c r="W75" i="29"/>
  <c r="S75" i="29"/>
  <c r="V75" i="29"/>
  <c r="R75" i="29"/>
  <c r="Y75" i="29" s="1"/>
  <c r="U75" i="29"/>
  <c r="S74" i="33"/>
  <c r="X74" i="33"/>
  <c r="U73" i="27"/>
  <c r="X73" i="27"/>
  <c r="T73" i="27"/>
  <c r="W73" i="27"/>
  <c r="S73" i="27"/>
  <c r="Y73" i="27" s="1"/>
  <c r="V73" i="27"/>
  <c r="R73" i="27"/>
  <c r="W77" i="31"/>
  <c r="V77" i="31"/>
  <c r="U77" i="31"/>
  <c r="T77" i="31"/>
  <c r="U72" i="19"/>
  <c r="S72" i="19"/>
  <c r="X73" i="35"/>
  <c r="T73" i="35"/>
  <c r="W73" i="35"/>
  <c r="S73" i="35"/>
  <c r="V73" i="35"/>
  <c r="R73" i="35"/>
  <c r="U73" i="35"/>
  <c r="Y73" i="35" s="1"/>
  <c r="T75" i="24"/>
  <c r="U72" i="21"/>
  <c r="S72" i="21"/>
  <c r="F111" i="37"/>
  <c r="F110" i="37"/>
  <c r="F109" i="37"/>
  <c r="F108" i="37"/>
  <c r="F107" i="37"/>
  <c r="F112" i="35"/>
  <c r="F111" i="35"/>
  <c r="F110" i="35"/>
  <c r="F109" i="35"/>
  <c r="F108" i="35"/>
  <c r="F113" i="33"/>
  <c r="F112" i="33"/>
  <c r="F111" i="33"/>
  <c r="F110" i="33"/>
  <c r="F109" i="33"/>
  <c r="F116" i="31"/>
  <c r="F115" i="31"/>
  <c r="F114" i="31"/>
  <c r="F113" i="31"/>
  <c r="F112" i="31"/>
  <c r="F115" i="29"/>
  <c r="F114" i="29"/>
  <c r="F113" i="29"/>
  <c r="F112" i="29"/>
  <c r="F111" i="29"/>
  <c r="F111" i="19"/>
  <c r="F110" i="19"/>
  <c r="F109" i="19"/>
  <c r="F108" i="19"/>
  <c r="F107" i="19"/>
  <c r="F112" i="27"/>
  <c r="F111" i="27"/>
  <c r="F110" i="27"/>
  <c r="F109" i="27"/>
  <c r="F108" i="27"/>
  <c r="F114" i="24"/>
  <c r="F113" i="24"/>
  <c r="F112" i="24"/>
  <c r="F111" i="24"/>
  <c r="F110" i="24"/>
  <c r="F111" i="21"/>
  <c r="F110" i="21"/>
  <c r="F109" i="21"/>
  <c r="F108" i="21"/>
  <c r="F107" i="21"/>
  <c r="F114" i="21"/>
  <c r="F115" i="21"/>
  <c r="H36" i="1"/>
  <c r="H33" i="1"/>
  <c r="H30" i="1"/>
  <c r="H27" i="1"/>
  <c r="H23" i="1"/>
  <c r="H16" i="1"/>
  <c r="H13" i="1"/>
  <c r="H9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F115" i="37"/>
  <c r="F114" i="37"/>
  <c r="F105" i="37"/>
  <c r="F104" i="37"/>
  <c r="F103" i="37"/>
  <c r="F102" i="37"/>
  <c r="F101" i="37"/>
  <c r="F99" i="37"/>
  <c r="F98" i="37"/>
  <c r="F97" i="37"/>
  <c r="F96" i="37"/>
  <c r="F95" i="37"/>
  <c r="F55" i="37"/>
  <c r="F54" i="37"/>
  <c r="F53" i="37"/>
  <c r="F51" i="37"/>
  <c r="F49" i="37"/>
  <c r="F48" i="37"/>
  <c r="F47" i="37"/>
  <c r="F46" i="37"/>
  <c r="F45" i="37"/>
  <c r="F39" i="37"/>
  <c r="F38" i="37"/>
  <c r="F37" i="37"/>
  <c r="F116" i="35"/>
  <c r="F115" i="35"/>
  <c r="F106" i="35"/>
  <c r="F105" i="35"/>
  <c r="F104" i="35"/>
  <c r="F103" i="35"/>
  <c r="F102" i="35"/>
  <c r="F100" i="35"/>
  <c r="F99" i="35"/>
  <c r="F98" i="35"/>
  <c r="F97" i="35"/>
  <c r="F96" i="35"/>
  <c r="F56" i="35"/>
  <c r="F55" i="35"/>
  <c r="F54" i="35"/>
  <c r="F52" i="35"/>
  <c r="F50" i="35"/>
  <c r="F49" i="35"/>
  <c r="F48" i="35"/>
  <c r="F40" i="35"/>
  <c r="F39" i="35"/>
  <c r="F117" i="33"/>
  <c r="F116" i="33"/>
  <c r="F107" i="33"/>
  <c r="M30" i="1"/>
  <c r="AO30" i="1" s="1"/>
  <c r="F106" i="33"/>
  <c r="F105" i="33"/>
  <c r="F104" i="33"/>
  <c r="F103" i="33"/>
  <c r="F101" i="33"/>
  <c r="F100" i="33"/>
  <c r="F99" i="33"/>
  <c r="F98" i="33"/>
  <c r="F97" i="33"/>
  <c r="F57" i="33"/>
  <c r="F56" i="33"/>
  <c r="F55" i="33"/>
  <c r="F53" i="33"/>
  <c r="F51" i="33"/>
  <c r="F50" i="33"/>
  <c r="F49" i="33"/>
  <c r="F48" i="33"/>
  <c r="F40" i="33"/>
  <c r="F39" i="33"/>
  <c r="F19" i="33"/>
  <c r="F120" i="31"/>
  <c r="F119" i="31"/>
  <c r="F110" i="31"/>
  <c r="F109" i="31"/>
  <c r="F108" i="31"/>
  <c r="F107" i="31"/>
  <c r="F106" i="31"/>
  <c r="F104" i="31"/>
  <c r="F103" i="31"/>
  <c r="F102" i="31"/>
  <c r="F101" i="31"/>
  <c r="F100" i="31"/>
  <c r="F58" i="31"/>
  <c r="F57" i="31"/>
  <c r="F56" i="31"/>
  <c r="F54" i="31"/>
  <c r="F52" i="31"/>
  <c r="F51" i="31"/>
  <c r="F50" i="31"/>
  <c r="F48" i="31"/>
  <c r="F47" i="31"/>
  <c r="F39" i="31"/>
  <c r="F38" i="31"/>
  <c r="F119" i="29"/>
  <c r="I48" i="1" s="1"/>
  <c r="Q48" i="1" s="1"/>
  <c r="F118" i="29"/>
  <c r="F109" i="29"/>
  <c r="F108" i="29"/>
  <c r="F107" i="29"/>
  <c r="F106" i="29"/>
  <c r="F105" i="29"/>
  <c r="F103" i="29"/>
  <c r="F102" i="29"/>
  <c r="F101" i="29"/>
  <c r="F100" i="29"/>
  <c r="F99" i="29"/>
  <c r="F55" i="29"/>
  <c r="F54" i="29"/>
  <c r="F52" i="29"/>
  <c r="F50" i="29"/>
  <c r="F49" i="29"/>
  <c r="F48" i="29"/>
  <c r="F39" i="29"/>
  <c r="F38" i="29"/>
  <c r="F115" i="19"/>
  <c r="F114" i="19"/>
  <c r="F105" i="19"/>
  <c r="F104" i="19"/>
  <c r="F103" i="19"/>
  <c r="F102" i="19"/>
  <c r="F101" i="19"/>
  <c r="F99" i="19"/>
  <c r="F98" i="19"/>
  <c r="F97" i="19"/>
  <c r="F96" i="19"/>
  <c r="F95" i="19"/>
  <c r="F55" i="19"/>
  <c r="F54" i="19"/>
  <c r="F53" i="19"/>
  <c r="F51" i="19"/>
  <c r="F49" i="19"/>
  <c r="F48" i="19"/>
  <c r="F39" i="19"/>
  <c r="F38" i="19"/>
  <c r="F116" i="27"/>
  <c r="F115" i="27"/>
  <c r="F106" i="27"/>
  <c r="F105" i="27"/>
  <c r="F104" i="27"/>
  <c r="F103" i="27"/>
  <c r="F102" i="27"/>
  <c r="F100" i="27"/>
  <c r="F99" i="27"/>
  <c r="F98" i="27"/>
  <c r="F97" i="27"/>
  <c r="F96" i="27"/>
  <c r="F56" i="27"/>
  <c r="F55" i="27"/>
  <c r="F54" i="27"/>
  <c r="F52" i="27"/>
  <c r="F50" i="27"/>
  <c r="F49" i="27"/>
  <c r="F48" i="27"/>
  <c r="F39" i="27"/>
  <c r="F38" i="27"/>
  <c r="F118" i="24"/>
  <c r="I42" i="1" s="1"/>
  <c r="F117" i="24"/>
  <c r="F108" i="24"/>
  <c r="F107" i="24"/>
  <c r="F106" i="24"/>
  <c r="F105" i="24"/>
  <c r="F104" i="24"/>
  <c r="F102" i="24"/>
  <c r="F101" i="24"/>
  <c r="F100" i="24"/>
  <c r="F99" i="24"/>
  <c r="F98" i="24"/>
  <c r="F56" i="24"/>
  <c r="F55" i="24"/>
  <c r="F54" i="24"/>
  <c r="F52" i="24"/>
  <c r="F50" i="24"/>
  <c r="F49" i="24"/>
  <c r="F48" i="24"/>
  <c r="F40" i="24"/>
  <c r="F39" i="24"/>
  <c r="F39" i="21"/>
  <c r="F40" i="21"/>
  <c r="F48" i="21"/>
  <c r="F49" i="21"/>
  <c r="F51" i="21"/>
  <c r="F53" i="21"/>
  <c r="F54" i="21"/>
  <c r="F55" i="21"/>
  <c r="F95" i="21"/>
  <c r="F96" i="21"/>
  <c r="F97" i="21"/>
  <c r="F98" i="21"/>
  <c r="F99" i="21"/>
  <c r="F101" i="21"/>
  <c r="F102" i="21"/>
  <c r="F103" i="21"/>
  <c r="F104" i="21"/>
  <c r="F105" i="21"/>
  <c r="K20" i="37"/>
  <c r="I30" i="1"/>
  <c r="N30" i="1" s="1"/>
  <c r="G29" i="37"/>
  <c r="K29" i="37" s="1"/>
  <c r="AX40" i="1"/>
  <c r="BB40" i="1"/>
  <c r="E83" i="37"/>
  <c r="E81" i="37"/>
  <c r="E80" i="37"/>
  <c r="E79" i="37"/>
  <c r="E78" i="37"/>
  <c r="E72" i="37"/>
  <c r="D83" i="37"/>
  <c r="D81" i="37"/>
  <c r="D80" i="37"/>
  <c r="D79" i="37"/>
  <c r="D78" i="37"/>
  <c r="D72" i="37"/>
  <c r="E69" i="37"/>
  <c r="D69" i="37"/>
  <c r="E68" i="37"/>
  <c r="D68" i="37"/>
  <c r="E67" i="37"/>
  <c r="D67" i="37"/>
  <c r="E66" i="37"/>
  <c r="D66" i="37"/>
  <c r="E65" i="37"/>
  <c r="D65" i="37"/>
  <c r="E64" i="37"/>
  <c r="D64" i="37"/>
  <c r="E63" i="37"/>
  <c r="D63" i="37"/>
  <c r="E62" i="37"/>
  <c r="D62" i="37"/>
  <c r="F62" i="37" s="1"/>
  <c r="E52" i="37"/>
  <c r="D52" i="37"/>
  <c r="E21" i="37"/>
  <c r="D21" i="37"/>
  <c r="E84" i="35"/>
  <c r="D84" i="35"/>
  <c r="E82" i="35"/>
  <c r="D82" i="35"/>
  <c r="E81" i="35"/>
  <c r="D81" i="35"/>
  <c r="E80" i="35"/>
  <c r="D80" i="35"/>
  <c r="E79" i="35"/>
  <c r="D79" i="35"/>
  <c r="E73" i="35"/>
  <c r="D73" i="35"/>
  <c r="E70" i="35"/>
  <c r="D70" i="35"/>
  <c r="E69" i="35"/>
  <c r="D69" i="35"/>
  <c r="E68" i="35"/>
  <c r="D68" i="35"/>
  <c r="E67" i="35"/>
  <c r="D67" i="35"/>
  <c r="E66" i="35"/>
  <c r="D66" i="35"/>
  <c r="E65" i="35"/>
  <c r="D65" i="35"/>
  <c r="E64" i="35"/>
  <c r="D64" i="35"/>
  <c r="E63" i="35"/>
  <c r="D63" i="35"/>
  <c r="F63" i="35" s="1"/>
  <c r="E53" i="35"/>
  <c r="D53" i="35"/>
  <c r="E21" i="35"/>
  <c r="D21" i="35"/>
  <c r="E85" i="33"/>
  <c r="E83" i="33"/>
  <c r="E82" i="33"/>
  <c r="E81" i="33"/>
  <c r="E80" i="33"/>
  <c r="E74" i="33"/>
  <c r="D85" i="33"/>
  <c r="D83" i="33"/>
  <c r="D82" i="33"/>
  <c r="D81" i="33"/>
  <c r="D80" i="33"/>
  <c r="D74" i="33"/>
  <c r="E71" i="33"/>
  <c r="D71" i="33"/>
  <c r="E70" i="33"/>
  <c r="D70" i="33"/>
  <c r="E69" i="33"/>
  <c r="D69" i="33"/>
  <c r="E68" i="33"/>
  <c r="D68" i="33"/>
  <c r="E67" i="33"/>
  <c r="D67" i="33"/>
  <c r="E66" i="33"/>
  <c r="D66" i="33"/>
  <c r="E65" i="33"/>
  <c r="D65" i="33"/>
  <c r="E64" i="33"/>
  <c r="D64" i="33"/>
  <c r="E54" i="33"/>
  <c r="D54" i="33"/>
  <c r="E47" i="19"/>
  <c r="D47" i="19"/>
  <c r="E88" i="31"/>
  <c r="E86" i="31"/>
  <c r="E85" i="31"/>
  <c r="E84" i="31"/>
  <c r="E83" i="31"/>
  <c r="E77" i="31"/>
  <c r="D88" i="31"/>
  <c r="D86" i="31"/>
  <c r="D85" i="31"/>
  <c r="D84" i="31"/>
  <c r="D83" i="31"/>
  <c r="D77" i="31"/>
  <c r="E74" i="31"/>
  <c r="D74" i="31"/>
  <c r="E73" i="31"/>
  <c r="D73" i="31"/>
  <c r="E72" i="31"/>
  <c r="D72" i="31"/>
  <c r="E71" i="31"/>
  <c r="D71" i="31"/>
  <c r="E70" i="31"/>
  <c r="D70" i="31"/>
  <c r="E69" i="31"/>
  <c r="D69" i="31"/>
  <c r="E68" i="31"/>
  <c r="D68" i="31"/>
  <c r="E67" i="31"/>
  <c r="F67" i="31" s="1"/>
  <c r="D67" i="31"/>
  <c r="E55" i="31"/>
  <c r="D55" i="31"/>
  <c r="F53" i="35"/>
  <c r="F64" i="35"/>
  <c r="F66" i="35"/>
  <c r="F68" i="35"/>
  <c r="F82" i="33"/>
  <c r="F70" i="35"/>
  <c r="F83" i="31"/>
  <c r="F88" i="31"/>
  <c r="F55" i="31"/>
  <c r="F21" i="35"/>
  <c r="F69" i="35"/>
  <c r="F73" i="35"/>
  <c r="F80" i="35"/>
  <c r="F82" i="35"/>
  <c r="F68" i="37"/>
  <c r="F80" i="37"/>
  <c r="F54" i="33"/>
  <c r="F65" i="33"/>
  <c r="F67" i="33"/>
  <c r="F69" i="33"/>
  <c r="F71" i="33"/>
  <c r="F84" i="35"/>
  <c r="F81" i="33"/>
  <c r="F79" i="35"/>
  <c r="F81" i="35"/>
  <c r="F74" i="31"/>
  <c r="F68" i="31"/>
  <c r="F70" i="31"/>
  <c r="F72" i="31"/>
  <c r="F64" i="33"/>
  <c r="F66" i="33"/>
  <c r="F68" i="33"/>
  <c r="F65" i="35"/>
  <c r="F67" i="35"/>
  <c r="F64" i="37"/>
  <c r="F66" i="37"/>
  <c r="F84" i="31"/>
  <c r="F72" i="37"/>
  <c r="F81" i="37"/>
  <c r="F21" i="37"/>
  <c r="F52" i="37"/>
  <c r="F63" i="37"/>
  <c r="F65" i="37"/>
  <c r="F67" i="37"/>
  <c r="F69" i="37"/>
  <c r="F79" i="37"/>
  <c r="F78" i="37"/>
  <c r="F83" i="37"/>
  <c r="F70" i="33"/>
  <c r="F74" i="33"/>
  <c r="F83" i="33"/>
  <c r="F80" i="33"/>
  <c r="F85" i="33"/>
  <c r="F69" i="31"/>
  <c r="F71" i="31"/>
  <c r="F73" i="31"/>
  <c r="F77" i="31"/>
  <c r="F86" i="31"/>
  <c r="F85" i="31"/>
  <c r="F47" i="19"/>
  <c r="E49" i="31"/>
  <c r="D49" i="31"/>
  <c r="E42" i="31"/>
  <c r="D42" i="31"/>
  <c r="E87" i="29"/>
  <c r="D87" i="29"/>
  <c r="E85" i="29"/>
  <c r="D85" i="29"/>
  <c r="E84" i="29"/>
  <c r="D84" i="29"/>
  <c r="E83" i="29"/>
  <c r="D83" i="29"/>
  <c r="E82" i="29"/>
  <c r="D82" i="29"/>
  <c r="E75" i="29"/>
  <c r="D75" i="29"/>
  <c r="E72" i="29"/>
  <c r="D72" i="29"/>
  <c r="E71" i="29"/>
  <c r="D71" i="29"/>
  <c r="E70" i="29"/>
  <c r="D70" i="29"/>
  <c r="E69" i="29"/>
  <c r="D69" i="29"/>
  <c r="E68" i="29"/>
  <c r="D68" i="29"/>
  <c r="E67" i="29"/>
  <c r="D67" i="29"/>
  <c r="E66" i="29"/>
  <c r="D66" i="29"/>
  <c r="E65" i="29"/>
  <c r="F65" i="29" s="1"/>
  <c r="D65" i="29"/>
  <c r="E53" i="29"/>
  <c r="D53" i="29"/>
  <c r="E81" i="19"/>
  <c r="E80" i="19"/>
  <c r="E79" i="19"/>
  <c r="E78" i="19"/>
  <c r="D81" i="19"/>
  <c r="D80" i="19"/>
  <c r="D79" i="19"/>
  <c r="D78" i="19"/>
  <c r="E69" i="19"/>
  <c r="D69" i="19"/>
  <c r="E68" i="19"/>
  <c r="D68" i="19"/>
  <c r="E67" i="19"/>
  <c r="D67" i="19"/>
  <c r="E66" i="19"/>
  <c r="D66" i="19"/>
  <c r="E65" i="19"/>
  <c r="D65" i="19"/>
  <c r="E64" i="19"/>
  <c r="D64" i="19"/>
  <c r="E63" i="19"/>
  <c r="D63" i="19"/>
  <c r="M62" i="37"/>
  <c r="M65" i="29"/>
  <c r="E63" i="27"/>
  <c r="D63" i="27"/>
  <c r="E65" i="24"/>
  <c r="F65" i="24" s="1"/>
  <c r="D65" i="24"/>
  <c r="E62" i="21"/>
  <c r="D62" i="21"/>
  <c r="M65" i="24"/>
  <c r="M62" i="19"/>
  <c r="E62" i="19"/>
  <c r="D62" i="19"/>
  <c r="E52" i="19"/>
  <c r="D52" i="19"/>
  <c r="E37" i="19"/>
  <c r="D37" i="19"/>
  <c r="E84" i="27"/>
  <c r="D84" i="27"/>
  <c r="E82" i="27"/>
  <c r="D82" i="27"/>
  <c r="E81" i="27"/>
  <c r="D81" i="27"/>
  <c r="E80" i="27"/>
  <c r="D80" i="27"/>
  <c r="E79" i="27"/>
  <c r="D79" i="27"/>
  <c r="E73" i="27"/>
  <c r="D73" i="27"/>
  <c r="E70" i="27"/>
  <c r="D70" i="27"/>
  <c r="E69" i="27"/>
  <c r="D69" i="27"/>
  <c r="E68" i="27"/>
  <c r="D68" i="27"/>
  <c r="E67" i="27"/>
  <c r="D67" i="27"/>
  <c r="E66" i="27"/>
  <c r="D66" i="27"/>
  <c r="E65" i="27"/>
  <c r="D65" i="27"/>
  <c r="E64" i="27"/>
  <c r="D64" i="27"/>
  <c r="E53" i="27"/>
  <c r="D53" i="27"/>
  <c r="F49" i="31"/>
  <c r="F53" i="27"/>
  <c r="F69" i="27"/>
  <c r="F73" i="27"/>
  <c r="F80" i="27"/>
  <c r="F82" i="27"/>
  <c r="F37" i="19"/>
  <c r="I54" i="1"/>
  <c r="Q54" i="1" s="1"/>
  <c r="F64" i="19"/>
  <c r="F66" i="19"/>
  <c r="F71" i="29"/>
  <c r="F75" i="29"/>
  <c r="F83" i="29"/>
  <c r="F66" i="29"/>
  <c r="F68" i="29"/>
  <c r="F70" i="29"/>
  <c r="F87" i="29"/>
  <c r="F52" i="19"/>
  <c r="F72" i="19"/>
  <c r="F81" i="19"/>
  <c r="F82" i="29"/>
  <c r="F84" i="29"/>
  <c r="F72" i="29"/>
  <c r="F68" i="19"/>
  <c r="F67" i="29"/>
  <c r="F69" i="29"/>
  <c r="I56" i="1"/>
  <c r="P56" i="1" s="1"/>
  <c r="F65" i="27"/>
  <c r="F67" i="27"/>
  <c r="F63" i="27"/>
  <c r="F53" i="29"/>
  <c r="F42" i="31"/>
  <c r="F64" i="27"/>
  <c r="F66" i="27"/>
  <c r="F68" i="27"/>
  <c r="F70" i="27"/>
  <c r="F79" i="27"/>
  <c r="F81" i="27"/>
  <c r="F84" i="27"/>
  <c r="F80" i="19"/>
  <c r="I52" i="1"/>
  <c r="Q52" i="1" s="1"/>
  <c r="I50" i="1"/>
  <c r="Q50" i="1" s="1"/>
  <c r="F85" i="29"/>
  <c r="F78" i="19"/>
  <c r="F63" i="19"/>
  <c r="F65" i="19"/>
  <c r="F67" i="19"/>
  <c r="F69" i="19"/>
  <c r="F79" i="19"/>
  <c r="E86" i="24"/>
  <c r="D86" i="24"/>
  <c r="E84" i="24"/>
  <c r="D84" i="24"/>
  <c r="E83" i="24"/>
  <c r="D83" i="24"/>
  <c r="E82" i="24"/>
  <c r="D82" i="24"/>
  <c r="E81" i="24"/>
  <c r="D81" i="24"/>
  <c r="E75" i="24"/>
  <c r="D75" i="24"/>
  <c r="E72" i="24"/>
  <c r="E71" i="24"/>
  <c r="E70" i="24"/>
  <c r="E69" i="24"/>
  <c r="E68" i="24"/>
  <c r="E67" i="24"/>
  <c r="E66" i="24"/>
  <c r="D72" i="24"/>
  <c r="D71" i="24"/>
  <c r="D70" i="24"/>
  <c r="D69" i="24"/>
  <c r="D68" i="24"/>
  <c r="D67" i="24"/>
  <c r="D66" i="24"/>
  <c r="E53" i="24"/>
  <c r="D53" i="24"/>
  <c r="E83" i="21"/>
  <c r="D83" i="21"/>
  <c r="E81" i="21"/>
  <c r="D81" i="21"/>
  <c r="E80" i="21"/>
  <c r="D80" i="21"/>
  <c r="E79" i="21"/>
  <c r="D79" i="21"/>
  <c r="E78" i="21"/>
  <c r="D78" i="21"/>
  <c r="E72" i="21"/>
  <c r="D72" i="21"/>
  <c r="E69" i="21"/>
  <c r="E68" i="21"/>
  <c r="E67" i="21"/>
  <c r="E66" i="21"/>
  <c r="E65" i="21"/>
  <c r="E64" i="21"/>
  <c r="E63" i="21"/>
  <c r="D69" i="21"/>
  <c r="D68" i="21"/>
  <c r="D67" i="21"/>
  <c r="D66" i="21"/>
  <c r="D65" i="21"/>
  <c r="D64" i="21"/>
  <c r="D63" i="21"/>
  <c r="E52" i="21"/>
  <c r="D52" i="21"/>
  <c r="I44" i="1"/>
  <c r="F69" i="24"/>
  <c r="F66" i="21"/>
  <c r="F67" i="24"/>
  <c r="F71" i="24"/>
  <c r="I46" i="1"/>
  <c r="P46" i="1" s="1"/>
  <c r="F53" i="24"/>
  <c r="F68" i="24"/>
  <c r="F72" i="24"/>
  <c r="F75" i="24"/>
  <c r="F82" i="24"/>
  <c r="F84" i="24"/>
  <c r="F66" i="24"/>
  <c r="F70" i="24"/>
  <c r="F81" i="24"/>
  <c r="F83" i="24"/>
  <c r="F86" i="24"/>
  <c r="F52" i="21"/>
  <c r="F78" i="21"/>
  <c r="F80" i="21"/>
  <c r="F83" i="21"/>
  <c r="F63" i="21"/>
  <c r="F67" i="21"/>
  <c r="F64" i="21"/>
  <c r="F68" i="21"/>
  <c r="F65" i="21"/>
  <c r="F69" i="21"/>
  <c r="F72" i="21"/>
  <c r="F79" i="21"/>
  <c r="F81" i="21"/>
  <c r="I40" i="1"/>
  <c r="P40" i="1" s="1"/>
  <c r="M68" i="21"/>
  <c r="M68" i="19"/>
  <c r="M73" i="31"/>
  <c r="M71" i="31"/>
  <c r="M68" i="37"/>
  <c r="H56" i="1"/>
  <c r="H54" i="1"/>
  <c r="H52" i="1"/>
  <c r="H50" i="1"/>
  <c r="H48" i="1"/>
  <c r="H46" i="1"/>
  <c r="H44" i="1"/>
  <c r="H42" i="1"/>
  <c r="H40" i="1"/>
  <c r="S13" i="2"/>
  <c r="M58" i="37" s="1"/>
  <c r="N65" i="37"/>
  <c r="N63" i="37"/>
  <c r="G52" i="21"/>
  <c r="K52" i="21" s="1"/>
  <c r="G53" i="27"/>
  <c r="K53" i="27" s="1"/>
  <c r="G53" i="29"/>
  <c r="K53" i="29" s="1"/>
  <c r="G53" i="35"/>
  <c r="K53" i="35" s="1"/>
  <c r="H134" i="1"/>
  <c r="K46" i="37"/>
  <c r="K38" i="37"/>
  <c r="G31" i="37"/>
  <c r="K53" i="37"/>
  <c r="K51" i="37"/>
  <c r="G33" i="37"/>
  <c r="K33" i="37" s="1"/>
  <c r="G24" i="37"/>
  <c r="G22" i="37"/>
  <c r="K22" i="37" s="1"/>
  <c r="K21" i="37"/>
  <c r="G18" i="37"/>
  <c r="K18" i="37" s="1"/>
  <c r="K49" i="37"/>
  <c r="K48" i="37"/>
  <c r="M80" i="37"/>
  <c r="K45" i="37"/>
  <c r="K31" i="37"/>
  <c r="K47" i="37"/>
  <c r="K24" i="37"/>
  <c r="K37" i="37"/>
  <c r="AY56" i="1"/>
  <c r="AY55" i="1"/>
  <c r="K54" i="35"/>
  <c r="K52" i="35"/>
  <c r="K50" i="35"/>
  <c r="M81" i="35"/>
  <c r="K40" i="35"/>
  <c r="K49" i="35"/>
  <c r="M82" i="33"/>
  <c r="AY54" i="1"/>
  <c r="K48" i="33"/>
  <c r="AY53" i="1"/>
  <c r="K55" i="33"/>
  <c r="K53" i="33"/>
  <c r="K19" i="33"/>
  <c r="K49" i="33"/>
  <c r="K40" i="33"/>
  <c r="K50" i="33"/>
  <c r="K51" i="33"/>
  <c r="AY52" i="1"/>
  <c r="AY51" i="1"/>
  <c r="M85" i="31"/>
  <c r="K48" i="31"/>
  <c r="K47" i="31"/>
  <c r="K50" i="31"/>
  <c r="K52" i="31"/>
  <c r="K56" i="31"/>
  <c r="K54" i="31"/>
  <c r="K51" i="31"/>
  <c r="K39" i="31"/>
  <c r="AY50" i="1"/>
  <c r="AY49" i="1"/>
  <c r="K54" i="29"/>
  <c r="K52" i="29"/>
  <c r="K49" i="29"/>
  <c r="K39" i="29"/>
  <c r="M79" i="27"/>
  <c r="S75" i="2" s="1"/>
  <c r="M84" i="29"/>
  <c r="K48" i="29"/>
  <c r="K50" i="29"/>
  <c r="AY48" i="1"/>
  <c r="AY47" i="1"/>
  <c r="K54" i="27"/>
  <c r="K52" i="27"/>
  <c r="K50" i="27"/>
  <c r="K39" i="27"/>
  <c r="K48" i="27"/>
  <c r="K49" i="27"/>
  <c r="AY44" i="1"/>
  <c r="AY43" i="1"/>
  <c r="K52" i="24"/>
  <c r="K49" i="24"/>
  <c r="K48" i="24"/>
  <c r="K54" i="24"/>
  <c r="K40" i="24"/>
  <c r="K25" i="24"/>
  <c r="K50" i="24"/>
  <c r="K39" i="24"/>
  <c r="AY42" i="1"/>
  <c r="K51" i="19"/>
  <c r="K49" i="19"/>
  <c r="K53" i="19"/>
  <c r="K47" i="19"/>
  <c r="K48" i="21"/>
  <c r="K40" i="21"/>
  <c r="K47" i="21"/>
  <c r="K48" i="19"/>
  <c r="K51" i="21"/>
  <c r="K53" i="21"/>
  <c r="AY46" i="1"/>
  <c r="K49" i="21"/>
  <c r="AY40" i="1"/>
  <c r="M80" i="21"/>
  <c r="S5" i="2"/>
  <c r="K39" i="19"/>
  <c r="G51" i="4"/>
  <c r="G52" i="4"/>
  <c r="F51" i="4"/>
  <c r="F52" i="4"/>
  <c r="E51" i="4"/>
  <c r="E52" i="4"/>
  <c r="D51" i="4"/>
  <c r="D52" i="4"/>
  <c r="C51" i="4"/>
  <c r="C52" i="4"/>
  <c r="H50" i="4"/>
  <c r="H129" i="1"/>
  <c r="H19" i="1"/>
  <c r="D7" i="3"/>
  <c r="E7" i="3" s="1"/>
  <c r="F7" i="3" s="1"/>
  <c r="G7" i="3" s="1"/>
  <c r="H7" i="3" s="1"/>
  <c r="I7" i="3" s="1"/>
  <c r="J7" i="3" s="1"/>
  <c r="K7" i="3" s="1"/>
  <c r="G98" i="6"/>
  <c r="F98" i="6"/>
  <c r="E98" i="6"/>
  <c r="D98" i="6"/>
  <c r="C98" i="6"/>
  <c r="H29" i="6"/>
  <c r="H28" i="6"/>
  <c r="H27" i="6"/>
  <c r="G30" i="6"/>
  <c r="G31" i="6"/>
  <c r="F30" i="6"/>
  <c r="F31" i="6"/>
  <c r="E30" i="6"/>
  <c r="E31" i="6"/>
  <c r="D30" i="6"/>
  <c r="D31" i="6"/>
  <c r="C30" i="6"/>
  <c r="C31" i="6"/>
  <c r="H125" i="1"/>
  <c r="H122" i="1"/>
  <c r="H121" i="1"/>
  <c r="H120" i="1"/>
  <c r="H119" i="1"/>
  <c r="H118" i="1"/>
  <c r="H117" i="1"/>
  <c r="H116" i="1"/>
  <c r="H115" i="1"/>
  <c r="H114" i="1"/>
  <c r="H111" i="1"/>
  <c r="H110" i="1"/>
  <c r="H109" i="1"/>
  <c r="H108" i="1"/>
  <c r="H107" i="1"/>
  <c r="H106" i="1"/>
  <c r="H105" i="1"/>
  <c r="H104" i="1"/>
  <c r="H103" i="1"/>
  <c r="H100" i="1"/>
  <c r="H99" i="1"/>
  <c r="H98" i="1"/>
  <c r="H97" i="1"/>
  <c r="H96" i="1"/>
  <c r="H95" i="1"/>
  <c r="H94" i="1"/>
  <c r="H93" i="1"/>
  <c r="H92" i="1"/>
  <c r="H89" i="1"/>
  <c r="H88" i="1"/>
  <c r="H87" i="1"/>
  <c r="H86" i="1"/>
  <c r="H85" i="1"/>
  <c r="H84" i="1"/>
  <c r="H83" i="1"/>
  <c r="H82" i="1"/>
  <c r="H81" i="1"/>
  <c r="H67" i="1"/>
  <c r="H66" i="1"/>
  <c r="H65" i="1"/>
  <c r="H64" i="1"/>
  <c r="H63" i="1"/>
  <c r="H62" i="1"/>
  <c r="H61" i="1"/>
  <c r="H60" i="1"/>
  <c r="H59" i="1"/>
  <c r="H55" i="1"/>
  <c r="H53" i="1"/>
  <c r="H51" i="1"/>
  <c r="H49" i="1"/>
  <c r="H47" i="1"/>
  <c r="H45" i="1"/>
  <c r="H43" i="1"/>
  <c r="H41" i="1"/>
  <c r="H39" i="1"/>
  <c r="H8" i="1"/>
  <c r="H10" i="1"/>
  <c r="H12" i="1"/>
  <c r="H14" i="1"/>
  <c r="H15" i="1"/>
  <c r="H17" i="1"/>
  <c r="H18" i="1"/>
  <c r="H20" i="1"/>
  <c r="H22" i="1"/>
  <c r="H24" i="1"/>
  <c r="H26" i="1"/>
  <c r="H28" i="1"/>
  <c r="H29" i="1"/>
  <c r="H31" i="1"/>
  <c r="H32" i="1"/>
  <c r="H34" i="1"/>
  <c r="H35" i="1"/>
  <c r="H7" i="1"/>
  <c r="C51" i="6"/>
  <c r="C52" i="6" s="1"/>
  <c r="F51" i="6"/>
  <c r="F52" i="6" s="1"/>
  <c r="H21" i="6"/>
  <c r="H20" i="6"/>
  <c r="G22" i="6"/>
  <c r="G36" i="6"/>
  <c r="F22" i="6"/>
  <c r="E22" i="6"/>
  <c r="E35" i="6"/>
  <c r="D22" i="6"/>
  <c r="D35" i="6"/>
  <c r="C22" i="6"/>
  <c r="C35" i="6"/>
  <c r="D36" i="6"/>
  <c r="C25" i="5"/>
  <c r="C24" i="5"/>
  <c r="D31" i="3"/>
  <c r="E31" i="3"/>
  <c r="F31" i="3" s="1"/>
  <c r="G31" i="3" s="1"/>
  <c r="H31" i="3" s="1"/>
  <c r="G25" i="12"/>
  <c r="G17" i="6"/>
  <c r="F25" i="12"/>
  <c r="F17" i="6"/>
  <c r="E25" i="12"/>
  <c r="E17" i="6"/>
  <c r="D25" i="12"/>
  <c r="D17" i="6"/>
  <c r="C25" i="12"/>
  <c r="C17" i="6"/>
  <c r="G24" i="12"/>
  <c r="F24" i="12"/>
  <c r="E24" i="12"/>
  <c r="D24" i="12"/>
  <c r="C24" i="12"/>
  <c r="G23" i="12"/>
  <c r="F23" i="12"/>
  <c r="E23" i="12"/>
  <c r="D23" i="12"/>
  <c r="C23" i="12"/>
  <c r="G22" i="12"/>
  <c r="G77" i="12"/>
  <c r="F22" i="12"/>
  <c r="F77" i="12"/>
  <c r="E22" i="12"/>
  <c r="E77" i="12"/>
  <c r="D22" i="12"/>
  <c r="D77" i="12"/>
  <c r="C22" i="12"/>
  <c r="C77" i="12"/>
  <c r="G21" i="12"/>
  <c r="F21" i="12"/>
  <c r="E21" i="12"/>
  <c r="D21" i="12"/>
  <c r="C21" i="12"/>
  <c r="C27" i="5"/>
  <c r="C26" i="5"/>
  <c r="C23" i="5"/>
  <c r="G87" i="6"/>
  <c r="F87" i="6"/>
  <c r="E87" i="6"/>
  <c r="D87" i="6"/>
  <c r="C87" i="6"/>
  <c r="H69" i="12"/>
  <c r="H67" i="12"/>
  <c r="H55" i="12"/>
  <c r="H49" i="12"/>
  <c r="H26" i="12"/>
  <c r="G28" i="12"/>
  <c r="G83" i="12"/>
  <c r="F28" i="12"/>
  <c r="F83" i="12"/>
  <c r="E28" i="12"/>
  <c r="E83" i="12"/>
  <c r="D28" i="12"/>
  <c r="D83" i="12"/>
  <c r="C28" i="12"/>
  <c r="C83" i="12"/>
  <c r="D17" i="5"/>
  <c r="L6" i="4" s="1"/>
  <c r="C17" i="5"/>
  <c r="K6" i="4"/>
  <c r="E8" i="3"/>
  <c r="D27" i="5" s="1"/>
  <c r="D24" i="5"/>
  <c r="G16" i="6"/>
  <c r="F16" i="6"/>
  <c r="E16" i="6"/>
  <c r="D16" i="6"/>
  <c r="C16" i="6"/>
  <c r="H49" i="4"/>
  <c r="H48" i="4"/>
  <c r="H47" i="4"/>
  <c r="H46" i="4"/>
  <c r="H45" i="4"/>
  <c r="H44" i="4"/>
  <c r="H43" i="4"/>
  <c r="H8" i="4"/>
  <c r="H9" i="4"/>
  <c r="AX41" i="1"/>
  <c r="AX39" i="1"/>
  <c r="AX122" i="1"/>
  <c r="AY121" i="1"/>
  <c r="AX121" i="1"/>
  <c r="AX120" i="1"/>
  <c r="AX119" i="1"/>
  <c r="AX118" i="1"/>
  <c r="AY117" i="1"/>
  <c r="AX117" i="1"/>
  <c r="AX116" i="1"/>
  <c r="AX115" i="1"/>
  <c r="BB114" i="1"/>
  <c r="AX114" i="1"/>
  <c r="BB111" i="1"/>
  <c r="BA111" i="1"/>
  <c r="AZ111" i="1"/>
  <c r="BB110" i="1"/>
  <c r="BA110" i="1"/>
  <c r="AZ110" i="1"/>
  <c r="BB109" i="1"/>
  <c r="BA109" i="1"/>
  <c r="AZ109" i="1"/>
  <c r="BB108" i="1"/>
  <c r="BA108" i="1"/>
  <c r="AZ108" i="1"/>
  <c r="BB107" i="1"/>
  <c r="BA107" i="1"/>
  <c r="AZ107" i="1"/>
  <c r="BB106" i="1"/>
  <c r="BA106" i="1"/>
  <c r="AZ106" i="1"/>
  <c r="BB105" i="1"/>
  <c r="BA105" i="1"/>
  <c r="AZ105" i="1"/>
  <c r="BB104" i="1"/>
  <c r="BA104" i="1"/>
  <c r="AZ104" i="1"/>
  <c r="BB103" i="1"/>
  <c r="BA103" i="1"/>
  <c r="AZ103" i="1"/>
  <c r="AX100" i="1"/>
  <c r="AX99" i="1"/>
  <c r="AX98" i="1"/>
  <c r="AX97" i="1"/>
  <c r="AX96" i="1"/>
  <c r="AX95" i="1"/>
  <c r="AX94" i="1"/>
  <c r="AX93" i="1"/>
  <c r="BB92" i="1"/>
  <c r="AX92" i="1"/>
  <c r="AX83" i="1"/>
  <c r="BB81" i="1"/>
  <c r="AX67" i="1"/>
  <c r="AX66" i="1"/>
  <c r="AX65" i="1"/>
  <c r="AX64" i="1"/>
  <c r="AX63" i="1"/>
  <c r="AX62" i="1"/>
  <c r="AX61" i="1"/>
  <c r="AX60" i="1"/>
  <c r="BB59" i="1"/>
  <c r="AX59" i="1"/>
  <c r="BB39" i="1"/>
  <c r="F8" i="3"/>
  <c r="E23" i="5"/>
  <c r="F33" i="4"/>
  <c r="F57" i="4"/>
  <c r="F34" i="4"/>
  <c r="F58" i="4"/>
  <c r="E33" i="4"/>
  <c r="E57" i="4"/>
  <c r="E34" i="4"/>
  <c r="E58" i="4"/>
  <c r="D34" i="4"/>
  <c r="D58" i="4"/>
  <c r="D33" i="4"/>
  <c r="H63" i="12"/>
  <c r="G33" i="4"/>
  <c r="G57" i="4"/>
  <c r="G34" i="4"/>
  <c r="G58" i="4"/>
  <c r="H24" i="4"/>
  <c r="H21" i="4"/>
  <c r="C34" i="4"/>
  <c r="H20" i="4"/>
  <c r="C33" i="4"/>
  <c r="C57" i="4"/>
  <c r="H23" i="4"/>
  <c r="C58" i="4"/>
  <c r="E36" i="6"/>
  <c r="G23" i="6"/>
  <c r="G35" i="6"/>
  <c r="AV168" i="1"/>
  <c r="AT168" i="1"/>
  <c r="AM168" i="1"/>
  <c r="AK168" i="1"/>
  <c r="AD168" i="1"/>
  <c r="AB168" i="1"/>
  <c r="T168" i="1"/>
  <c r="AU168" i="1"/>
  <c r="AL168" i="1"/>
  <c r="AC168" i="1"/>
  <c r="U168" i="1"/>
  <c r="S168" i="1"/>
  <c r="H98" i="6"/>
  <c r="H24" i="12"/>
  <c r="E37" i="6"/>
  <c r="E38" i="6"/>
  <c r="H16" i="6"/>
  <c r="AY109" i="1"/>
  <c r="AY111" i="1"/>
  <c r="AY107" i="1"/>
  <c r="AY104" i="1"/>
  <c r="K32" i="15"/>
  <c r="I32" i="15"/>
  <c r="G32" i="15"/>
  <c r="E32" i="15"/>
  <c r="AS168" i="1"/>
  <c r="AO168" i="1"/>
  <c r="AH168" i="1"/>
  <c r="Z168" i="1"/>
  <c r="P168" i="1"/>
  <c r="AR168" i="1"/>
  <c r="AG168" i="1"/>
  <c r="Y168" i="1"/>
  <c r="O168" i="1"/>
  <c r="AQ168" i="1"/>
  <c r="AJ168" i="1"/>
  <c r="AF168" i="1"/>
  <c r="X168" i="1"/>
  <c r="R168" i="1"/>
  <c r="N168" i="1"/>
  <c r="AI168" i="1"/>
  <c r="AA168" i="1"/>
  <c r="Q168" i="1"/>
  <c r="AP168" i="1"/>
  <c r="W168" i="1"/>
  <c r="AY105" i="1"/>
  <c r="J32" i="15"/>
  <c r="F32" i="15"/>
  <c r="AX110" i="1"/>
  <c r="AX107" i="1"/>
  <c r="AX103" i="1"/>
  <c r="H22" i="12"/>
  <c r="H58" i="4"/>
  <c r="E26" i="5"/>
  <c r="D25" i="5"/>
  <c r="H28" i="12"/>
  <c r="H23" i="12"/>
  <c r="AX111" i="1"/>
  <c r="AX106" i="1"/>
  <c r="E23" i="6"/>
  <c r="D26" i="5"/>
  <c r="D23" i="5"/>
  <c r="D23" i="6"/>
  <c r="H83" i="12"/>
  <c r="H81" i="12"/>
  <c r="G37" i="6"/>
  <c r="G38" i="6"/>
  <c r="E27" i="5"/>
  <c r="E24" i="5"/>
  <c r="C23" i="6"/>
  <c r="C36" i="6"/>
  <c r="C37" i="6"/>
  <c r="C38" i="6"/>
  <c r="C28" i="15"/>
  <c r="J28" i="15"/>
  <c r="F28" i="15"/>
  <c r="H77" i="12"/>
  <c r="H25" i="12"/>
  <c r="K28" i="15"/>
  <c r="E25" i="5"/>
  <c r="G8" i="3"/>
  <c r="AY85" i="1"/>
  <c r="AY106" i="1"/>
  <c r="H51" i="4"/>
  <c r="H52" i="4"/>
  <c r="H87" i="6"/>
  <c r="G27" i="12"/>
  <c r="F27" i="12"/>
  <c r="E27" i="12"/>
  <c r="D27" i="12"/>
  <c r="D31" i="12"/>
  <c r="H22" i="6"/>
  <c r="H23" i="6"/>
  <c r="H30" i="6"/>
  <c r="H31" i="6"/>
  <c r="AX85" i="1"/>
  <c r="AY84" i="1"/>
  <c r="AX87" i="1"/>
  <c r="AX109" i="1"/>
  <c r="AX108" i="1"/>
  <c r="AX105" i="1"/>
  <c r="AX104" i="1"/>
  <c r="AY110" i="1"/>
  <c r="AY108" i="1"/>
  <c r="AY103" i="1"/>
  <c r="H34" i="4"/>
  <c r="D57" i="4"/>
  <c r="H57" i="4"/>
  <c r="H33" i="4"/>
  <c r="AY82" i="1"/>
  <c r="F36" i="6"/>
  <c r="F23" i="6"/>
  <c r="F35" i="6"/>
  <c r="AY81" i="1"/>
  <c r="H21" i="12"/>
  <c r="C27" i="12"/>
  <c r="G31" i="12"/>
  <c r="G29" i="12"/>
  <c r="G30" i="12"/>
  <c r="H17" i="6"/>
  <c r="D37" i="6"/>
  <c r="D38" i="6"/>
  <c r="H32" i="15"/>
  <c r="D32" i="15"/>
  <c r="I28" i="15"/>
  <c r="E28" i="15"/>
  <c r="C32" i="15"/>
  <c r="M73" i="35"/>
  <c r="G51" i="6"/>
  <c r="C35" i="3"/>
  <c r="D36" i="3"/>
  <c r="K7" i="4"/>
  <c r="D30" i="3"/>
  <c r="AY41" i="1"/>
  <c r="G52" i="6"/>
  <c r="H35" i="6"/>
  <c r="H36" i="6"/>
  <c r="BG105" i="1"/>
  <c r="BG104" i="1"/>
  <c r="BG109" i="1"/>
  <c r="BG111" i="1"/>
  <c r="BG106" i="1"/>
  <c r="BG110" i="1"/>
  <c r="BG103" i="1"/>
  <c r="BG108" i="1"/>
  <c r="BG107" i="1"/>
  <c r="D29" i="12"/>
  <c r="D30" i="12"/>
  <c r="H27" i="12"/>
  <c r="H31" i="12"/>
  <c r="H37" i="6"/>
  <c r="S40" i="2"/>
  <c r="M73" i="27"/>
  <c r="M74" i="33"/>
  <c r="S39" i="2" s="1"/>
  <c r="M75" i="29"/>
  <c r="S37" i="2" s="1"/>
  <c r="M72" i="19"/>
  <c r="S36" i="2" s="1"/>
  <c r="E36" i="2" s="1"/>
  <c r="M72" i="21"/>
  <c r="AY89" i="1"/>
  <c r="AX82" i="1"/>
  <c r="AX88" i="1"/>
  <c r="AY83" i="1"/>
  <c r="AX86" i="1"/>
  <c r="AX89" i="1"/>
  <c r="AX84" i="1"/>
  <c r="F31" i="12"/>
  <c r="F29" i="12"/>
  <c r="F30" i="12"/>
  <c r="AY87" i="1"/>
  <c r="E29" i="12"/>
  <c r="E30" i="12"/>
  <c r="E31" i="12"/>
  <c r="H8" i="3"/>
  <c r="AY116" i="1"/>
  <c r="AY88" i="1"/>
  <c r="F37" i="6"/>
  <c r="F38" i="6"/>
  <c r="AX81" i="1"/>
  <c r="C29" i="12"/>
  <c r="C30" i="12"/>
  <c r="C31" i="12"/>
  <c r="AY86" i="1"/>
  <c r="E36" i="3"/>
  <c r="L7" i="4" s="1"/>
  <c r="E30" i="3"/>
  <c r="F30" i="3" s="1"/>
  <c r="G30" i="3" s="1"/>
  <c r="H30" i="3" s="1"/>
  <c r="AY119" i="1"/>
  <c r="AY122" i="1"/>
  <c r="AY120" i="1"/>
  <c r="AY115" i="1"/>
  <c r="H29" i="12"/>
  <c r="H30" i="12"/>
  <c r="S35" i="2"/>
  <c r="AY67" i="1"/>
  <c r="G25" i="5"/>
  <c r="F36" i="3"/>
  <c r="G36" i="3" s="1"/>
  <c r="H36" i="3" s="1"/>
  <c r="AY114" i="1"/>
  <c r="AY118" i="1"/>
  <c r="AY96" i="1"/>
  <c r="AY99" i="1"/>
  <c r="AY97" i="1"/>
  <c r="AY92" i="1"/>
  <c r="AY93" i="1"/>
  <c r="AY98" i="1"/>
  <c r="AY95" i="1"/>
  <c r="AY94" i="1"/>
  <c r="AY100" i="1"/>
  <c r="AY66" i="1"/>
  <c r="AY39" i="1"/>
  <c r="AY62" i="1"/>
  <c r="AY64" i="1"/>
  <c r="AY60" i="1"/>
  <c r="AY65" i="1"/>
  <c r="AY61" i="1"/>
  <c r="AY63" i="1"/>
  <c r="AY59" i="1"/>
  <c r="AY45" i="1"/>
  <c r="K45" i="13"/>
  <c r="L45" i="13"/>
  <c r="M30" i="13"/>
  <c r="M35" i="13"/>
  <c r="M34" i="13"/>
  <c r="M39" i="13"/>
  <c r="M38" i="13"/>
  <c r="J45" i="13"/>
  <c r="M44" i="13"/>
  <c r="M45" i="13"/>
  <c r="M31" i="13"/>
  <c r="J32" i="13"/>
  <c r="K32" i="13"/>
  <c r="J40" i="13"/>
  <c r="K36" i="13"/>
  <c r="L36" i="13"/>
  <c r="L32" i="13"/>
  <c r="K40" i="13"/>
  <c r="J36" i="13"/>
  <c r="L40" i="13"/>
  <c r="M36" i="13"/>
  <c r="M40" i="13"/>
  <c r="M32" i="13"/>
  <c r="J46" i="13"/>
  <c r="K46" i="13"/>
  <c r="L46" i="13"/>
  <c r="M47" i="13"/>
  <c r="M46" i="13"/>
  <c r="U62" i="37" l="1"/>
  <c r="W73" i="37"/>
  <c r="S73" i="37"/>
  <c r="Y73" i="37" s="1"/>
  <c r="M72" i="37"/>
  <c r="S41" i="2" s="1"/>
  <c r="S72" i="37"/>
  <c r="R72" i="37"/>
  <c r="S62" i="37"/>
  <c r="R69" i="37"/>
  <c r="W79" i="37"/>
  <c r="W81" i="37"/>
  <c r="T81" i="37"/>
  <c r="Y81" i="37" s="1"/>
  <c r="U84" i="37"/>
  <c r="X86" i="37"/>
  <c r="V73" i="37"/>
  <c r="U73" i="37"/>
  <c r="T62" i="37"/>
  <c r="V62" i="37"/>
  <c r="U79" i="37"/>
  <c r="Y79" i="37" s="1"/>
  <c r="T84" i="37"/>
  <c r="U86" i="37"/>
  <c r="X73" i="37"/>
  <c r="L13" i="2"/>
  <c r="L140" i="2" s="1"/>
  <c r="E13" i="2"/>
  <c r="X63" i="35"/>
  <c r="U63" i="35"/>
  <c r="X87" i="35"/>
  <c r="U75" i="35"/>
  <c r="X75" i="35"/>
  <c r="S63" i="35"/>
  <c r="V67" i="35"/>
  <c r="L67" i="35" s="1"/>
  <c r="S82" i="35"/>
  <c r="Y82" i="35" s="1"/>
  <c r="X82" i="35"/>
  <c r="T80" i="35"/>
  <c r="S80" i="35"/>
  <c r="Y80" i="35" s="1"/>
  <c r="V85" i="35"/>
  <c r="V87" i="35"/>
  <c r="M74" i="35"/>
  <c r="S53" i="2" s="1"/>
  <c r="E53" i="2" s="1"/>
  <c r="T75" i="35"/>
  <c r="Y75" i="35" s="1"/>
  <c r="V75" i="35"/>
  <c r="U74" i="35"/>
  <c r="W74" i="35"/>
  <c r="Y74" i="35" s="1"/>
  <c r="N68" i="35"/>
  <c r="W63" i="35"/>
  <c r="T63" i="35"/>
  <c r="W67" i="35"/>
  <c r="U85" i="35"/>
  <c r="Y85" i="35" s="1"/>
  <c r="R87" i="35"/>
  <c r="R74" i="33"/>
  <c r="Y74" i="33" s="1"/>
  <c r="U86" i="33"/>
  <c r="T75" i="33"/>
  <c r="Y75" i="33" s="1"/>
  <c r="X75" i="33"/>
  <c r="L81" i="33"/>
  <c r="R65" i="2" s="1"/>
  <c r="D65" i="2" s="1"/>
  <c r="T74" i="33"/>
  <c r="V74" i="33"/>
  <c r="R83" i="33"/>
  <c r="W83" i="33"/>
  <c r="W81" i="33"/>
  <c r="U81" i="33"/>
  <c r="R88" i="33"/>
  <c r="S86" i="33"/>
  <c r="S75" i="33"/>
  <c r="W75" i="33"/>
  <c r="U74" i="33"/>
  <c r="V83" i="33"/>
  <c r="S81" i="33"/>
  <c r="AR75" i="1"/>
  <c r="AS75" i="1"/>
  <c r="W72" i="31"/>
  <c r="S79" i="31"/>
  <c r="R77" i="31"/>
  <c r="Y77" i="31" s="1"/>
  <c r="S72" i="31"/>
  <c r="U71" i="31"/>
  <c r="V71" i="31"/>
  <c r="V86" i="31"/>
  <c r="U84" i="31"/>
  <c r="V84" i="31"/>
  <c r="G51" i="2"/>
  <c r="W91" i="31"/>
  <c r="R89" i="31"/>
  <c r="U79" i="31"/>
  <c r="X79" i="31"/>
  <c r="M77" i="31"/>
  <c r="S38" i="2" s="1"/>
  <c r="E38" i="2" s="1"/>
  <c r="X77" i="31"/>
  <c r="W67" i="31"/>
  <c r="V72" i="31"/>
  <c r="R71" i="31"/>
  <c r="Y71" i="31" s="1"/>
  <c r="R86" i="31"/>
  <c r="T84" i="31"/>
  <c r="Y84" i="31" s="1"/>
  <c r="U91" i="31"/>
  <c r="W79" i="31"/>
  <c r="Y79" i="31" s="1"/>
  <c r="F62" i="21"/>
  <c r="W72" i="21"/>
  <c r="R72" i="21"/>
  <c r="V79" i="21"/>
  <c r="Y81" i="21"/>
  <c r="S86" i="21"/>
  <c r="W86" i="21"/>
  <c r="T72" i="21"/>
  <c r="V72" i="21"/>
  <c r="W79" i="21"/>
  <c r="T86" i="21"/>
  <c r="T74" i="21"/>
  <c r="R79" i="21"/>
  <c r="X86" i="21"/>
  <c r="R75" i="24"/>
  <c r="W70" i="24"/>
  <c r="S75" i="24"/>
  <c r="V65" i="24"/>
  <c r="Y65" i="24" s="1"/>
  <c r="X65" i="24"/>
  <c r="T70" i="24"/>
  <c r="T83" i="24"/>
  <c r="W88" i="24"/>
  <c r="M83" i="24"/>
  <c r="U75" i="24"/>
  <c r="S65" i="24"/>
  <c r="R81" i="24"/>
  <c r="V83" i="24"/>
  <c r="S76" i="24"/>
  <c r="M74" i="27"/>
  <c r="S48" i="2" s="1"/>
  <c r="K72" i="1" s="1"/>
  <c r="AH72" i="1" s="1"/>
  <c r="M81" i="27"/>
  <c r="N68" i="27"/>
  <c r="U68" i="27"/>
  <c r="T68" i="27"/>
  <c r="Y68" i="27" s="1"/>
  <c r="U63" i="27"/>
  <c r="R70" i="27"/>
  <c r="T79" i="27"/>
  <c r="Y79" i="27" s="1"/>
  <c r="R81" i="27"/>
  <c r="Y81" i="27" s="1"/>
  <c r="R86" i="27"/>
  <c r="X86" i="27"/>
  <c r="U74" i="27"/>
  <c r="X74" i="27"/>
  <c r="T74" i="27"/>
  <c r="Y74" i="27" s="1"/>
  <c r="S79" i="27"/>
  <c r="S81" i="27"/>
  <c r="V86" i="27"/>
  <c r="L86" i="27" s="1"/>
  <c r="W74" i="27"/>
  <c r="Y80" i="19"/>
  <c r="W72" i="19"/>
  <c r="U80" i="19"/>
  <c r="W85" i="19"/>
  <c r="Y74" i="19"/>
  <c r="R73" i="19"/>
  <c r="R72" i="19"/>
  <c r="T72" i="19"/>
  <c r="U62" i="19"/>
  <c r="X80" i="19"/>
  <c r="W80" i="19"/>
  <c r="X85" i="19"/>
  <c r="U86" i="19"/>
  <c r="M73" i="19"/>
  <c r="S49" i="2" s="1"/>
  <c r="S73" i="19"/>
  <c r="Y73" i="19" s="1"/>
  <c r="M80" i="19"/>
  <c r="R66" i="19"/>
  <c r="S80" i="19"/>
  <c r="U85" i="19"/>
  <c r="W73" i="19"/>
  <c r="F62" i="19"/>
  <c r="V72" i="19"/>
  <c r="T62" i="19"/>
  <c r="R69" i="19"/>
  <c r="U81" i="19"/>
  <c r="R85" i="19"/>
  <c r="U73" i="19"/>
  <c r="Y76" i="29"/>
  <c r="W82" i="29"/>
  <c r="R77" i="29"/>
  <c r="R70" i="29"/>
  <c r="S70" i="29"/>
  <c r="Y70" i="29" s="1"/>
  <c r="R72" i="29"/>
  <c r="R82" i="29"/>
  <c r="U83" i="29"/>
  <c r="Y83" i="29" s="1"/>
  <c r="W83" i="29"/>
  <c r="V88" i="29"/>
  <c r="U76" i="29"/>
  <c r="W76" i="29"/>
  <c r="U77" i="29"/>
  <c r="V70" i="29"/>
  <c r="X82" i="29"/>
  <c r="S77" i="29"/>
  <c r="T70" i="29"/>
  <c r="V72" i="29"/>
  <c r="T82" i="29"/>
  <c r="V83" i="29"/>
  <c r="W88" i="29"/>
  <c r="Y88" i="29" s="1"/>
  <c r="Y89" i="29"/>
  <c r="X76" i="29"/>
  <c r="T77" i="29"/>
  <c r="M66" i="19"/>
  <c r="R81" i="19"/>
  <c r="Y81" i="19" s="1"/>
  <c r="W81" i="19"/>
  <c r="T79" i="19"/>
  <c r="V79" i="19"/>
  <c r="T84" i="19"/>
  <c r="V86" i="19"/>
  <c r="T66" i="19"/>
  <c r="V81" i="19"/>
  <c r="X79" i="19"/>
  <c r="X84" i="19"/>
  <c r="R86" i="19"/>
  <c r="R76" i="24"/>
  <c r="X76" i="24"/>
  <c r="M75" i="24"/>
  <c r="S34" i="2" s="1"/>
  <c r="S42" i="2" s="1"/>
  <c r="W75" i="24"/>
  <c r="T81" i="24"/>
  <c r="X81" i="24"/>
  <c r="W83" i="24"/>
  <c r="U83" i="24"/>
  <c r="T88" i="24"/>
  <c r="X88" i="24"/>
  <c r="U76" i="24"/>
  <c r="T76" i="24"/>
  <c r="M81" i="24"/>
  <c r="S74" i="2" s="1"/>
  <c r="E74" i="2" s="1"/>
  <c r="V75" i="24"/>
  <c r="V81" i="24"/>
  <c r="R83" i="24"/>
  <c r="V88" i="24"/>
  <c r="W76" i="24"/>
  <c r="R62" i="21"/>
  <c r="S78" i="21"/>
  <c r="V78" i="21"/>
  <c r="R84" i="21"/>
  <c r="R73" i="21"/>
  <c r="Y73" i="21" s="1"/>
  <c r="W78" i="21"/>
  <c r="T78" i="21"/>
  <c r="T79" i="21"/>
  <c r="U79" i="21"/>
  <c r="R85" i="21"/>
  <c r="W73" i="21"/>
  <c r="U73" i="21"/>
  <c r="S74" i="21"/>
  <c r="Y86" i="21"/>
  <c r="S73" i="21"/>
  <c r="W74" i="21"/>
  <c r="R74" i="21"/>
  <c r="S33" i="2"/>
  <c r="K59" i="1" s="1"/>
  <c r="AH59" i="1" s="1"/>
  <c r="U78" i="21"/>
  <c r="U74" i="21"/>
  <c r="G23" i="5"/>
  <c r="G31" i="5"/>
  <c r="I8" i="3"/>
  <c r="F33" i="5"/>
  <c r="F31" i="5"/>
  <c r="L8" i="4"/>
  <c r="E31" i="5"/>
  <c r="E28" i="5"/>
  <c r="E29" i="5"/>
  <c r="E33" i="5"/>
  <c r="D30" i="5"/>
  <c r="D33" i="5"/>
  <c r="D32" i="5"/>
  <c r="C34" i="5"/>
  <c r="W5" i="37"/>
  <c r="S5" i="37"/>
  <c r="V5" i="35"/>
  <c r="R5" i="35"/>
  <c r="U5" i="31"/>
  <c r="X5" i="33"/>
  <c r="T5" i="33"/>
  <c r="W5" i="29"/>
  <c r="S5" i="29"/>
  <c r="V5" i="19"/>
  <c r="R5" i="19"/>
  <c r="U5" i="27"/>
  <c r="X5" i="24"/>
  <c r="T5" i="24"/>
  <c r="W5" i="21"/>
  <c r="S5" i="21"/>
  <c r="V5" i="37"/>
  <c r="R5" i="37"/>
  <c r="U5" i="35"/>
  <c r="X5" i="31"/>
  <c r="T5" i="31"/>
  <c r="W5" i="33"/>
  <c r="S5" i="33"/>
  <c r="V5" i="29"/>
  <c r="R5" i="29"/>
  <c r="U5" i="19"/>
  <c r="X5" i="27"/>
  <c r="T5" i="27"/>
  <c r="W5" i="24"/>
  <c r="S5" i="24"/>
  <c r="V5" i="21"/>
  <c r="R5" i="21"/>
  <c r="U5" i="37"/>
  <c r="X5" i="35"/>
  <c r="T5" i="35"/>
  <c r="W5" i="31"/>
  <c r="S5" i="31"/>
  <c r="V5" i="33"/>
  <c r="R5" i="33"/>
  <c r="U5" i="29"/>
  <c r="X5" i="19"/>
  <c r="T5" i="19"/>
  <c r="W5" i="27"/>
  <c r="S5" i="27"/>
  <c r="V5" i="24"/>
  <c r="R5" i="24"/>
  <c r="U5" i="21"/>
  <c r="X5" i="37"/>
  <c r="T5" i="37"/>
  <c r="W5" i="35"/>
  <c r="S5" i="35"/>
  <c r="V5" i="31"/>
  <c r="R5" i="31"/>
  <c r="U5" i="33"/>
  <c r="X5" i="29"/>
  <c r="T5" i="29"/>
  <c r="W5" i="19"/>
  <c r="S5" i="19"/>
  <c r="V5" i="27"/>
  <c r="R5" i="27"/>
  <c r="U5" i="24"/>
  <c r="L65" i="24" s="1"/>
  <c r="X5" i="21"/>
  <c r="T5" i="21"/>
  <c r="R66" i="21"/>
  <c r="W66" i="21"/>
  <c r="X67" i="27"/>
  <c r="M67" i="27"/>
  <c r="V66" i="37"/>
  <c r="T66" i="37"/>
  <c r="X66" i="21"/>
  <c r="T67" i="27"/>
  <c r="V74" i="31"/>
  <c r="T74" i="31"/>
  <c r="R74" i="31"/>
  <c r="W74" i="31"/>
  <c r="S72" i="24"/>
  <c r="V72" i="24"/>
  <c r="W72" i="24"/>
  <c r="N67" i="21"/>
  <c r="M64" i="33"/>
  <c r="S62" i="21"/>
  <c r="T64" i="33"/>
  <c r="V64" i="33"/>
  <c r="X62" i="37"/>
  <c r="U66" i="21"/>
  <c r="T68" i="33"/>
  <c r="U67" i="27"/>
  <c r="L71" i="31"/>
  <c r="V69" i="29"/>
  <c r="W66" i="37"/>
  <c r="X72" i="24"/>
  <c r="T71" i="33"/>
  <c r="U71" i="33"/>
  <c r="V71" i="33"/>
  <c r="W71" i="33"/>
  <c r="U70" i="27"/>
  <c r="V70" i="27"/>
  <c r="M66" i="21"/>
  <c r="U72" i="31"/>
  <c r="R72" i="31"/>
  <c r="W67" i="21"/>
  <c r="U67" i="21"/>
  <c r="X62" i="19"/>
  <c r="V62" i="19"/>
  <c r="S66" i="21"/>
  <c r="Y66" i="21" s="1"/>
  <c r="V66" i="21"/>
  <c r="V67" i="27"/>
  <c r="S67" i="27"/>
  <c r="R72" i="24"/>
  <c r="U74" i="31"/>
  <c r="Y64" i="35"/>
  <c r="Y62" i="37"/>
  <c r="R69" i="33"/>
  <c r="W69" i="33"/>
  <c r="T69" i="33"/>
  <c r="N69" i="33"/>
  <c r="R67" i="19"/>
  <c r="S67" i="19"/>
  <c r="U67" i="19"/>
  <c r="W67" i="19"/>
  <c r="N67" i="19"/>
  <c r="S68" i="33"/>
  <c r="M68" i="33"/>
  <c r="V68" i="33"/>
  <c r="X68" i="33"/>
  <c r="Y63" i="35"/>
  <c r="V69" i="33"/>
  <c r="X67" i="19"/>
  <c r="T63" i="27"/>
  <c r="X63" i="27"/>
  <c r="W63" i="27"/>
  <c r="R63" i="27"/>
  <c r="X70" i="24"/>
  <c r="S70" i="24"/>
  <c r="R70" i="24"/>
  <c r="U65" i="29"/>
  <c r="X65" i="29"/>
  <c r="W65" i="29"/>
  <c r="V68" i="35"/>
  <c r="T68" i="35"/>
  <c r="R68" i="35"/>
  <c r="X68" i="35"/>
  <c r="W68" i="33"/>
  <c r="M64" i="37"/>
  <c r="S70" i="35"/>
  <c r="X70" i="35"/>
  <c r="U70" i="35"/>
  <c r="R70" i="35"/>
  <c r="Y68" i="31"/>
  <c r="W69" i="19"/>
  <c r="V69" i="19"/>
  <c r="S69" i="19"/>
  <c r="U69" i="19"/>
  <c r="X67" i="31"/>
  <c r="S67" i="31"/>
  <c r="T67" i="31"/>
  <c r="V67" i="31"/>
  <c r="S67" i="37"/>
  <c r="T67" i="37"/>
  <c r="V67" i="37"/>
  <c r="R67" i="37"/>
  <c r="N67" i="37"/>
  <c r="X62" i="21"/>
  <c r="V62" i="21"/>
  <c r="T62" i="21"/>
  <c r="S69" i="29"/>
  <c r="X69" i="29"/>
  <c r="W69" i="29"/>
  <c r="T69" i="29"/>
  <c r="R69" i="29"/>
  <c r="R66" i="37"/>
  <c r="S66" i="37"/>
  <c r="U66" i="37"/>
  <c r="X66" i="37"/>
  <c r="M66" i="37"/>
  <c r="U62" i="21"/>
  <c r="R67" i="31"/>
  <c r="X69" i="33"/>
  <c r="V67" i="19"/>
  <c r="X67" i="37"/>
  <c r="U68" i="33"/>
  <c r="V69" i="24"/>
  <c r="S69" i="24"/>
  <c r="R69" i="24"/>
  <c r="U66" i="19"/>
  <c r="S66" i="19"/>
  <c r="W66" i="19"/>
  <c r="V66" i="19"/>
  <c r="X69" i="37"/>
  <c r="U69" i="37"/>
  <c r="T69" i="37"/>
  <c r="S69" i="37"/>
  <c r="Y65" i="33"/>
  <c r="W72" i="29"/>
  <c r="T72" i="29"/>
  <c r="U72" i="29"/>
  <c r="S69" i="21"/>
  <c r="X69" i="21"/>
  <c r="V69" i="21"/>
  <c r="Y63" i="37"/>
  <c r="F22" i="24"/>
  <c r="F35" i="33"/>
  <c r="F37" i="29"/>
  <c r="F19" i="27"/>
  <c r="F25" i="27"/>
  <c r="F45" i="24"/>
  <c r="F32" i="24"/>
  <c r="F18" i="37"/>
  <c r="F20" i="37"/>
  <c r="F23" i="37"/>
  <c r="F25" i="37"/>
  <c r="F27" i="37"/>
  <c r="F29" i="37"/>
  <c r="F31" i="37"/>
  <c r="F33" i="37"/>
  <c r="F35" i="37"/>
  <c r="F41" i="37"/>
  <c r="F43" i="37"/>
  <c r="F17" i="35"/>
  <c r="F19" i="35"/>
  <c r="F23" i="35"/>
  <c r="F25" i="35"/>
  <c r="F28" i="35"/>
  <c r="F22" i="35"/>
  <c r="F32" i="35"/>
  <c r="F34" i="35"/>
  <c r="F36" i="35"/>
  <c r="F38" i="35"/>
  <c r="F44" i="35"/>
  <c r="F46" i="35"/>
  <c r="F18" i="33"/>
  <c r="F21" i="33"/>
  <c r="F23" i="33"/>
  <c r="F25" i="33"/>
  <c r="F27" i="33"/>
  <c r="F29" i="33"/>
  <c r="F32" i="33"/>
  <c r="F34" i="33"/>
  <c r="F36" i="33"/>
  <c r="F38" i="33"/>
  <c r="F44" i="33"/>
  <c r="F46" i="33"/>
  <c r="F18" i="31"/>
  <c r="F20" i="31"/>
  <c r="F22" i="31"/>
  <c r="F24" i="31"/>
  <c r="F26" i="31"/>
  <c r="F28" i="31"/>
  <c r="F31" i="31"/>
  <c r="F33" i="31"/>
  <c r="F35" i="31"/>
  <c r="F37" i="31"/>
  <c r="F18" i="29"/>
  <c r="F20" i="29"/>
  <c r="F22" i="29"/>
  <c r="F24" i="29"/>
  <c r="F31" i="21"/>
  <c r="F31" i="19"/>
  <c r="F30" i="31"/>
  <c r="F46" i="27"/>
  <c r="F34" i="37"/>
  <c r="F17" i="33"/>
  <c r="F26" i="33"/>
  <c r="F19" i="31"/>
  <c r="F25" i="31"/>
  <c r="F36" i="31"/>
  <c r="F27" i="29"/>
  <c r="F29" i="29"/>
  <c r="F36" i="29"/>
  <c r="F42" i="29"/>
  <c r="F21" i="19"/>
  <c r="F34" i="19"/>
  <c r="F18" i="24"/>
  <c r="F27" i="24"/>
  <c r="F36" i="24"/>
  <c r="F46" i="21"/>
  <c r="C35" i="5"/>
  <c r="K8" i="4"/>
  <c r="G27" i="5"/>
  <c r="D125" i="2"/>
  <c r="X136" i="1"/>
  <c r="Z136" i="1"/>
  <c r="K39" i="21"/>
  <c r="G41" i="37"/>
  <c r="K41" i="37" s="1"/>
  <c r="M78" i="21"/>
  <c r="S73" i="2" s="1"/>
  <c r="K92" i="1" s="1"/>
  <c r="AH92" i="1" s="1"/>
  <c r="M83" i="31"/>
  <c r="S78" i="2" s="1"/>
  <c r="K97" i="1" s="1"/>
  <c r="AH97" i="1" s="1"/>
  <c r="M80" i="33"/>
  <c r="S79" i="2" s="1"/>
  <c r="K98" i="1" s="1"/>
  <c r="AH98" i="1" s="1"/>
  <c r="AZ98" i="1" s="1"/>
  <c r="M79" i="35"/>
  <c r="S80" i="2" s="1"/>
  <c r="E80" i="2" s="1"/>
  <c r="G52" i="37"/>
  <c r="K52" i="37" s="1"/>
  <c r="G52" i="19"/>
  <c r="K52" i="19" s="1"/>
  <c r="N70" i="24"/>
  <c r="M69" i="29"/>
  <c r="M69" i="24"/>
  <c r="M62" i="21"/>
  <c r="M67" i="31"/>
  <c r="G35" i="24"/>
  <c r="K35" i="24" s="1"/>
  <c r="F31" i="24"/>
  <c r="F30" i="27"/>
  <c r="F30" i="29"/>
  <c r="F31" i="35"/>
  <c r="F47" i="24"/>
  <c r="F47" i="27"/>
  <c r="F46" i="29"/>
  <c r="F47" i="35"/>
  <c r="G22" i="29"/>
  <c r="K22" i="29" s="1"/>
  <c r="G22" i="27"/>
  <c r="K22" i="27" s="1"/>
  <c r="G22" i="19"/>
  <c r="K22" i="19" s="1"/>
  <c r="G23" i="21"/>
  <c r="K23" i="21" s="1"/>
  <c r="G23" i="33"/>
  <c r="K23" i="33" s="1"/>
  <c r="G23" i="24"/>
  <c r="AL131" i="1"/>
  <c r="M82" i="29"/>
  <c r="S77" i="2" s="1"/>
  <c r="E77" i="2" s="1"/>
  <c r="M78" i="37"/>
  <c r="S81" i="2" s="1"/>
  <c r="G55" i="31"/>
  <c r="K55" i="31" s="1"/>
  <c r="G53" i="24"/>
  <c r="K53" i="24" s="1"/>
  <c r="N70" i="29"/>
  <c r="N72" i="31"/>
  <c r="M67" i="35"/>
  <c r="M63" i="27"/>
  <c r="N20" i="24"/>
  <c r="N26" i="24"/>
  <c r="G26" i="24"/>
  <c r="K26" i="24" s="1"/>
  <c r="G25" i="29"/>
  <c r="K25" i="29" s="1"/>
  <c r="R125" i="2"/>
  <c r="J136" i="1" s="1"/>
  <c r="G18" i="35"/>
  <c r="K18" i="35" s="1"/>
  <c r="G18" i="29"/>
  <c r="K18" i="29" s="1"/>
  <c r="G18" i="27"/>
  <c r="K18" i="27" s="1"/>
  <c r="G30" i="21"/>
  <c r="K30" i="21" s="1"/>
  <c r="G35" i="29"/>
  <c r="K35" i="29" s="1"/>
  <c r="G36" i="33"/>
  <c r="K36" i="33" s="1"/>
  <c r="F26" i="29"/>
  <c r="F28" i="29"/>
  <c r="F31" i="29"/>
  <c r="F33" i="29"/>
  <c r="F35" i="29"/>
  <c r="F43" i="29"/>
  <c r="F45" i="29"/>
  <c r="F18" i="19"/>
  <c r="F20" i="19"/>
  <c r="F22" i="19"/>
  <c r="F24" i="19"/>
  <c r="F26" i="19"/>
  <c r="F28" i="19"/>
  <c r="F30" i="19"/>
  <c r="F33" i="19"/>
  <c r="F35" i="19"/>
  <c r="F42" i="19"/>
  <c r="F44" i="19"/>
  <c r="F17" i="27"/>
  <c r="F21" i="27"/>
  <c r="F23" i="27"/>
  <c r="F27" i="27"/>
  <c r="F29" i="27"/>
  <c r="F32" i="27"/>
  <c r="F34" i="27"/>
  <c r="F36" i="27"/>
  <c r="F42" i="27"/>
  <c r="F44" i="27"/>
  <c r="F17" i="24"/>
  <c r="F20" i="24"/>
  <c r="F24" i="24"/>
  <c r="F26" i="24"/>
  <c r="F28" i="24"/>
  <c r="F30" i="24"/>
  <c r="F33" i="24"/>
  <c r="F35" i="24"/>
  <c r="F37" i="24"/>
  <c r="F43" i="24"/>
  <c r="F17" i="21"/>
  <c r="F31" i="33"/>
  <c r="H33" i="5"/>
  <c r="H58" i="42"/>
  <c r="E49" i="42"/>
  <c r="E58" i="6" s="1"/>
  <c r="E65" i="42"/>
  <c r="F67" i="42"/>
  <c r="F42" i="6" s="1"/>
  <c r="F44" i="6" s="1"/>
  <c r="G67" i="42"/>
  <c r="E7" i="2"/>
  <c r="L7" i="2"/>
  <c r="L134" i="2" s="1"/>
  <c r="E40" i="2"/>
  <c r="K66" i="1"/>
  <c r="AH66" i="1" s="1"/>
  <c r="K94" i="1"/>
  <c r="AH94" i="1" s="1"/>
  <c r="E75" i="2"/>
  <c r="L9" i="2"/>
  <c r="L136" i="2" s="1"/>
  <c r="E9" i="2"/>
  <c r="K96" i="1"/>
  <c r="AH96" i="1" s="1"/>
  <c r="AZ96" i="1" s="1"/>
  <c r="E33" i="2"/>
  <c r="E5" i="2"/>
  <c r="M58" i="21"/>
  <c r="L5" i="2"/>
  <c r="L132" i="2" s="1"/>
  <c r="Q44" i="1"/>
  <c r="P44" i="1"/>
  <c r="N33" i="24"/>
  <c r="N23" i="24"/>
  <c r="N18" i="24"/>
  <c r="G24" i="5"/>
  <c r="F24" i="5"/>
  <c r="H24" i="5"/>
  <c r="G28" i="5"/>
  <c r="H28" i="5"/>
  <c r="F28" i="5"/>
  <c r="F32" i="5"/>
  <c r="G32" i="5"/>
  <c r="H32" i="5"/>
  <c r="G47" i="35"/>
  <c r="K47" i="35" s="1"/>
  <c r="G46" i="29"/>
  <c r="K46" i="29" s="1"/>
  <c r="G47" i="33"/>
  <c r="K47" i="33" s="1"/>
  <c r="E126" i="2"/>
  <c r="L126" i="2"/>
  <c r="M76" i="37"/>
  <c r="S126" i="2"/>
  <c r="K137" i="1" s="1"/>
  <c r="O85" i="37"/>
  <c r="G43" i="19"/>
  <c r="K43" i="19" s="1"/>
  <c r="G43" i="29"/>
  <c r="K43" i="29" s="1"/>
  <c r="G44" i="21"/>
  <c r="K44" i="21" s="1"/>
  <c r="G44" i="24"/>
  <c r="K44" i="24" s="1"/>
  <c r="G85" i="37"/>
  <c r="K85" i="37" s="1"/>
  <c r="G89" i="29"/>
  <c r="K89" i="29" s="1"/>
  <c r="G85" i="21"/>
  <c r="K85" i="21" s="1"/>
  <c r="G85" i="19"/>
  <c r="K85" i="19" s="1"/>
  <c r="G86" i="27"/>
  <c r="K86" i="27" s="1"/>
  <c r="N53" i="24"/>
  <c r="N28" i="24"/>
  <c r="O20" i="24"/>
  <c r="O25" i="24"/>
  <c r="G86" i="35"/>
  <c r="K86" i="35" s="1"/>
  <c r="G44" i="33"/>
  <c r="K44" i="33" s="1"/>
  <c r="F26" i="5"/>
  <c r="H26" i="5"/>
  <c r="H30" i="5"/>
  <c r="L124" i="2"/>
  <c r="S124" i="2"/>
  <c r="K135" i="1" s="1"/>
  <c r="M75" i="33"/>
  <c r="S52" i="2" s="1"/>
  <c r="E52" i="2" s="1"/>
  <c r="E124" i="2"/>
  <c r="F24" i="21"/>
  <c r="F26" i="21"/>
  <c r="F30" i="21"/>
  <c r="F33" i="21"/>
  <c r="F35" i="21"/>
  <c r="F37" i="21"/>
  <c r="F43" i="21"/>
  <c r="F45" i="21"/>
  <c r="X132" i="1"/>
  <c r="AD132" i="1"/>
  <c r="AL135" i="1"/>
  <c r="F21" i="21"/>
  <c r="F23" i="21"/>
  <c r="F25" i="21"/>
  <c r="F27" i="21"/>
  <c r="F29" i="21"/>
  <c r="F32" i="21"/>
  <c r="F34" i="21"/>
  <c r="F36" i="21"/>
  <c r="F38" i="21"/>
  <c r="F44" i="21"/>
  <c r="T127" i="1"/>
  <c r="BD127" i="1" s="1"/>
  <c r="N127" i="1"/>
  <c r="AX127" i="1" s="1"/>
  <c r="O127" i="1"/>
  <c r="AY127" i="1" s="1"/>
  <c r="AD133" i="1"/>
  <c r="BE133" i="1" s="1"/>
  <c r="K11" i="15" s="1"/>
  <c r="W133" i="1"/>
  <c r="AX133" i="1" s="1"/>
  <c r="C11" i="15" s="1"/>
  <c r="Z133" i="1"/>
  <c r="BA133" i="1" s="1"/>
  <c r="F11" i="15" s="1"/>
  <c r="W131" i="1"/>
  <c r="X131" i="1"/>
  <c r="Y131" i="1"/>
  <c r="G24" i="35"/>
  <c r="K24" i="35" s="1"/>
  <c r="M90" i="29"/>
  <c r="E41" i="2"/>
  <c r="K67" i="1"/>
  <c r="AH67" i="1" s="1"/>
  <c r="E35" i="2"/>
  <c r="K61" i="1"/>
  <c r="AH61" i="1" s="1"/>
  <c r="K99" i="1"/>
  <c r="AH99" i="1" s="1"/>
  <c r="K62" i="1"/>
  <c r="AH62" i="1" s="1"/>
  <c r="K65" i="1"/>
  <c r="AH65" i="1" s="1"/>
  <c r="AZ65" i="1" s="1"/>
  <c r="E39" i="2"/>
  <c r="K63" i="1"/>
  <c r="AH63" i="1" s="1"/>
  <c r="AZ63" i="1" s="1"/>
  <c r="E37" i="2"/>
  <c r="F18" i="21"/>
  <c r="D19" i="21"/>
  <c r="F19" i="21" s="1"/>
  <c r="S12" i="2"/>
  <c r="M59" i="35" s="1"/>
  <c r="E78" i="2"/>
  <c r="P42" i="1"/>
  <c r="Q42" i="1"/>
  <c r="Q56" i="1"/>
  <c r="E48" i="2"/>
  <c r="P50" i="1"/>
  <c r="M59" i="27"/>
  <c r="E11" i="2"/>
  <c r="L11" i="2"/>
  <c r="L138" i="2" s="1"/>
  <c r="P54" i="1"/>
  <c r="AX128" i="1"/>
  <c r="AF131" i="1"/>
  <c r="AF130" i="1"/>
  <c r="AX130" i="1" s="1"/>
  <c r="Z131" i="1"/>
  <c r="G34" i="19"/>
  <c r="K34" i="19" s="1"/>
  <c r="G35" i="21"/>
  <c r="K35" i="21" s="1"/>
  <c r="G35" i="35"/>
  <c r="K35" i="35" s="1"/>
  <c r="G34" i="31"/>
  <c r="K34" i="31" s="1"/>
  <c r="G34" i="29"/>
  <c r="K34" i="29" s="1"/>
  <c r="G35" i="33"/>
  <c r="K35" i="33" s="1"/>
  <c r="G36" i="19"/>
  <c r="K36" i="19" s="1"/>
  <c r="G37" i="21"/>
  <c r="K37" i="21" s="1"/>
  <c r="N47" i="24"/>
  <c r="D11" i="15"/>
  <c r="N131" i="1"/>
  <c r="G26" i="35"/>
  <c r="K26" i="35" s="1"/>
  <c r="G29" i="19"/>
  <c r="K29" i="19" s="1"/>
  <c r="G29" i="27"/>
  <c r="K29" i="27" s="1"/>
  <c r="G30" i="24"/>
  <c r="K30" i="24" s="1"/>
  <c r="G30" i="33"/>
  <c r="K30" i="33" s="1"/>
  <c r="G30" i="35"/>
  <c r="K30" i="35" s="1"/>
  <c r="G29" i="31"/>
  <c r="K29" i="31" s="1"/>
  <c r="G29" i="29"/>
  <c r="K29" i="29" s="1"/>
  <c r="M60" i="33"/>
  <c r="AG128" i="1"/>
  <c r="AY128" i="1" s="1"/>
  <c r="AK128" i="1"/>
  <c r="BC128" i="1" s="1"/>
  <c r="AH128" i="1"/>
  <c r="AZ128" i="1" s="1"/>
  <c r="AL128" i="1"/>
  <c r="BD128" i="1" s="1"/>
  <c r="AI128" i="1"/>
  <c r="BA128" i="1" s="1"/>
  <c r="AJ128" i="1"/>
  <c r="BB128" i="1" s="1"/>
  <c r="AM128" i="1"/>
  <c r="BE128" i="1" s="1"/>
  <c r="AG130" i="1"/>
  <c r="AY130" i="1" s="1"/>
  <c r="D8" i="15" s="1"/>
  <c r="AK131" i="1"/>
  <c r="AH131" i="1"/>
  <c r="AM131" i="1"/>
  <c r="BE131" i="1" s="1"/>
  <c r="K9" i="15" s="1"/>
  <c r="AJ131" i="1"/>
  <c r="AI131" i="1"/>
  <c r="F17" i="37"/>
  <c r="F19" i="37"/>
  <c r="F22" i="37"/>
  <c r="F24" i="37"/>
  <c r="F26" i="37"/>
  <c r="F28" i="37"/>
  <c r="F30" i="37"/>
  <c r="F32" i="37"/>
  <c r="F36" i="37"/>
  <c r="F42" i="37"/>
  <c r="F44" i="37"/>
  <c r="F18" i="35"/>
  <c r="F20" i="35"/>
  <c r="F24" i="35"/>
  <c r="F27" i="35"/>
  <c r="F29" i="35"/>
  <c r="F30" i="35"/>
  <c r="F33" i="35"/>
  <c r="F35" i="35"/>
  <c r="F37" i="35"/>
  <c r="F43" i="35"/>
  <c r="F45" i="35"/>
  <c r="F20" i="33"/>
  <c r="F22" i="33"/>
  <c r="F24" i="33"/>
  <c r="F28" i="33"/>
  <c r="F30" i="33"/>
  <c r="F33" i="33"/>
  <c r="F37" i="33"/>
  <c r="F43" i="33"/>
  <c r="F45" i="33"/>
  <c r="F17" i="31"/>
  <c r="F21" i="31"/>
  <c r="F23" i="31"/>
  <c r="F27" i="31"/>
  <c r="F29" i="31"/>
  <c r="F32" i="31"/>
  <c r="F34" i="31"/>
  <c r="F17" i="29"/>
  <c r="F19" i="29"/>
  <c r="F21" i="29"/>
  <c r="F23" i="29"/>
  <c r="F25" i="29"/>
  <c r="F32" i="29"/>
  <c r="F34" i="29"/>
  <c r="F44" i="29"/>
  <c r="F17" i="19"/>
  <c r="F19" i="19"/>
  <c r="F23" i="19"/>
  <c r="F25" i="19"/>
  <c r="F27" i="19"/>
  <c r="F29" i="19"/>
  <c r="F32" i="19"/>
  <c r="F36" i="19"/>
  <c r="F43" i="19"/>
  <c r="F45" i="19"/>
  <c r="F18" i="27"/>
  <c r="F20" i="27"/>
  <c r="F22" i="27"/>
  <c r="F24" i="27"/>
  <c r="F26" i="27"/>
  <c r="F28" i="27"/>
  <c r="F31" i="27"/>
  <c r="F33" i="27"/>
  <c r="F35" i="27"/>
  <c r="F37" i="27"/>
  <c r="F43" i="27"/>
  <c r="F45" i="27"/>
  <c r="F21" i="24"/>
  <c r="F23" i="24"/>
  <c r="F25" i="24"/>
  <c r="F29" i="24"/>
  <c r="F34" i="24"/>
  <c r="F38" i="24"/>
  <c r="F44" i="24"/>
  <c r="F46" i="24"/>
  <c r="F20" i="21"/>
  <c r="F22" i="21"/>
  <c r="M61" i="29"/>
  <c r="AH132" i="1"/>
  <c r="AL132" i="1"/>
  <c r="AJ132" i="1"/>
  <c r="AK132" i="1"/>
  <c r="AG132" i="1"/>
  <c r="AI132" i="1"/>
  <c r="AM132" i="1"/>
  <c r="BE132" i="1" s="1"/>
  <c r="K10" i="15" s="1"/>
  <c r="P131" i="1"/>
  <c r="S131" i="1"/>
  <c r="O131" i="1"/>
  <c r="R131" i="1"/>
  <c r="Q131" i="1"/>
  <c r="T131" i="1"/>
  <c r="AA137" i="1"/>
  <c r="AH135" i="1"/>
  <c r="N74" i="37"/>
  <c r="AJ135" i="1"/>
  <c r="AD136" i="1"/>
  <c r="Y136" i="1"/>
  <c r="W136" i="1"/>
  <c r="K125" i="2"/>
  <c r="AB136" i="1"/>
  <c r="AA136" i="1"/>
  <c r="H27" i="5"/>
  <c r="S127" i="1"/>
  <c r="BC127" i="1" s="1"/>
  <c r="R127" i="1"/>
  <c r="BB127" i="1" s="1"/>
  <c r="Q127" i="1"/>
  <c r="BA127" i="1" s="1"/>
  <c r="Y133" i="1"/>
  <c r="AZ133" i="1" s="1"/>
  <c r="E11" i="15" s="1"/>
  <c r="AC133" i="1"/>
  <c r="BD133" i="1" s="1"/>
  <c r="J11" i="15" s="1"/>
  <c r="AA133" i="1"/>
  <c r="BB133" i="1" s="1"/>
  <c r="G11" i="15" s="1"/>
  <c r="AB133" i="1"/>
  <c r="BC133" i="1" s="1"/>
  <c r="I11" i="15" s="1"/>
  <c r="AA131" i="1"/>
  <c r="AB131" i="1"/>
  <c r="BA132" i="1"/>
  <c r="F10" i="15" s="1"/>
  <c r="F19" i="24"/>
  <c r="F26" i="35"/>
  <c r="F46" i="19"/>
  <c r="F47" i="29"/>
  <c r="F47" i="33"/>
  <c r="H25" i="5"/>
  <c r="H29" i="5"/>
  <c r="G29" i="5"/>
  <c r="Y132" i="1"/>
  <c r="AC132" i="1"/>
  <c r="AA132" i="1"/>
  <c r="M87" i="29"/>
  <c r="O86" i="24"/>
  <c r="AB132" i="1"/>
  <c r="M84" i="37"/>
  <c r="O91" i="31"/>
  <c r="H48" i="6"/>
  <c r="E51" i="6"/>
  <c r="E52" i="6" s="1"/>
  <c r="D51" i="6"/>
  <c r="C53" i="42"/>
  <c r="C57" i="6"/>
  <c r="H45" i="42"/>
  <c r="H57" i="42"/>
  <c r="H65" i="42" s="1"/>
  <c r="C67" i="42"/>
  <c r="C42" i="6" s="1"/>
  <c r="C44" i="6" s="1"/>
  <c r="C65" i="42"/>
  <c r="O22" i="24"/>
  <c r="F28" i="21"/>
  <c r="Q30" i="1"/>
  <c r="T30" i="1"/>
  <c r="M58" i="19"/>
  <c r="L8" i="2"/>
  <c r="L135" i="2" s="1"/>
  <c r="H42" i="13"/>
  <c r="K95" i="1"/>
  <c r="AH95" i="1" s="1"/>
  <c r="L133" i="2"/>
  <c r="E34" i="2"/>
  <c r="K60" i="1"/>
  <c r="AH60" i="1" s="1"/>
  <c r="E6" i="2"/>
  <c r="M61" i="24"/>
  <c r="D52" i="6"/>
  <c r="H67" i="42"/>
  <c r="G42" i="6"/>
  <c r="G44" i="6" s="1"/>
  <c r="D44" i="6"/>
  <c r="D53" i="42"/>
  <c r="D57" i="6"/>
  <c r="H46" i="42"/>
  <c r="H56" i="6"/>
  <c r="C59" i="6"/>
  <c r="C61" i="6" s="1"/>
  <c r="F53" i="42"/>
  <c r="F57" i="6"/>
  <c r="F59" i="6" s="1"/>
  <c r="F61" i="6" s="1"/>
  <c r="H49" i="42"/>
  <c r="F58" i="6"/>
  <c r="G53" i="42"/>
  <c r="G58" i="6"/>
  <c r="G59" i="6" s="1"/>
  <c r="G61" i="6" s="1"/>
  <c r="E57" i="6"/>
  <c r="E59" i="6" s="1"/>
  <c r="E53" i="42"/>
  <c r="H49" i="6"/>
  <c r="H50" i="6"/>
  <c r="G65" i="42"/>
  <c r="G42" i="13"/>
  <c r="E42" i="13"/>
  <c r="D42" i="13"/>
  <c r="AX168" i="1"/>
  <c r="D19" i="13" s="1"/>
  <c r="F42" i="13"/>
  <c r="BB168" i="1"/>
  <c r="H19" i="13" s="1"/>
  <c r="L32" i="15"/>
  <c r="N83" i="19"/>
  <c r="Y85" i="37"/>
  <c r="M85" i="33"/>
  <c r="O89" i="31"/>
  <c r="O85" i="27"/>
  <c r="M88" i="29"/>
  <c r="S84" i="37"/>
  <c r="Y84" i="37" s="1"/>
  <c r="V84" i="37"/>
  <c r="S84" i="19"/>
  <c r="W85" i="35"/>
  <c r="T85" i="35"/>
  <c r="X88" i="29"/>
  <c r="T88" i="29"/>
  <c r="T89" i="31"/>
  <c r="Y89" i="31" s="1"/>
  <c r="X89" i="31"/>
  <c r="T86" i="33"/>
  <c r="W85" i="21"/>
  <c r="T85" i="21"/>
  <c r="U87" i="24"/>
  <c r="W87" i="24"/>
  <c r="W85" i="27"/>
  <c r="S85" i="27"/>
  <c r="L89" i="29"/>
  <c r="N86" i="33"/>
  <c r="O84" i="19"/>
  <c r="M85" i="27"/>
  <c r="Y90" i="31"/>
  <c r="U84" i="19"/>
  <c r="R85" i="35"/>
  <c r="Y87" i="33"/>
  <c r="U89" i="31"/>
  <c r="V89" i="31"/>
  <c r="X86" i="33"/>
  <c r="V86" i="33"/>
  <c r="X85" i="21"/>
  <c r="U85" i="21"/>
  <c r="S87" i="24"/>
  <c r="X87" i="24"/>
  <c r="X85" i="27"/>
  <c r="R85" i="27"/>
  <c r="X83" i="37"/>
  <c r="R83" i="37"/>
  <c r="M83" i="37"/>
  <c r="T83" i="37"/>
  <c r="W83" i="37"/>
  <c r="U83" i="37"/>
  <c r="V83" i="37"/>
  <c r="R84" i="35"/>
  <c r="T84" i="35"/>
  <c r="X84" i="35"/>
  <c r="S84" i="35"/>
  <c r="W84" i="35"/>
  <c r="V84" i="35"/>
  <c r="U84" i="35"/>
  <c r="R85" i="33"/>
  <c r="X85" i="33"/>
  <c r="T85" i="33"/>
  <c r="W85" i="33"/>
  <c r="S85" i="33"/>
  <c r="U85" i="33"/>
  <c r="O85" i="33"/>
  <c r="U88" i="31"/>
  <c r="M88" i="31"/>
  <c r="X88" i="31"/>
  <c r="T88" i="31"/>
  <c r="W88" i="31"/>
  <c r="S88" i="31"/>
  <c r="V88" i="31"/>
  <c r="R88" i="31"/>
  <c r="V87" i="29"/>
  <c r="R87" i="29"/>
  <c r="U87" i="29"/>
  <c r="X87" i="29"/>
  <c r="T87" i="29"/>
  <c r="W87" i="29"/>
  <c r="S87" i="29"/>
  <c r="W83" i="19"/>
  <c r="S83" i="19"/>
  <c r="V83" i="19"/>
  <c r="R83" i="19"/>
  <c r="U83" i="19"/>
  <c r="X83" i="19"/>
  <c r="T83" i="19"/>
  <c r="X84" i="27"/>
  <c r="T84" i="27"/>
  <c r="W84" i="27"/>
  <c r="S84" i="27"/>
  <c r="V84" i="27"/>
  <c r="R84" i="27"/>
  <c r="U84" i="27"/>
  <c r="M84" i="27"/>
  <c r="X86" i="24"/>
  <c r="T86" i="24"/>
  <c r="W86" i="24"/>
  <c r="S86" i="24"/>
  <c r="V86" i="24"/>
  <c r="R86" i="24"/>
  <c r="U86" i="24"/>
  <c r="X84" i="21"/>
  <c r="T84" i="21"/>
  <c r="N84" i="21"/>
  <c r="W84" i="21"/>
  <c r="S84" i="21"/>
  <c r="U84" i="21"/>
  <c r="O84" i="21"/>
  <c r="Y86" i="35"/>
  <c r="L86" i="35"/>
  <c r="Y84" i="19"/>
  <c r="N90" i="29"/>
  <c r="N86" i="19"/>
  <c r="N88" i="33"/>
  <c r="O86" i="19"/>
  <c r="W88" i="33"/>
  <c r="R91" i="31"/>
  <c r="S91" i="31"/>
  <c r="T87" i="35"/>
  <c r="U87" i="35"/>
  <c r="S86" i="37"/>
  <c r="V90" i="29"/>
  <c r="W90" i="29"/>
  <c r="X86" i="19"/>
  <c r="W83" i="21"/>
  <c r="T83" i="21"/>
  <c r="L83" i="21" s="1"/>
  <c r="W87" i="27"/>
  <c r="S87" i="27"/>
  <c r="S89" i="24"/>
  <c r="Y89" i="24" s="1"/>
  <c r="U89" i="24"/>
  <c r="N87" i="35"/>
  <c r="M86" i="37"/>
  <c r="O87" i="27"/>
  <c r="S88" i="33"/>
  <c r="X88" i="33"/>
  <c r="T91" i="31"/>
  <c r="R86" i="37"/>
  <c r="W86" i="19"/>
  <c r="U87" i="27"/>
  <c r="T87" i="27"/>
  <c r="T89" i="24"/>
  <c r="O30" i="1"/>
  <c r="R30" i="1"/>
  <c r="AT30" i="1"/>
  <c r="AQ30" i="1"/>
  <c r="U30" i="1"/>
  <c r="S30" i="1"/>
  <c r="AR30" i="1"/>
  <c r="AU30" i="1"/>
  <c r="AV30" i="1"/>
  <c r="AS30" i="1"/>
  <c r="P30" i="1"/>
  <c r="AP30" i="1"/>
  <c r="AY168" i="1"/>
  <c r="E19" i="13" s="1"/>
  <c r="BA168" i="1"/>
  <c r="G19" i="13" s="1"/>
  <c r="BC168" i="1"/>
  <c r="J19" i="13" s="1"/>
  <c r="J65" i="13" s="1"/>
  <c r="AZ168" i="1"/>
  <c r="F19" i="13" s="1"/>
  <c r="BD168" i="1"/>
  <c r="K19" i="13" s="1"/>
  <c r="K65" i="13" s="1"/>
  <c r="BE168" i="1"/>
  <c r="L19" i="13" s="1"/>
  <c r="L65" i="13" s="1"/>
  <c r="O31" i="24"/>
  <c r="Y72" i="37" l="1"/>
  <c r="K77" i="1"/>
  <c r="AH77" i="1" s="1"/>
  <c r="Y67" i="35"/>
  <c r="Y66" i="35"/>
  <c r="L85" i="35"/>
  <c r="Y65" i="35"/>
  <c r="J87" i="1"/>
  <c r="Y68" i="33"/>
  <c r="L86" i="33"/>
  <c r="Y81" i="33"/>
  <c r="E79" i="2"/>
  <c r="L71" i="33"/>
  <c r="Y83" i="33"/>
  <c r="K64" i="1"/>
  <c r="AH64" i="1" s="1"/>
  <c r="Y86" i="31"/>
  <c r="Y72" i="21"/>
  <c r="Y78" i="21"/>
  <c r="Y81" i="24"/>
  <c r="Y83" i="24"/>
  <c r="Y87" i="24"/>
  <c r="K93" i="1"/>
  <c r="AH93" i="1" s="1"/>
  <c r="Y75" i="24"/>
  <c r="Y88" i="24"/>
  <c r="Y67" i="27"/>
  <c r="Y86" i="27"/>
  <c r="Y85" i="27"/>
  <c r="L70" i="27"/>
  <c r="Y62" i="19"/>
  <c r="Y85" i="19"/>
  <c r="Y72" i="19"/>
  <c r="E49" i="2"/>
  <c r="K73" i="1"/>
  <c r="AH73" i="1" s="1"/>
  <c r="L85" i="19"/>
  <c r="Y65" i="29"/>
  <c r="Y82" i="29"/>
  <c r="Y77" i="29"/>
  <c r="Y90" i="29"/>
  <c r="Y64" i="19"/>
  <c r="Y79" i="19"/>
  <c r="Y63" i="19"/>
  <c r="Y66" i="24"/>
  <c r="Y76" i="24"/>
  <c r="Y85" i="21"/>
  <c r="Y67" i="21"/>
  <c r="Y74" i="21"/>
  <c r="Y79" i="21"/>
  <c r="L79" i="31"/>
  <c r="L38" i="31"/>
  <c r="L54" i="31"/>
  <c r="L29" i="31"/>
  <c r="Q29" i="31" s="1"/>
  <c r="L10" i="31"/>
  <c r="P10" i="31" s="1"/>
  <c r="L43" i="31"/>
  <c r="L19" i="31"/>
  <c r="L48" i="31"/>
  <c r="L23" i="31"/>
  <c r="L60" i="31"/>
  <c r="L77" i="31"/>
  <c r="R38" i="2" s="1"/>
  <c r="L20" i="31"/>
  <c r="Q20" i="31" s="1"/>
  <c r="L13" i="31"/>
  <c r="P13" i="31" s="1"/>
  <c r="L12" i="31"/>
  <c r="P12" i="31" s="1"/>
  <c r="L46" i="31"/>
  <c r="L81" i="31"/>
  <c r="L73" i="31"/>
  <c r="L44" i="31"/>
  <c r="L21" i="31"/>
  <c r="Q21" i="31" s="1"/>
  <c r="L56" i="31"/>
  <c r="L31" i="31"/>
  <c r="L85" i="31"/>
  <c r="R92" i="2" s="1"/>
  <c r="L35" i="31"/>
  <c r="L7" i="31"/>
  <c r="L33" i="31"/>
  <c r="L45" i="31"/>
  <c r="L39" i="31"/>
  <c r="L37" i="31"/>
  <c r="L84" i="31"/>
  <c r="R64" i="2" s="1"/>
  <c r="L25" i="31"/>
  <c r="L36" i="31"/>
  <c r="L42" i="31"/>
  <c r="L47" i="31"/>
  <c r="L52" i="31"/>
  <c r="L80" i="31"/>
  <c r="L49" i="31"/>
  <c r="L86" i="31"/>
  <c r="L11" i="31"/>
  <c r="P11" i="31" s="1"/>
  <c r="L18" i="31"/>
  <c r="L57" i="31"/>
  <c r="L51" i="31"/>
  <c r="L30" i="31"/>
  <c r="L17" i="31"/>
  <c r="L28" i="31"/>
  <c r="L27" i="31"/>
  <c r="L78" i="31"/>
  <c r="L50" i="31"/>
  <c r="L83" i="31"/>
  <c r="R78" i="2" s="1"/>
  <c r="L26" i="31"/>
  <c r="L58" i="31"/>
  <c r="L24" i="31"/>
  <c r="Q24" i="31" s="1"/>
  <c r="L22" i="31"/>
  <c r="L34" i="31"/>
  <c r="L55" i="31"/>
  <c r="Q55" i="31" s="1"/>
  <c r="L32" i="31"/>
  <c r="L90" i="31"/>
  <c r="L80" i="29"/>
  <c r="L46" i="29"/>
  <c r="L78" i="29"/>
  <c r="L38" i="29"/>
  <c r="L49" i="29"/>
  <c r="L28" i="29"/>
  <c r="L7" i="29"/>
  <c r="L45" i="29"/>
  <c r="L12" i="29"/>
  <c r="P12" i="29" s="1"/>
  <c r="L44" i="29"/>
  <c r="L19" i="29"/>
  <c r="L77" i="29"/>
  <c r="L75" i="29"/>
  <c r="R37" i="2" s="1"/>
  <c r="L37" i="29"/>
  <c r="L20" i="29"/>
  <c r="L76" i="29"/>
  <c r="L54" i="29"/>
  <c r="L13" i="29"/>
  <c r="P13" i="29" s="1"/>
  <c r="L32" i="29"/>
  <c r="L58" i="29"/>
  <c r="L25" i="29"/>
  <c r="L42" i="29"/>
  <c r="L39" i="29"/>
  <c r="L35" i="29"/>
  <c r="Q35" i="29" s="1"/>
  <c r="L34" i="29"/>
  <c r="L30" i="29"/>
  <c r="L33" i="29"/>
  <c r="L71" i="29"/>
  <c r="L21" i="29"/>
  <c r="L36" i="29"/>
  <c r="L82" i="29"/>
  <c r="R77" i="2" s="1"/>
  <c r="L18" i="29"/>
  <c r="L17" i="29"/>
  <c r="L10" i="29"/>
  <c r="P10" i="29" s="1"/>
  <c r="L79" i="29"/>
  <c r="L84" i="29"/>
  <c r="L52" i="29"/>
  <c r="L29" i="29"/>
  <c r="Q29" i="29" s="1"/>
  <c r="L23" i="29"/>
  <c r="L85" i="29"/>
  <c r="L53" i="29"/>
  <c r="L31" i="29"/>
  <c r="L55" i="29"/>
  <c r="L48" i="29"/>
  <c r="L43" i="29"/>
  <c r="L26" i="29"/>
  <c r="L11" i="29"/>
  <c r="P11" i="29" s="1"/>
  <c r="L27" i="29"/>
  <c r="L22" i="29"/>
  <c r="L24" i="29"/>
  <c r="Q24" i="29" s="1"/>
  <c r="L83" i="29"/>
  <c r="R63" i="2" s="1"/>
  <c r="L56" i="29"/>
  <c r="L50" i="29"/>
  <c r="L70" i="29"/>
  <c r="L69" i="19"/>
  <c r="D34" i="5"/>
  <c r="D35" i="5" s="1"/>
  <c r="Q21" i="29"/>
  <c r="L9" i="4"/>
  <c r="D7" i="44"/>
  <c r="Q20" i="33"/>
  <c r="Q32" i="31"/>
  <c r="K9" i="4"/>
  <c r="C7" i="44"/>
  <c r="L62" i="37"/>
  <c r="L72" i="24"/>
  <c r="J42" i="1" s="1"/>
  <c r="AA42" i="1" s="1"/>
  <c r="L47" i="27"/>
  <c r="L30" i="27"/>
  <c r="L74" i="27"/>
  <c r="L55" i="27"/>
  <c r="L29" i="27"/>
  <c r="L10" i="27"/>
  <c r="P10" i="27" s="1"/>
  <c r="L46" i="27"/>
  <c r="L76" i="27"/>
  <c r="L80" i="27"/>
  <c r="R61" i="2" s="1"/>
  <c r="L44" i="27"/>
  <c r="L21" i="27"/>
  <c r="L53" i="27"/>
  <c r="L26" i="27"/>
  <c r="L52" i="27"/>
  <c r="L24" i="27"/>
  <c r="L56" i="27"/>
  <c r="L73" i="27"/>
  <c r="R35" i="2" s="1"/>
  <c r="L13" i="27"/>
  <c r="P13" i="27" s="1"/>
  <c r="L7" i="27"/>
  <c r="L38" i="27"/>
  <c r="L25" i="27"/>
  <c r="L37" i="27"/>
  <c r="L81" i="27"/>
  <c r="L19" i="27"/>
  <c r="L28" i="27"/>
  <c r="L27" i="27"/>
  <c r="L48" i="27"/>
  <c r="L69" i="27"/>
  <c r="J44" i="1" s="1"/>
  <c r="L17" i="27"/>
  <c r="L32" i="27"/>
  <c r="L43" i="27"/>
  <c r="L11" i="27"/>
  <c r="P11" i="27" s="1"/>
  <c r="L18" i="27"/>
  <c r="L49" i="27"/>
  <c r="L33" i="27"/>
  <c r="L77" i="27"/>
  <c r="L50" i="27"/>
  <c r="L82" i="27"/>
  <c r="L20" i="27"/>
  <c r="L36" i="27"/>
  <c r="L79" i="27"/>
  <c r="R75" i="2" s="1"/>
  <c r="L54" i="27"/>
  <c r="L35" i="27"/>
  <c r="L22" i="27"/>
  <c r="L75" i="27"/>
  <c r="L34" i="27"/>
  <c r="L45" i="27"/>
  <c r="L12" i="27"/>
  <c r="P12" i="27" s="1"/>
  <c r="L31" i="27"/>
  <c r="L42" i="27"/>
  <c r="L39" i="27"/>
  <c r="L23" i="27"/>
  <c r="L76" i="21"/>
  <c r="L74" i="21"/>
  <c r="L81" i="21"/>
  <c r="L40" i="21"/>
  <c r="L26" i="21"/>
  <c r="L48" i="21"/>
  <c r="L32" i="21"/>
  <c r="L20" i="21"/>
  <c r="Q20" i="21" s="1"/>
  <c r="L30" i="21"/>
  <c r="L28" i="21"/>
  <c r="L19" i="21"/>
  <c r="L29" i="21"/>
  <c r="L18" i="21"/>
  <c r="L11" i="21"/>
  <c r="L52" i="21"/>
  <c r="L23" i="21"/>
  <c r="L53" i="21"/>
  <c r="L10" i="21"/>
  <c r="P10" i="21" s="1"/>
  <c r="L54" i="21"/>
  <c r="L46" i="21"/>
  <c r="L21" i="21"/>
  <c r="L7" i="21"/>
  <c r="P7" i="21" s="1"/>
  <c r="L39" i="21"/>
  <c r="L43" i="21"/>
  <c r="L25" i="21"/>
  <c r="L38" i="21"/>
  <c r="L75" i="21"/>
  <c r="L31" i="21"/>
  <c r="L33" i="21"/>
  <c r="L68" i="21"/>
  <c r="L34" i="21"/>
  <c r="L24" i="21"/>
  <c r="L35" i="21"/>
  <c r="L27" i="21"/>
  <c r="L72" i="21"/>
  <c r="L55" i="21"/>
  <c r="L22" i="21"/>
  <c r="L51" i="21"/>
  <c r="L37" i="21"/>
  <c r="L73" i="21"/>
  <c r="L13" i="21"/>
  <c r="P13" i="21" s="1"/>
  <c r="L45" i="21"/>
  <c r="L17" i="21"/>
  <c r="L80" i="21"/>
  <c r="L44" i="21"/>
  <c r="L49" i="21"/>
  <c r="L47" i="21"/>
  <c r="L36" i="21"/>
  <c r="L78" i="21"/>
  <c r="R73" i="2" s="1"/>
  <c r="L12" i="21"/>
  <c r="P12" i="21" s="1"/>
  <c r="L79" i="21"/>
  <c r="R59" i="2" s="1"/>
  <c r="L74" i="35"/>
  <c r="L48" i="35"/>
  <c r="L73" i="35"/>
  <c r="R40" i="2" s="1"/>
  <c r="L46" i="35"/>
  <c r="L27" i="35"/>
  <c r="L79" i="35"/>
  <c r="R80" i="2" s="1"/>
  <c r="L35" i="35"/>
  <c r="L17" i="35"/>
  <c r="L29" i="35"/>
  <c r="L37" i="35"/>
  <c r="L44" i="35"/>
  <c r="L69" i="35"/>
  <c r="L23" i="35"/>
  <c r="L26" i="35"/>
  <c r="L75" i="35"/>
  <c r="L39" i="35"/>
  <c r="L56" i="35"/>
  <c r="L36" i="35"/>
  <c r="L18" i="35"/>
  <c r="L50" i="35"/>
  <c r="L25" i="35"/>
  <c r="L49" i="35"/>
  <c r="L7" i="35"/>
  <c r="L19" i="35"/>
  <c r="L24" i="35"/>
  <c r="Q24" i="35" s="1"/>
  <c r="L43" i="35"/>
  <c r="L31" i="35"/>
  <c r="L40" i="35"/>
  <c r="L55" i="35"/>
  <c r="L10" i="35"/>
  <c r="P10" i="35" s="1"/>
  <c r="L28" i="35"/>
  <c r="L53" i="35"/>
  <c r="L47" i="35"/>
  <c r="Q47" i="35" s="1"/>
  <c r="L77" i="35"/>
  <c r="L80" i="35"/>
  <c r="R66" i="2" s="1"/>
  <c r="L22" i="35"/>
  <c r="L30" i="35"/>
  <c r="Q30" i="35" s="1"/>
  <c r="L20" i="35"/>
  <c r="Q20" i="35" s="1"/>
  <c r="L34" i="35"/>
  <c r="L12" i="35"/>
  <c r="P12" i="35" s="1"/>
  <c r="L82" i="35"/>
  <c r="L45" i="35"/>
  <c r="L54" i="35"/>
  <c r="L52" i="35"/>
  <c r="L21" i="35"/>
  <c r="Q21" i="35" s="1"/>
  <c r="L13" i="35"/>
  <c r="P13" i="35" s="1"/>
  <c r="L32" i="35"/>
  <c r="L38" i="35"/>
  <c r="L33" i="35"/>
  <c r="Q33" i="35" s="1"/>
  <c r="L76" i="35"/>
  <c r="L11" i="35"/>
  <c r="P11" i="35" s="1"/>
  <c r="L81" i="35"/>
  <c r="L88" i="29"/>
  <c r="L84" i="19"/>
  <c r="Q53" i="27"/>
  <c r="Q34" i="27"/>
  <c r="L68" i="27"/>
  <c r="L47" i="33"/>
  <c r="L76" i="33"/>
  <c r="L87" i="33"/>
  <c r="L45" i="33"/>
  <c r="L22" i="33"/>
  <c r="L56" i="33"/>
  <c r="L29" i="33"/>
  <c r="L54" i="33"/>
  <c r="Q54" i="33" s="1"/>
  <c r="L28" i="33"/>
  <c r="L46" i="33"/>
  <c r="L57" i="33"/>
  <c r="L70" i="33"/>
  <c r="J52" i="1" s="1"/>
  <c r="L13" i="33"/>
  <c r="P13" i="33" s="1"/>
  <c r="L12" i="33"/>
  <c r="P12" i="33" s="1"/>
  <c r="L31" i="33"/>
  <c r="L78" i="33"/>
  <c r="L55" i="33"/>
  <c r="L30" i="33"/>
  <c r="L11" i="33"/>
  <c r="P11" i="33" s="1"/>
  <c r="L43" i="33"/>
  <c r="L19" i="33"/>
  <c r="L40" i="33"/>
  <c r="L17" i="33"/>
  <c r="L21" i="33"/>
  <c r="L32" i="33"/>
  <c r="L38" i="33"/>
  <c r="L37" i="33"/>
  <c r="L39" i="33"/>
  <c r="L26" i="33"/>
  <c r="L36" i="33"/>
  <c r="Q36" i="33" s="1"/>
  <c r="L34" i="33"/>
  <c r="L83" i="33"/>
  <c r="L27" i="33"/>
  <c r="L75" i="33"/>
  <c r="L50" i="33"/>
  <c r="L74" i="33"/>
  <c r="R39" i="2" s="1"/>
  <c r="L10" i="33"/>
  <c r="P10" i="33" s="1"/>
  <c r="L7" i="33"/>
  <c r="L20" i="33"/>
  <c r="L25" i="33"/>
  <c r="Q25" i="33" s="1"/>
  <c r="L82" i="33"/>
  <c r="L24" i="33"/>
  <c r="L44" i="33"/>
  <c r="L35" i="33"/>
  <c r="L48" i="33"/>
  <c r="L53" i="33"/>
  <c r="L18" i="33"/>
  <c r="L23" i="33"/>
  <c r="L51" i="33"/>
  <c r="L77" i="33"/>
  <c r="L49" i="33"/>
  <c r="L33" i="33"/>
  <c r="Q33" i="33" s="1"/>
  <c r="L75" i="19"/>
  <c r="L55" i="19"/>
  <c r="L35" i="19"/>
  <c r="L18" i="19"/>
  <c r="L73" i="19"/>
  <c r="L45" i="19"/>
  <c r="L22" i="19"/>
  <c r="L52" i="19"/>
  <c r="L25" i="19"/>
  <c r="L49" i="19"/>
  <c r="L24" i="19"/>
  <c r="L54" i="19"/>
  <c r="L72" i="19"/>
  <c r="R36" i="2" s="1"/>
  <c r="L48" i="19"/>
  <c r="L47" i="19"/>
  <c r="L31" i="19"/>
  <c r="L38" i="19"/>
  <c r="L39" i="19"/>
  <c r="L11" i="19"/>
  <c r="P11" i="19" s="1"/>
  <c r="L44" i="19"/>
  <c r="L20" i="19"/>
  <c r="L43" i="19"/>
  <c r="L19" i="19"/>
  <c r="L42" i="19"/>
  <c r="L53" i="19"/>
  <c r="L34" i="19"/>
  <c r="L33" i="19"/>
  <c r="L76" i="19"/>
  <c r="L80" i="19"/>
  <c r="L30" i="19"/>
  <c r="L81" i="19"/>
  <c r="L37" i="19"/>
  <c r="L12" i="19"/>
  <c r="P12" i="19" s="1"/>
  <c r="L36" i="19"/>
  <c r="L10" i="19"/>
  <c r="P10" i="19" s="1"/>
  <c r="L28" i="19"/>
  <c r="L27" i="19"/>
  <c r="L23" i="19"/>
  <c r="L21" i="19"/>
  <c r="L46" i="19"/>
  <c r="L74" i="19"/>
  <c r="L51" i="19"/>
  <c r="L26" i="19"/>
  <c r="L68" i="19"/>
  <c r="L32" i="19"/>
  <c r="Q32" i="19" s="1"/>
  <c r="L79" i="19"/>
  <c r="R62" i="2" s="1"/>
  <c r="L29" i="19"/>
  <c r="L78" i="19"/>
  <c r="R76" i="2" s="1"/>
  <c r="L17" i="19"/>
  <c r="L13" i="19"/>
  <c r="P13" i="19" s="1"/>
  <c r="L7" i="19"/>
  <c r="L63" i="35"/>
  <c r="Q52" i="21"/>
  <c r="Q29" i="37"/>
  <c r="L86" i="21"/>
  <c r="Q52" i="19"/>
  <c r="Q32" i="29"/>
  <c r="L62" i="21"/>
  <c r="L67" i="21"/>
  <c r="L47" i="24"/>
  <c r="L77" i="24"/>
  <c r="L19" i="24"/>
  <c r="L54" i="24"/>
  <c r="P54" i="24" s="1"/>
  <c r="L34" i="24"/>
  <c r="L13" i="24"/>
  <c r="P13" i="24" s="1"/>
  <c r="L53" i="24"/>
  <c r="P53" i="24" s="1"/>
  <c r="Q53" i="24" s="1"/>
  <c r="L27" i="24"/>
  <c r="L58" i="24"/>
  <c r="P58" i="24" s="1"/>
  <c r="L32" i="24"/>
  <c r="L81" i="24"/>
  <c r="R74" i="2" s="1"/>
  <c r="L18" i="24"/>
  <c r="L17" i="24"/>
  <c r="L10" i="24"/>
  <c r="P10" i="24" s="1"/>
  <c r="L76" i="24"/>
  <c r="L88" i="24"/>
  <c r="L44" i="24"/>
  <c r="L21" i="24"/>
  <c r="L46" i="24"/>
  <c r="L12" i="24"/>
  <c r="P12" i="24" s="1"/>
  <c r="L37" i="24"/>
  <c r="L56" i="24"/>
  <c r="P56" i="24" s="1"/>
  <c r="L40" i="24"/>
  <c r="P40" i="24" s="1"/>
  <c r="L24" i="24"/>
  <c r="L78" i="24"/>
  <c r="L84" i="24"/>
  <c r="L38" i="24"/>
  <c r="L7" i="24"/>
  <c r="L39" i="24"/>
  <c r="P39" i="24" s="1"/>
  <c r="L82" i="24"/>
  <c r="R60" i="2" s="1"/>
  <c r="L26" i="24"/>
  <c r="P26" i="24" s="1"/>
  <c r="Q26" i="24" s="1"/>
  <c r="L43" i="24"/>
  <c r="L28" i="24"/>
  <c r="L48" i="24"/>
  <c r="P48" i="24" s="1"/>
  <c r="L79" i="24"/>
  <c r="L75" i="24"/>
  <c r="R34" i="2" s="1"/>
  <c r="L29" i="24"/>
  <c r="L83" i="24"/>
  <c r="R88" i="2" s="1"/>
  <c r="L33" i="24"/>
  <c r="P33" i="24" s="1"/>
  <c r="Q33" i="24" s="1"/>
  <c r="L52" i="24"/>
  <c r="P52" i="24" s="1"/>
  <c r="L20" i="24"/>
  <c r="P20" i="24" s="1"/>
  <c r="Q20" i="24" s="1"/>
  <c r="L30" i="24"/>
  <c r="P30" i="24" s="1"/>
  <c r="Q30" i="24" s="1"/>
  <c r="L50" i="24"/>
  <c r="P50" i="24" s="1"/>
  <c r="L35" i="24"/>
  <c r="L31" i="24"/>
  <c r="L49" i="24"/>
  <c r="P49" i="24" s="1"/>
  <c r="L25" i="24"/>
  <c r="P25" i="24" s="1"/>
  <c r="Q25" i="24" s="1"/>
  <c r="L71" i="24"/>
  <c r="L22" i="24"/>
  <c r="P22" i="24" s="1"/>
  <c r="Q22" i="24" s="1"/>
  <c r="L45" i="24"/>
  <c r="L11" i="24"/>
  <c r="P11" i="24" s="1"/>
  <c r="L55" i="24"/>
  <c r="P55" i="24" s="1"/>
  <c r="L36" i="24"/>
  <c r="P36" i="24" s="1"/>
  <c r="Q36" i="24" s="1"/>
  <c r="L23" i="24"/>
  <c r="L73" i="37"/>
  <c r="R54" i="2" s="1"/>
  <c r="L81" i="37"/>
  <c r="L43" i="37"/>
  <c r="L25" i="37"/>
  <c r="L80" i="37"/>
  <c r="L42" i="37"/>
  <c r="L68" i="37"/>
  <c r="L27" i="37"/>
  <c r="L44" i="37"/>
  <c r="L12" i="37"/>
  <c r="P12" i="37" s="1"/>
  <c r="L31" i="37"/>
  <c r="Q31" i="37" s="1"/>
  <c r="L78" i="37"/>
  <c r="R81" i="2" s="1"/>
  <c r="L23" i="37"/>
  <c r="L76" i="37"/>
  <c r="L52" i="37"/>
  <c r="Q52" i="37" s="1"/>
  <c r="L33" i="37"/>
  <c r="L17" i="37"/>
  <c r="L51" i="37"/>
  <c r="L32" i="37"/>
  <c r="L45" i="37"/>
  <c r="L13" i="37"/>
  <c r="P13" i="37" s="1"/>
  <c r="L26" i="37"/>
  <c r="L49" i="37"/>
  <c r="L19" i="37"/>
  <c r="L38" i="37"/>
  <c r="L7" i="37"/>
  <c r="P7" i="37" s="1"/>
  <c r="L37" i="37"/>
  <c r="L55" i="37"/>
  <c r="L54" i="37"/>
  <c r="L34" i="37"/>
  <c r="L24" i="37"/>
  <c r="Q24" i="37" s="1"/>
  <c r="L18" i="37"/>
  <c r="L75" i="37"/>
  <c r="L72" i="37"/>
  <c r="R41" i="2" s="1"/>
  <c r="L21" i="37"/>
  <c r="L36" i="37"/>
  <c r="L22" i="37"/>
  <c r="L79" i="37"/>
  <c r="R67" i="2" s="1"/>
  <c r="L48" i="37"/>
  <c r="L29" i="37"/>
  <c r="L35" i="37"/>
  <c r="L11" i="37"/>
  <c r="P11" i="37" s="1"/>
  <c r="L74" i="37"/>
  <c r="L10" i="37"/>
  <c r="L53" i="37"/>
  <c r="L30" i="37"/>
  <c r="L85" i="37"/>
  <c r="L46" i="37"/>
  <c r="L20" i="37"/>
  <c r="L47" i="37"/>
  <c r="L28" i="37"/>
  <c r="L41" i="37"/>
  <c r="J8" i="3"/>
  <c r="H31" i="5"/>
  <c r="BA131" i="1"/>
  <c r="F9" i="15" s="1"/>
  <c r="AZ131" i="1"/>
  <c r="E9" i="15" s="1"/>
  <c r="Y72" i="29"/>
  <c r="Y72" i="31"/>
  <c r="L72" i="31"/>
  <c r="Y66" i="29"/>
  <c r="Y70" i="31"/>
  <c r="Y65" i="19"/>
  <c r="L64" i="33"/>
  <c r="Y74" i="31"/>
  <c r="L67" i="27"/>
  <c r="Y65" i="37"/>
  <c r="Y67" i="33"/>
  <c r="L74" i="31"/>
  <c r="J50" i="1" s="1"/>
  <c r="Y63" i="21"/>
  <c r="Y71" i="33"/>
  <c r="Y65" i="27"/>
  <c r="Y66" i="33"/>
  <c r="Y68" i="24"/>
  <c r="L66" i="21"/>
  <c r="Y70" i="27"/>
  <c r="Y62" i="21"/>
  <c r="L69" i="37"/>
  <c r="Y68" i="29"/>
  <c r="Y72" i="24"/>
  <c r="Y64" i="21"/>
  <c r="Y67" i="29"/>
  <c r="L62" i="19"/>
  <c r="L68" i="33"/>
  <c r="Y64" i="33"/>
  <c r="Y69" i="31"/>
  <c r="Y68" i="35"/>
  <c r="L68" i="35"/>
  <c r="Y69" i="19"/>
  <c r="Y64" i="27"/>
  <c r="Y69" i="24"/>
  <c r="L69" i="24"/>
  <c r="L65" i="37"/>
  <c r="Y66" i="37"/>
  <c r="L66" i="37"/>
  <c r="Y67" i="37"/>
  <c r="L67" i="37"/>
  <c r="Y70" i="35"/>
  <c r="L70" i="35"/>
  <c r="L64" i="37"/>
  <c r="Y64" i="37"/>
  <c r="L65" i="29"/>
  <c r="Y63" i="27"/>
  <c r="L63" i="27"/>
  <c r="L67" i="19"/>
  <c r="Y67" i="19"/>
  <c r="Y69" i="33"/>
  <c r="L69" i="33"/>
  <c r="L63" i="37"/>
  <c r="L72" i="29"/>
  <c r="J48" i="1" s="1"/>
  <c r="AA48" i="1" s="1"/>
  <c r="Y66" i="27"/>
  <c r="Y69" i="21"/>
  <c r="L69" i="21"/>
  <c r="L66" i="19"/>
  <c r="Y66" i="19"/>
  <c r="Y69" i="37"/>
  <c r="Y65" i="21"/>
  <c r="Y67" i="31"/>
  <c r="L67" i="31"/>
  <c r="Y67" i="24"/>
  <c r="Y69" i="29"/>
  <c r="L69" i="29"/>
  <c r="L70" i="24"/>
  <c r="Y70" i="24"/>
  <c r="Q21" i="27"/>
  <c r="Q29" i="19"/>
  <c r="Q33" i="21"/>
  <c r="M36" i="1"/>
  <c r="AT36" i="1" s="1"/>
  <c r="Q20" i="29"/>
  <c r="Q47" i="27"/>
  <c r="Q35" i="21"/>
  <c r="Q30" i="33"/>
  <c r="Q25" i="29"/>
  <c r="Q19" i="19"/>
  <c r="E61" i="6"/>
  <c r="O90" i="31"/>
  <c r="O85" i="21"/>
  <c r="O89" i="29"/>
  <c r="O87" i="33"/>
  <c r="O86" i="27"/>
  <c r="S82" i="2"/>
  <c r="E73" i="2"/>
  <c r="O88" i="24"/>
  <c r="U102" i="2" s="1"/>
  <c r="K100" i="1"/>
  <c r="AH100" i="1" s="1"/>
  <c r="E81" i="2"/>
  <c r="G28" i="21"/>
  <c r="K28" i="21" s="1"/>
  <c r="G27" i="31"/>
  <c r="K27" i="31" s="1"/>
  <c r="G28" i="24"/>
  <c r="K28" i="24" s="1"/>
  <c r="G28" i="35"/>
  <c r="K28" i="35" s="1"/>
  <c r="G27" i="37"/>
  <c r="K27" i="37" s="1"/>
  <c r="G27" i="29"/>
  <c r="K27" i="29" s="1"/>
  <c r="G28" i="33"/>
  <c r="K28" i="33" s="1"/>
  <c r="G27" i="27"/>
  <c r="K27" i="27" s="1"/>
  <c r="G27" i="19"/>
  <c r="K27" i="19" s="1"/>
  <c r="O90" i="29"/>
  <c r="M86" i="19"/>
  <c r="Q21" i="19"/>
  <c r="AJ134" i="1"/>
  <c r="AJ169" i="1" s="1"/>
  <c r="F124" i="2"/>
  <c r="Q46" i="29"/>
  <c r="Q29" i="27"/>
  <c r="Q26" i="35"/>
  <c r="K76" i="1"/>
  <c r="AH76" i="1" s="1"/>
  <c r="AZ76" i="1" s="1"/>
  <c r="Q53" i="35"/>
  <c r="Q53" i="29"/>
  <c r="O35" i="24"/>
  <c r="Q30" i="21"/>
  <c r="O85" i="19"/>
  <c r="O46" i="24"/>
  <c r="N86" i="31"/>
  <c r="N82" i="27"/>
  <c r="N81" i="21"/>
  <c r="N84" i="24"/>
  <c r="N81" i="37"/>
  <c r="N82" i="35"/>
  <c r="N85" i="29"/>
  <c r="N81" i="19"/>
  <c r="N83" i="33"/>
  <c r="M11" i="1"/>
  <c r="AQ11" i="1" s="1"/>
  <c r="Q22" i="19"/>
  <c r="Q22" i="31"/>
  <c r="Q22" i="27"/>
  <c r="O23" i="24"/>
  <c r="P23" i="24" s="1"/>
  <c r="Q23" i="21"/>
  <c r="N44" i="24"/>
  <c r="M88" i="33"/>
  <c r="M89" i="24"/>
  <c r="Q32" i="27"/>
  <c r="BB132" i="1"/>
  <c r="G10" i="15" s="1"/>
  <c r="AF135" i="1"/>
  <c r="BD131" i="1"/>
  <c r="J9" i="15" s="1"/>
  <c r="Q34" i="31"/>
  <c r="Q34" i="29"/>
  <c r="O86" i="35"/>
  <c r="N76" i="24"/>
  <c r="N73" i="19"/>
  <c r="N74" i="35"/>
  <c r="N75" i="33"/>
  <c r="N78" i="31"/>
  <c r="N73" i="21"/>
  <c r="N73" i="37"/>
  <c r="T54" i="2" s="1"/>
  <c r="N76" i="29"/>
  <c r="N74" i="27"/>
  <c r="G43" i="27"/>
  <c r="K43" i="27" s="1"/>
  <c r="G44" i="35"/>
  <c r="K44" i="35" s="1"/>
  <c r="G43" i="31"/>
  <c r="K43" i="31" s="1"/>
  <c r="G42" i="37"/>
  <c r="K42" i="37" s="1"/>
  <c r="G90" i="31"/>
  <c r="K90" i="31" s="1"/>
  <c r="G87" i="33"/>
  <c r="K87" i="33" s="1"/>
  <c r="G88" i="24"/>
  <c r="K88" i="24" s="1"/>
  <c r="Q27" i="37"/>
  <c r="O28" i="24"/>
  <c r="Q18" i="37"/>
  <c r="Q18" i="27"/>
  <c r="Q18" i="21"/>
  <c r="O18" i="24"/>
  <c r="P18" i="24" s="1"/>
  <c r="Q18" i="24" s="1"/>
  <c r="I23" i="1"/>
  <c r="P23" i="1" s="1"/>
  <c r="N83" i="21"/>
  <c r="T101" i="2" s="1"/>
  <c r="N87" i="29"/>
  <c r="N83" i="37"/>
  <c r="N85" i="33"/>
  <c r="N84" i="27"/>
  <c r="Q25" i="21"/>
  <c r="N84" i="35"/>
  <c r="M84" i="19"/>
  <c r="M16" i="1"/>
  <c r="AR16" i="1" s="1"/>
  <c r="N31" i="24"/>
  <c r="O87" i="29"/>
  <c r="O88" i="31"/>
  <c r="U106" i="2" s="1"/>
  <c r="L36" i="41"/>
  <c r="BC131" i="1"/>
  <c r="I9" i="15" s="1"/>
  <c r="AY132" i="1"/>
  <c r="D10" i="15" s="1"/>
  <c r="I13" i="1"/>
  <c r="U13" i="1" s="1"/>
  <c r="Q26" i="21"/>
  <c r="M23" i="1"/>
  <c r="AO23" i="1" s="1"/>
  <c r="M25" i="1"/>
  <c r="AU25" i="1" s="1"/>
  <c r="I25" i="1"/>
  <c r="P25" i="1" s="1"/>
  <c r="G45" i="19"/>
  <c r="K45" i="19" s="1"/>
  <c r="G46" i="35"/>
  <c r="K46" i="35" s="1"/>
  <c r="G46" i="33"/>
  <c r="K46" i="33" s="1"/>
  <c r="G45" i="31"/>
  <c r="K45" i="31" s="1"/>
  <c r="Q45" i="31" s="1"/>
  <c r="G44" i="37"/>
  <c r="K44" i="37" s="1"/>
  <c r="G46" i="21"/>
  <c r="K46" i="21" s="1"/>
  <c r="Q46" i="21" s="1"/>
  <c r="G45" i="29"/>
  <c r="K45" i="29" s="1"/>
  <c r="G46" i="24"/>
  <c r="K46" i="24" s="1"/>
  <c r="G46" i="27"/>
  <c r="K46" i="27" s="1"/>
  <c r="Q46" i="27" s="1"/>
  <c r="G80" i="19"/>
  <c r="K80" i="19" s="1"/>
  <c r="G80" i="37"/>
  <c r="K80" i="37" s="1"/>
  <c r="G82" i="33"/>
  <c r="K82" i="33" s="1"/>
  <c r="G80" i="21"/>
  <c r="K80" i="21" s="1"/>
  <c r="G81" i="35"/>
  <c r="K81" i="35" s="1"/>
  <c r="G84" i="29"/>
  <c r="K84" i="29" s="1"/>
  <c r="G85" i="31"/>
  <c r="K85" i="31" s="1"/>
  <c r="G81" i="27"/>
  <c r="K81" i="27" s="1"/>
  <c r="G83" i="24"/>
  <c r="K83" i="24" s="1"/>
  <c r="X137" i="1"/>
  <c r="D126" i="2"/>
  <c r="AD137" i="1"/>
  <c r="R126" i="2"/>
  <c r="J137" i="1" s="1"/>
  <c r="W137" i="1"/>
  <c r="AB137" i="1"/>
  <c r="Z137" i="1"/>
  <c r="K126" i="2"/>
  <c r="Y137" i="1"/>
  <c r="AC137" i="1"/>
  <c r="O69" i="35"/>
  <c r="O71" i="29"/>
  <c r="O71" i="24"/>
  <c r="O68" i="37"/>
  <c r="O70" i="33"/>
  <c r="O69" i="27"/>
  <c r="O73" i="31"/>
  <c r="O68" i="21"/>
  <c r="O68" i="19"/>
  <c r="G64" i="19"/>
  <c r="G69" i="31"/>
  <c r="G65" i="35"/>
  <c r="G67" i="24"/>
  <c r="G64" i="37"/>
  <c r="K64" i="37" s="1"/>
  <c r="G65" i="27"/>
  <c r="G67" i="29"/>
  <c r="G66" i="33"/>
  <c r="N85" i="35"/>
  <c r="N88" i="29"/>
  <c r="N89" i="31"/>
  <c r="N84" i="37"/>
  <c r="N85" i="27"/>
  <c r="N78" i="19"/>
  <c r="T76" i="2" s="1"/>
  <c r="N83" i="31"/>
  <c r="T78" i="2" s="1"/>
  <c r="N78" i="21"/>
  <c r="T73" i="2" s="1"/>
  <c r="N78" i="37"/>
  <c r="T81" i="2" s="1"/>
  <c r="N79" i="35"/>
  <c r="T80" i="2" s="1"/>
  <c r="N79" i="27"/>
  <c r="T75" i="2" s="1"/>
  <c r="N80" i="33"/>
  <c r="T79" i="2" s="1"/>
  <c r="N81" i="24"/>
  <c r="T74" i="2" s="1"/>
  <c r="N82" i="29"/>
  <c r="T77" i="2" s="1"/>
  <c r="G66" i="37"/>
  <c r="K66" i="37" s="1"/>
  <c r="G68" i="33"/>
  <c r="K68" i="33" s="1"/>
  <c r="G67" i="27"/>
  <c r="K67" i="27" s="1"/>
  <c r="G67" i="35"/>
  <c r="K67" i="35" s="1"/>
  <c r="G69" i="29"/>
  <c r="K69" i="29" s="1"/>
  <c r="G69" i="24"/>
  <c r="K69" i="24" s="1"/>
  <c r="G66" i="21"/>
  <c r="K66" i="21" s="1"/>
  <c r="G66" i="19"/>
  <c r="K66" i="19" s="1"/>
  <c r="G71" i="31"/>
  <c r="K71" i="31" s="1"/>
  <c r="N64" i="33"/>
  <c r="N62" i="19"/>
  <c r="N62" i="37"/>
  <c r="N65" i="29"/>
  <c r="N65" i="24"/>
  <c r="N63" i="35"/>
  <c r="N67" i="31"/>
  <c r="N62" i="21"/>
  <c r="N63" i="27"/>
  <c r="Q24" i="27"/>
  <c r="M84" i="21"/>
  <c r="N87" i="24"/>
  <c r="N84" i="19"/>
  <c r="I27" i="1"/>
  <c r="P27" i="1" s="1"/>
  <c r="I33" i="1"/>
  <c r="R33" i="1" s="1"/>
  <c r="Q42" i="37"/>
  <c r="O44" i="24"/>
  <c r="Q44" i="35"/>
  <c r="N86" i="21"/>
  <c r="N89" i="24"/>
  <c r="N86" i="37"/>
  <c r="N87" i="27"/>
  <c r="N91" i="31"/>
  <c r="O73" i="19"/>
  <c r="U49" i="2" s="1"/>
  <c r="O74" i="27"/>
  <c r="U48" i="2" s="1"/>
  <c r="O75" i="29"/>
  <c r="U37" i="2" s="1"/>
  <c r="O72" i="37"/>
  <c r="U41" i="2" s="1"/>
  <c r="O72" i="19"/>
  <c r="U36" i="2" s="1"/>
  <c r="O73" i="27"/>
  <c r="U35" i="2" s="1"/>
  <c r="O74" i="35"/>
  <c r="U53" i="2" s="1"/>
  <c r="O73" i="35"/>
  <c r="U40" i="2" s="1"/>
  <c r="O74" i="33"/>
  <c r="U39" i="2" s="1"/>
  <c r="O72" i="21"/>
  <c r="O75" i="24"/>
  <c r="U34" i="2" s="1"/>
  <c r="O77" i="31"/>
  <c r="U38" i="2" s="1"/>
  <c r="G73" i="31"/>
  <c r="G68" i="19"/>
  <c r="G68" i="37"/>
  <c r="G69" i="27"/>
  <c r="G71" i="29"/>
  <c r="G70" i="33"/>
  <c r="G69" i="35"/>
  <c r="G71" i="24"/>
  <c r="G68" i="21"/>
  <c r="O87" i="24"/>
  <c r="O88" i="29"/>
  <c r="O84" i="37"/>
  <c r="O85" i="35"/>
  <c r="O86" i="33"/>
  <c r="G124" i="2"/>
  <c r="AV135" i="1"/>
  <c r="AT135" i="1"/>
  <c r="AP135" i="1"/>
  <c r="N124" i="2"/>
  <c r="O74" i="37"/>
  <c r="AR135" i="1"/>
  <c r="O75" i="33"/>
  <c r="U52" i="2" s="1"/>
  <c r="AU135" i="1"/>
  <c r="AO135" i="1"/>
  <c r="AQ135" i="1"/>
  <c r="AS135" i="1"/>
  <c r="U124" i="2"/>
  <c r="M135" i="1" s="1"/>
  <c r="N71" i="31"/>
  <c r="N66" i="19"/>
  <c r="N69" i="29"/>
  <c r="N68" i="33"/>
  <c r="N66" i="21"/>
  <c r="N67" i="35"/>
  <c r="N69" i="24"/>
  <c r="N66" i="37"/>
  <c r="N67" i="27"/>
  <c r="Q24" i="19"/>
  <c r="Q22" i="35"/>
  <c r="BD132" i="1"/>
  <c r="J10" i="15" s="1"/>
  <c r="H11" i="15"/>
  <c r="G30" i="5"/>
  <c r="AX131" i="1"/>
  <c r="Q47" i="33"/>
  <c r="Q37" i="21"/>
  <c r="M91" i="31"/>
  <c r="M87" i="27"/>
  <c r="M86" i="21"/>
  <c r="M87" i="35"/>
  <c r="O76" i="37"/>
  <c r="AU137" i="1"/>
  <c r="AP137" i="1"/>
  <c r="AO137" i="1"/>
  <c r="AQ137" i="1"/>
  <c r="N126" i="2"/>
  <c r="AT137" i="1"/>
  <c r="AS137" i="1"/>
  <c r="U126" i="2"/>
  <c r="M137" i="1" s="1"/>
  <c r="G126" i="2"/>
  <c r="AV137" i="1"/>
  <c r="AR137" i="1"/>
  <c r="G73" i="35"/>
  <c r="K73" i="35" s="1"/>
  <c r="Q40" i="2" s="1"/>
  <c r="G72" i="21"/>
  <c r="K72" i="21" s="1"/>
  <c r="G75" i="24"/>
  <c r="K75" i="24" s="1"/>
  <c r="Q34" i="2" s="1"/>
  <c r="G73" i="27"/>
  <c r="K73" i="27" s="1"/>
  <c r="Q35" i="2" s="1"/>
  <c r="C35" i="2" s="1"/>
  <c r="G77" i="31"/>
  <c r="K77" i="31" s="1"/>
  <c r="Q38" i="2" s="1"/>
  <c r="G72" i="19"/>
  <c r="K72" i="19" s="1"/>
  <c r="Q36" i="2" s="1"/>
  <c r="G72" i="37"/>
  <c r="K72" i="37" s="1"/>
  <c r="Q41" i="2" s="1"/>
  <c r="G75" i="29"/>
  <c r="K75" i="29" s="1"/>
  <c r="Q37" i="2" s="1"/>
  <c r="I63" i="1" s="1"/>
  <c r="Q63" i="1" s="1"/>
  <c r="G74" i="33"/>
  <c r="K74" i="33" s="1"/>
  <c r="Q39" i="2" s="1"/>
  <c r="O80" i="33"/>
  <c r="U79" i="2" s="1"/>
  <c r="O79" i="35"/>
  <c r="U80" i="2" s="1"/>
  <c r="O83" i="31"/>
  <c r="U78" i="2" s="1"/>
  <c r="O78" i="37"/>
  <c r="U81" i="2" s="1"/>
  <c r="O79" i="27"/>
  <c r="U75" i="2" s="1"/>
  <c r="O82" i="29"/>
  <c r="U77" i="2" s="1"/>
  <c r="O81" i="24"/>
  <c r="U74" i="2" s="1"/>
  <c r="O78" i="21"/>
  <c r="U73" i="2" s="1"/>
  <c r="O78" i="19"/>
  <c r="U76" i="2" s="1"/>
  <c r="G74" i="37"/>
  <c r="K74" i="37" s="1"/>
  <c r="S135" i="1"/>
  <c r="C124" i="2"/>
  <c r="T135" i="1"/>
  <c r="P135" i="1"/>
  <c r="G76" i="33"/>
  <c r="K76" i="33" s="1"/>
  <c r="G74" i="19"/>
  <c r="K74" i="19" s="1"/>
  <c r="G77" i="24"/>
  <c r="K77" i="24" s="1"/>
  <c r="Q135" i="1"/>
  <c r="G77" i="29"/>
  <c r="K77" i="29" s="1"/>
  <c r="N135" i="1"/>
  <c r="G79" i="31"/>
  <c r="K79" i="31" s="1"/>
  <c r="J124" i="2"/>
  <c r="Q124" i="2"/>
  <c r="I135" i="1" s="1"/>
  <c r="O135" i="1"/>
  <c r="R135" i="1"/>
  <c r="G75" i="27"/>
  <c r="K75" i="27" s="1"/>
  <c r="U135" i="1"/>
  <c r="G75" i="35"/>
  <c r="K75" i="35" s="1"/>
  <c r="G74" i="21"/>
  <c r="K74" i="21" s="1"/>
  <c r="F123" i="2"/>
  <c r="M123" i="2"/>
  <c r="O63" i="35"/>
  <c r="O63" i="27"/>
  <c r="O67" i="31"/>
  <c r="O62" i="21"/>
  <c r="O65" i="24"/>
  <c r="O62" i="19"/>
  <c r="O62" i="37"/>
  <c r="O64" i="33"/>
  <c r="O65" i="29"/>
  <c r="K15" i="5"/>
  <c r="E32" i="5"/>
  <c r="E17" i="5"/>
  <c r="BC132" i="1"/>
  <c r="I10" i="15" s="1"/>
  <c r="L10" i="15" s="1"/>
  <c r="AZ132" i="1"/>
  <c r="E10" i="15" s="1"/>
  <c r="L11" i="15"/>
  <c r="AI130" i="1"/>
  <c r="BA130" i="1" s="1"/>
  <c r="F8" i="15" s="1"/>
  <c r="Q46" i="19"/>
  <c r="O80" i="37"/>
  <c r="O81" i="27"/>
  <c r="O81" i="35"/>
  <c r="O83" i="24"/>
  <c r="O80" i="21"/>
  <c r="O82" i="33"/>
  <c r="O85" i="31"/>
  <c r="O84" i="29"/>
  <c r="O80" i="19"/>
  <c r="J126" i="2"/>
  <c r="Q137" i="1"/>
  <c r="T137" i="1"/>
  <c r="G79" i="29"/>
  <c r="K79" i="29" s="1"/>
  <c r="O137" i="1"/>
  <c r="N137" i="1"/>
  <c r="R137" i="1"/>
  <c r="G78" i="33"/>
  <c r="K78" i="33" s="1"/>
  <c r="G77" i="27"/>
  <c r="K77" i="27" s="1"/>
  <c r="G76" i="21"/>
  <c r="K76" i="21" s="1"/>
  <c r="U137" i="1"/>
  <c r="G77" i="35"/>
  <c r="K77" i="35" s="1"/>
  <c r="G79" i="24"/>
  <c r="K79" i="24" s="1"/>
  <c r="G76" i="37"/>
  <c r="K76" i="37" s="1"/>
  <c r="G81" i="31"/>
  <c r="K81" i="31" s="1"/>
  <c r="P137" i="1"/>
  <c r="G76" i="19"/>
  <c r="K76" i="19" s="1"/>
  <c r="C126" i="2"/>
  <c r="S137" i="1"/>
  <c r="Q126" i="2"/>
  <c r="I137" i="1" s="1"/>
  <c r="O64" i="37"/>
  <c r="G78" i="37"/>
  <c r="K78" i="37" s="1"/>
  <c r="G79" i="27"/>
  <c r="K79" i="27" s="1"/>
  <c r="G81" i="24"/>
  <c r="K81" i="24" s="1"/>
  <c r="G79" i="35"/>
  <c r="K79" i="35" s="1"/>
  <c r="G83" i="31"/>
  <c r="K83" i="31" s="1"/>
  <c r="G78" i="21"/>
  <c r="K78" i="21" s="1"/>
  <c r="G80" i="33"/>
  <c r="K80" i="33" s="1"/>
  <c r="Q79" i="2" s="1"/>
  <c r="G82" i="29"/>
  <c r="K82" i="29" s="1"/>
  <c r="G78" i="19"/>
  <c r="K78" i="19" s="1"/>
  <c r="M124" i="2"/>
  <c r="AK135" i="1"/>
  <c r="AG135" i="1"/>
  <c r="T124" i="2"/>
  <c r="L135" i="1" s="1"/>
  <c r="N75" i="27"/>
  <c r="AM135" i="1"/>
  <c r="N79" i="31"/>
  <c r="N75" i="35"/>
  <c r="N77" i="24"/>
  <c r="AI135" i="1"/>
  <c r="N74" i="21"/>
  <c r="N76" i="33"/>
  <c r="N74" i="19"/>
  <c r="N77" i="29"/>
  <c r="O66" i="37"/>
  <c r="O68" i="33"/>
  <c r="O67" i="27"/>
  <c r="O66" i="21"/>
  <c r="O67" i="35"/>
  <c r="O69" i="29"/>
  <c r="O69" i="24"/>
  <c r="O66" i="19"/>
  <c r="O71" i="31"/>
  <c r="Q20" i="27"/>
  <c r="M11" i="15"/>
  <c r="N80" i="19"/>
  <c r="N85" i="31"/>
  <c r="N84" i="29"/>
  <c r="N80" i="37"/>
  <c r="N81" i="35"/>
  <c r="N83" i="24"/>
  <c r="N82" i="33"/>
  <c r="N81" i="27"/>
  <c r="N80" i="21"/>
  <c r="N72" i="37"/>
  <c r="N73" i="27"/>
  <c r="N77" i="31"/>
  <c r="N75" i="29"/>
  <c r="N72" i="21"/>
  <c r="N75" i="24"/>
  <c r="N74" i="33"/>
  <c r="N72" i="19"/>
  <c r="N73" i="35"/>
  <c r="N64" i="37"/>
  <c r="O83" i="21"/>
  <c r="O83" i="37"/>
  <c r="M125" i="2"/>
  <c r="AI136" i="1"/>
  <c r="AM136" i="1"/>
  <c r="AG136" i="1"/>
  <c r="AK136" i="1"/>
  <c r="N75" i="21"/>
  <c r="AF136" i="1"/>
  <c r="N75" i="37"/>
  <c r="AJ136" i="1"/>
  <c r="T125" i="2"/>
  <c r="L136" i="1" s="1"/>
  <c r="N78" i="24"/>
  <c r="F125" i="2"/>
  <c r="N80" i="31"/>
  <c r="T51" i="2" s="1"/>
  <c r="N76" i="27"/>
  <c r="AL136" i="1"/>
  <c r="N77" i="33"/>
  <c r="N75" i="19"/>
  <c r="N76" i="35"/>
  <c r="AH136" i="1"/>
  <c r="N78" i="29"/>
  <c r="G74" i="35"/>
  <c r="K74" i="35" s="1"/>
  <c r="G75" i="33"/>
  <c r="K75" i="33" s="1"/>
  <c r="G78" i="31"/>
  <c r="K78" i="31" s="1"/>
  <c r="G73" i="19"/>
  <c r="K73" i="19" s="1"/>
  <c r="G74" i="27"/>
  <c r="K74" i="27" s="1"/>
  <c r="G76" i="24"/>
  <c r="K76" i="24" s="1"/>
  <c r="G73" i="21"/>
  <c r="K73" i="21" s="1"/>
  <c r="G76" i="29"/>
  <c r="K76" i="29" s="1"/>
  <c r="G73" i="37"/>
  <c r="K73" i="37" s="1"/>
  <c r="O71" i="33"/>
  <c r="M52" i="1" s="1"/>
  <c r="O70" i="27"/>
  <c r="M44" i="1" s="1"/>
  <c r="O69" i="37"/>
  <c r="O74" i="31"/>
  <c r="O69" i="19"/>
  <c r="M46" i="1" s="1"/>
  <c r="O72" i="24"/>
  <c r="O72" i="29"/>
  <c r="O70" i="35"/>
  <c r="O69" i="21"/>
  <c r="L29" i="41"/>
  <c r="N29" i="41"/>
  <c r="D121" i="2" s="1"/>
  <c r="W132" i="1"/>
  <c r="N84" i="31"/>
  <c r="T64" i="2" s="1"/>
  <c r="N83" i="29"/>
  <c r="T63" i="2" s="1"/>
  <c r="N81" i="33"/>
  <c r="T65" i="2" s="1"/>
  <c r="N80" i="27"/>
  <c r="T61" i="2" s="1"/>
  <c r="N80" i="35"/>
  <c r="T66" i="2" s="1"/>
  <c r="N82" i="24"/>
  <c r="T60" i="2" s="1"/>
  <c r="N79" i="37"/>
  <c r="T67" i="2" s="1"/>
  <c r="N79" i="19"/>
  <c r="T62" i="2" s="1"/>
  <c r="N79" i="21"/>
  <c r="T59" i="2" s="1"/>
  <c r="M80" i="27"/>
  <c r="S61" i="2" s="1"/>
  <c r="M80" i="35"/>
  <c r="S66" i="2" s="1"/>
  <c r="M82" i="24"/>
  <c r="S60" i="2" s="1"/>
  <c r="M79" i="37"/>
  <c r="S67" i="2" s="1"/>
  <c r="M84" i="31"/>
  <c r="S64" i="2" s="1"/>
  <c r="M81" i="33"/>
  <c r="S65" i="2" s="1"/>
  <c r="M83" i="29"/>
  <c r="S63" i="2" s="1"/>
  <c r="M79" i="21"/>
  <c r="S59" i="2" s="1"/>
  <c r="M79" i="19"/>
  <c r="S62" i="2" s="1"/>
  <c r="T134" i="1"/>
  <c r="P134" i="1"/>
  <c r="R134" i="1"/>
  <c r="N134" i="1"/>
  <c r="C123" i="2"/>
  <c r="S134" i="1"/>
  <c r="O134" i="1"/>
  <c r="Q134" i="1"/>
  <c r="U134" i="1"/>
  <c r="J123" i="2"/>
  <c r="O69" i="33"/>
  <c r="O68" i="27"/>
  <c r="O67" i="37"/>
  <c r="O68" i="35"/>
  <c r="O67" i="21"/>
  <c r="O72" i="31"/>
  <c r="O67" i="19"/>
  <c r="O70" i="24"/>
  <c r="O70" i="29"/>
  <c r="M63" i="37"/>
  <c r="G42" i="19"/>
  <c r="K42" i="19" s="1"/>
  <c r="G42" i="29"/>
  <c r="K42" i="29" s="1"/>
  <c r="G42" i="27"/>
  <c r="K42" i="27" s="1"/>
  <c r="G43" i="24"/>
  <c r="K43" i="24" s="1"/>
  <c r="G43" i="33"/>
  <c r="K43" i="33" s="1"/>
  <c r="G43" i="35"/>
  <c r="K43" i="35" s="1"/>
  <c r="G42" i="31"/>
  <c r="K42" i="31" s="1"/>
  <c r="K12" i="5"/>
  <c r="F29" i="5"/>
  <c r="O45" i="24"/>
  <c r="N31" i="41"/>
  <c r="D122" i="2" s="1"/>
  <c r="H122" i="2" s="1"/>
  <c r="E118" i="2"/>
  <c r="L118" i="2"/>
  <c r="S118" i="2"/>
  <c r="K129" i="1" s="1"/>
  <c r="D118" i="2"/>
  <c r="K118" i="2"/>
  <c r="R118" i="2"/>
  <c r="J129" i="1" s="1"/>
  <c r="O84" i="27"/>
  <c r="U103" i="2" s="1"/>
  <c r="G103" i="2" s="1"/>
  <c r="O84" i="35"/>
  <c r="AF134" i="1"/>
  <c r="AF169" i="1" s="1"/>
  <c r="AG131" i="1"/>
  <c r="AY131" i="1" s="1"/>
  <c r="N41" i="41"/>
  <c r="F120" i="2" s="1"/>
  <c r="AK130" i="1"/>
  <c r="BC130" i="1" s="1"/>
  <c r="I8" i="15" s="1"/>
  <c r="F117" i="2"/>
  <c r="H117" i="2" s="1"/>
  <c r="BG133" i="1"/>
  <c r="N40" i="41"/>
  <c r="D120" i="2" s="1"/>
  <c r="L41" i="41"/>
  <c r="K7" i="5"/>
  <c r="G37" i="19"/>
  <c r="K37" i="19" s="1"/>
  <c r="G37" i="29"/>
  <c r="K37" i="29" s="1"/>
  <c r="G37" i="27"/>
  <c r="K37" i="27" s="1"/>
  <c r="G38" i="33"/>
  <c r="K38" i="33" s="1"/>
  <c r="G38" i="24"/>
  <c r="K38" i="24" s="1"/>
  <c r="G37" i="31"/>
  <c r="K37" i="31" s="1"/>
  <c r="G38" i="21"/>
  <c r="K38" i="21" s="1"/>
  <c r="G38" i="35"/>
  <c r="K38" i="35" s="1"/>
  <c r="G36" i="37"/>
  <c r="K36" i="37" s="1"/>
  <c r="N24" i="24"/>
  <c r="N19" i="24"/>
  <c r="N37" i="24"/>
  <c r="G26" i="19"/>
  <c r="K26" i="19" s="1"/>
  <c r="G27" i="21"/>
  <c r="K27" i="21" s="1"/>
  <c r="G27" i="35"/>
  <c r="K27" i="35" s="1"/>
  <c r="G26" i="31"/>
  <c r="K26" i="31" s="1"/>
  <c r="G26" i="29"/>
  <c r="K26" i="29" s="1"/>
  <c r="G26" i="27"/>
  <c r="K26" i="27" s="1"/>
  <c r="G27" i="24"/>
  <c r="K27" i="24" s="1"/>
  <c r="G27" i="33"/>
  <c r="K27" i="33" s="1"/>
  <c r="G26" i="37"/>
  <c r="K26" i="37" s="1"/>
  <c r="O21" i="24"/>
  <c r="M86" i="24"/>
  <c r="M13" i="1"/>
  <c r="AO13" i="1" s="1"/>
  <c r="I11" i="1"/>
  <c r="I16" i="1"/>
  <c r="T16" i="1" s="1"/>
  <c r="M19" i="1"/>
  <c r="O86" i="21"/>
  <c r="O87" i="35"/>
  <c r="O86" i="37"/>
  <c r="O88" i="33"/>
  <c r="O89" i="24"/>
  <c r="L80" i="33"/>
  <c r="AC134" i="1"/>
  <c r="AC169" i="1" s="1"/>
  <c r="Y134" i="1"/>
  <c r="Y169" i="1" s="1"/>
  <c r="AA134" i="1"/>
  <c r="AA169" i="1" s="1"/>
  <c r="W134" i="1"/>
  <c r="W169" i="1" s="1"/>
  <c r="D123" i="2"/>
  <c r="AB134" i="1"/>
  <c r="AB169" i="1" s="1"/>
  <c r="K123" i="2"/>
  <c r="X134" i="1"/>
  <c r="X169" i="1" s="1"/>
  <c r="Z134" i="1"/>
  <c r="Z169" i="1" s="1"/>
  <c r="AD134" i="1"/>
  <c r="AD169" i="1" s="1"/>
  <c r="G84" i="35"/>
  <c r="K84" i="35" s="1"/>
  <c r="G86" i="24"/>
  <c r="K86" i="24" s="1"/>
  <c r="G83" i="19"/>
  <c r="K83" i="19" s="1"/>
  <c r="G88" i="31"/>
  <c r="K88" i="31" s="1"/>
  <c r="G83" i="21"/>
  <c r="K83" i="21" s="1"/>
  <c r="G85" i="33"/>
  <c r="K85" i="33" s="1"/>
  <c r="G87" i="29"/>
  <c r="K87" i="29" s="1"/>
  <c r="G83" i="37"/>
  <c r="K83" i="37" s="1"/>
  <c r="G84" i="27"/>
  <c r="K84" i="27" s="1"/>
  <c r="M83" i="33"/>
  <c r="S93" i="2" s="1"/>
  <c r="M82" i="35"/>
  <c r="S94" i="2" s="1"/>
  <c r="M84" i="24"/>
  <c r="S88" i="2" s="1"/>
  <c r="M81" i="21"/>
  <c r="S87" i="2" s="1"/>
  <c r="M82" i="27"/>
  <c r="S89" i="2" s="1"/>
  <c r="M81" i="37"/>
  <c r="S95" i="2" s="1"/>
  <c r="M86" i="31"/>
  <c r="S92" i="2" s="1"/>
  <c r="M85" i="29"/>
  <c r="S91" i="2" s="1"/>
  <c r="M81" i="19"/>
  <c r="S90" i="2" s="1"/>
  <c r="G80" i="29"/>
  <c r="K80" i="29" s="1"/>
  <c r="P80" i="29" s="1"/>
  <c r="O73" i="37"/>
  <c r="U54" i="2" s="1"/>
  <c r="O73" i="21"/>
  <c r="U46" i="2" s="1"/>
  <c r="M65" i="37"/>
  <c r="S136" i="1"/>
  <c r="Q136" i="1"/>
  <c r="G76" i="35"/>
  <c r="K76" i="35" s="1"/>
  <c r="P76" i="35" s="1"/>
  <c r="G77" i="33"/>
  <c r="K77" i="33" s="1"/>
  <c r="G80" i="31"/>
  <c r="K80" i="31" s="1"/>
  <c r="G75" i="19"/>
  <c r="K75" i="19" s="1"/>
  <c r="O136" i="1"/>
  <c r="N136" i="1"/>
  <c r="T136" i="1"/>
  <c r="Q125" i="2"/>
  <c r="G76" i="27"/>
  <c r="K76" i="27" s="1"/>
  <c r="J125" i="2"/>
  <c r="C125" i="2"/>
  <c r="G78" i="29"/>
  <c r="K78" i="29" s="1"/>
  <c r="G75" i="37"/>
  <c r="K75" i="37" s="1"/>
  <c r="R136" i="1"/>
  <c r="G75" i="21"/>
  <c r="K75" i="21" s="1"/>
  <c r="U136" i="1"/>
  <c r="G78" i="24"/>
  <c r="K78" i="24" s="1"/>
  <c r="P136" i="1"/>
  <c r="AU134" i="1"/>
  <c r="AU169" i="1" s="1"/>
  <c r="AQ134" i="1"/>
  <c r="AQ169" i="1" s="1"/>
  <c r="G123" i="2"/>
  <c r="AS134" i="1"/>
  <c r="AS169" i="1" s="1"/>
  <c r="AO134" i="1"/>
  <c r="AO169" i="1" s="1"/>
  <c r="AT134" i="1"/>
  <c r="AT169" i="1" s="1"/>
  <c r="AP134" i="1"/>
  <c r="AP169" i="1" s="1"/>
  <c r="N123" i="2"/>
  <c r="AR134" i="1"/>
  <c r="AR169" i="1" s="1"/>
  <c r="AV134" i="1"/>
  <c r="AV169" i="1" s="1"/>
  <c r="M68" i="35"/>
  <c r="M67" i="19"/>
  <c r="M70" i="29"/>
  <c r="M72" i="31"/>
  <c r="M70" i="24"/>
  <c r="M69" i="33"/>
  <c r="M67" i="21"/>
  <c r="M68" i="27"/>
  <c r="M67" i="37"/>
  <c r="G47" i="29"/>
  <c r="K47" i="29" s="1"/>
  <c r="G49" i="31"/>
  <c r="K49" i="31" s="1"/>
  <c r="G33" i="5"/>
  <c r="K16" i="5"/>
  <c r="G46" i="31"/>
  <c r="K46" i="31" s="1"/>
  <c r="G47" i="24"/>
  <c r="K47" i="24" s="1"/>
  <c r="I17" i="5"/>
  <c r="I23" i="5"/>
  <c r="K6" i="5"/>
  <c r="F17" i="5"/>
  <c r="F23" i="5"/>
  <c r="O83" i="19"/>
  <c r="U104" i="2" s="1"/>
  <c r="BB131" i="1"/>
  <c r="G9" i="15" s="1"/>
  <c r="AJ130" i="1"/>
  <c r="BB130" i="1" s="1"/>
  <c r="G8" i="15" s="1"/>
  <c r="N39" i="41"/>
  <c r="C120" i="2" s="1"/>
  <c r="C8" i="15"/>
  <c r="N34" i="24"/>
  <c r="N38" i="24"/>
  <c r="G29" i="21"/>
  <c r="K29" i="21" s="1"/>
  <c r="G29" i="35"/>
  <c r="K29" i="35" s="1"/>
  <c r="G28" i="31"/>
  <c r="K28" i="31" s="1"/>
  <c r="G28" i="29"/>
  <c r="K28" i="29" s="1"/>
  <c r="G28" i="19"/>
  <c r="K28" i="19" s="1"/>
  <c r="G29" i="24"/>
  <c r="K29" i="24" s="1"/>
  <c r="G28" i="27"/>
  <c r="K28" i="27" s="1"/>
  <c r="G29" i="33"/>
  <c r="K29" i="33" s="1"/>
  <c r="G28" i="37"/>
  <c r="K28" i="37" s="1"/>
  <c r="O24" i="24"/>
  <c r="N26" i="41"/>
  <c r="O37" i="24"/>
  <c r="G32" i="33"/>
  <c r="K32" i="33" s="1"/>
  <c r="G31" i="27"/>
  <c r="K31" i="27" s="1"/>
  <c r="G32" i="24"/>
  <c r="K32" i="24" s="1"/>
  <c r="G30" i="19"/>
  <c r="K30" i="19" s="1"/>
  <c r="G32" i="21"/>
  <c r="K32" i="21" s="1"/>
  <c r="G31" i="31"/>
  <c r="K31" i="31" s="1"/>
  <c r="G31" i="29"/>
  <c r="K31" i="29" s="1"/>
  <c r="G30" i="37"/>
  <c r="K30" i="37" s="1"/>
  <c r="G32" i="35"/>
  <c r="K32" i="35" s="1"/>
  <c r="N27" i="24"/>
  <c r="G17" i="33"/>
  <c r="K17" i="33" s="1"/>
  <c r="G17" i="29"/>
  <c r="K17" i="29" s="1"/>
  <c r="G17" i="21"/>
  <c r="K17" i="21" s="1"/>
  <c r="G17" i="31"/>
  <c r="K17" i="31" s="1"/>
  <c r="G17" i="27"/>
  <c r="K17" i="27" s="1"/>
  <c r="G17" i="24"/>
  <c r="K17" i="24" s="1"/>
  <c r="G17" i="19"/>
  <c r="K17" i="19" s="1"/>
  <c r="G17" i="35"/>
  <c r="K17" i="35" s="1"/>
  <c r="G17" i="37"/>
  <c r="K17" i="37" s="1"/>
  <c r="E12" i="2"/>
  <c r="L12" i="2"/>
  <c r="L139" i="2" s="1"/>
  <c r="I61" i="1"/>
  <c r="BC126" i="1"/>
  <c r="AX126" i="1"/>
  <c r="AZ126" i="1"/>
  <c r="N118" i="2"/>
  <c r="U118" i="2"/>
  <c r="M129" i="1" s="1"/>
  <c r="G118" i="2"/>
  <c r="G87" i="27"/>
  <c r="K87" i="27" s="1"/>
  <c r="G86" i="19"/>
  <c r="K86" i="19" s="1"/>
  <c r="G88" i="33"/>
  <c r="K88" i="33" s="1"/>
  <c r="G86" i="21"/>
  <c r="K86" i="21" s="1"/>
  <c r="P86" i="21" s="1"/>
  <c r="Q86" i="21" s="1"/>
  <c r="G91" i="31"/>
  <c r="K91" i="31" s="1"/>
  <c r="G90" i="29"/>
  <c r="K90" i="29" s="1"/>
  <c r="G87" i="35"/>
  <c r="K87" i="35" s="1"/>
  <c r="G89" i="24"/>
  <c r="K89" i="24" s="1"/>
  <c r="G86" i="37"/>
  <c r="K86" i="37" s="1"/>
  <c r="AJ137" i="1"/>
  <c r="BB137" i="1" s="1"/>
  <c r="AF137" i="1"/>
  <c r="AH137" i="1"/>
  <c r="AZ137" i="1" s="1"/>
  <c r="AL137" i="1"/>
  <c r="M126" i="2"/>
  <c r="O126" i="2" s="1"/>
  <c r="F126" i="2"/>
  <c r="N76" i="37"/>
  <c r="P76" i="37" s="1"/>
  <c r="Q76" i="37" s="1"/>
  <c r="AG137" i="1"/>
  <c r="T126" i="2"/>
  <c r="N78" i="33"/>
  <c r="AK137" i="1"/>
  <c r="BC137" i="1" s="1"/>
  <c r="AM137" i="1"/>
  <c r="N77" i="35"/>
  <c r="P77" i="35" s="1"/>
  <c r="Q77" i="35" s="1"/>
  <c r="N77" i="27"/>
  <c r="N79" i="24"/>
  <c r="N76" i="19"/>
  <c r="AI137" i="1"/>
  <c r="BA137" i="1" s="1"/>
  <c r="N81" i="31"/>
  <c r="N76" i="21"/>
  <c r="P76" i="21" s="1"/>
  <c r="Q76" i="21" s="1"/>
  <c r="N79" i="29"/>
  <c r="N73" i="31"/>
  <c r="N71" i="24"/>
  <c r="N69" i="35"/>
  <c r="N68" i="19"/>
  <c r="N71" i="29"/>
  <c r="N68" i="21"/>
  <c r="N69" i="27"/>
  <c r="N70" i="33"/>
  <c r="N68" i="37"/>
  <c r="M83" i="21"/>
  <c r="M84" i="35"/>
  <c r="M83" i="19"/>
  <c r="G86" i="31"/>
  <c r="K86" i="31" s="1"/>
  <c r="G83" i="33"/>
  <c r="K83" i="33" s="1"/>
  <c r="G82" i="27"/>
  <c r="K82" i="27" s="1"/>
  <c r="G81" i="21"/>
  <c r="K81" i="21" s="1"/>
  <c r="G81" i="37"/>
  <c r="K81" i="37" s="1"/>
  <c r="G84" i="24"/>
  <c r="K84" i="24" s="1"/>
  <c r="G81" i="19"/>
  <c r="K81" i="19" s="1"/>
  <c r="G82" i="35"/>
  <c r="K82" i="35" s="1"/>
  <c r="G85" i="29"/>
  <c r="K85" i="29" s="1"/>
  <c r="M69" i="19"/>
  <c r="M72" i="29"/>
  <c r="M74" i="31"/>
  <c r="M70" i="35"/>
  <c r="M72" i="24"/>
  <c r="M71" i="33"/>
  <c r="M69" i="21"/>
  <c r="M70" i="27"/>
  <c r="M69" i="37"/>
  <c r="G66" i="35"/>
  <c r="G70" i="31"/>
  <c r="G68" i="29"/>
  <c r="G68" i="24"/>
  <c r="G66" i="27"/>
  <c r="G67" i="33"/>
  <c r="G65" i="37"/>
  <c r="K65" i="37" s="1"/>
  <c r="G65" i="19"/>
  <c r="G81" i="33"/>
  <c r="K81" i="33" s="1"/>
  <c r="G84" i="31"/>
  <c r="K84" i="31" s="1"/>
  <c r="G79" i="19"/>
  <c r="K79" i="19" s="1"/>
  <c r="G80" i="35"/>
  <c r="K80" i="35" s="1"/>
  <c r="G82" i="24"/>
  <c r="K82" i="24" s="1"/>
  <c r="G83" i="29"/>
  <c r="K83" i="29" s="1"/>
  <c r="G79" i="37"/>
  <c r="K79" i="37" s="1"/>
  <c r="G79" i="21"/>
  <c r="K79" i="21" s="1"/>
  <c r="G80" i="27"/>
  <c r="K80" i="27" s="1"/>
  <c r="AV136" i="1"/>
  <c r="AP136" i="1"/>
  <c r="G125" i="2"/>
  <c r="AT136" i="1"/>
  <c r="AR136" i="1"/>
  <c r="N125" i="2"/>
  <c r="AU136" i="1"/>
  <c r="AQ136" i="1"/>
  <c r="O75" i="37"/>
  <c r="U125" i="2"/>
  <c r="M136" i="1" s="1"/>
  <c r="O76" i="24"/>
  <c r="U47" i="2" s="1"/>
  <c r="O76" i="29"/>
  <c r="U50" i="2" s="1"/>
  <c r="AS136" i="1"/>
  <c r="AO136" i="1"/>
  <c r="E123" i="2"/>
  <c r="AK134" i="1"/>
  <c r="AK169" i="1" s="1"/>
  <c r="AG134" i="1"/>
  <c r="AG169" i="1" s="1"/>
  <c r="AI134" i="1"/>
  <c r="AI169" i="1" s="1"/>
  <c r="L123" i="2"/>
  <c r="AM134" i="1"/>
  <c r="AM169" i="1" s="1"/>
  <c r="G66" i="24"/>
  <c r="G64" i="35"/>
  <c r="G68" i="31"/>
  <c r="G66" i="29"/>
  <c r="G63" i="37"/>
  <c r="K63" i="37" s="1"/>
  <c r="G63" i="19"/>
  <c r="G64" i="27"/>
  <c r="G65" i="33"/>
  <c r="N43" i="24"/>
  <c r="G45" i="27"/>
  <c r="K45" i="27" s="1"/>
  <c r="O47" i="24"/>
  <c r="K10" i="5"/>
  <c r="F27" i="5"/>
  <c r="J17" i="5"/>
  <c r="AH134" i="1"/>
  <c r="AH169" i="1" s="1"/>
  <c r="L40" i="41"/>
  <c r="N30" i="41"/>
  <c r="F121" i="2" s="1"/>
  <c r="L30" i="41"/>
  <c r="AF132" i="1"/>
  <c r="AL130" i="1"/>
  <c r="BD130" i="1" s="1"/>
  <c r="J8" i="15" s="1"/>
  <c r="L39" i="41"/>
  <c r="L35" i="41"/>
  <c r="BG128" i="1"/>
  <c r="G33" i="19"/>
  <c r="K33" i="19" s="1"/>
  <c r="G33" i="27"/>
  <c r="K33" i="27" s="1"/>
  <c r="G34" i="24"/>
  <c r="K34" i="24" s="1"/>
  <c r="G34" i="33"/>
  <c r="K34" i="33" s="1"/>
  <c r="G34" i="21"/>
  <c r="K34" i="21" s="1"/>
  <c r="G33" i="31"/>
  <c r="K33" i="31" s="1"/>
  <c r="G33" i="29"/>
  <c r="K33" i="29" s="1"/>
  <c r="G34" i="35"/>
  <c r="K34" i="35" s="1"/>
  <c r="O38" i="24"/>
  <c r="N29" i="24"/>
  <c r="G25" i="19"/>
  <c r="K25" i="19" s="1"/>
  <c r="G25" i="27"/>
  <c r="K25" i="27" s="1"/>
  <c r="G26" i="33"/>
  <c r="K26" i="33" s="1"/>
  <c r="G25" i="31"/>
  <c r="K25" i="31" s="1"/>
  <c r="G25" i="35"/>
  <c r="K25" i="35" s="1"/>
  <c r="O19" i="24"/>
  <c r="G32" i="37"/>
  <c r="K32" i="37" s="1"/>
  <c r="N32" i="24"/>
  <c r="O27" i="24"/>
  <c r="G21" i="21"/>
  <c r="K21" i="21" s="1"/>
  <c r="G21" i="24"/>
  <c r="K21" i="24" s="1"/>
  <c r="G20" i="19"/>
  <c r="K20" i="19" s="1"/>
  <c r="G21" i="33"/>
  <c r="K21" i="33" s="1"/>
  <c r="N17" i="24"/>
  <c r="C37" i="2"/>
  <c r="I19" i="1"/>
  <c r="M21" i="1"/>
  <c r="AT21" i="1" s="1"/>
  <c r="M27" i="1"/>
  <c r="AP27" i="1" s="1"/>
  <c r="M33" i="1"/>
  <c r="AQ33" i="1" s="1"/>
  <c r="I36" i="1"/>
  <c r="G89" i="31"/>
  <c r="K89" i="31" s="1"/>
  <c r="G84" i="21"/>
  <c r="K84" i="21" s="1"/>
  <c r="G84" i="19"/>
  <c r="K84" i="19" s="1"/>
  <c r="G85" i="35"/>
  <c r="K85" i="35" s="1"/>
  <c r="G85" i="27"/>
  <c r="K85" i="27" s="1"/>
  <c r="G88" i="29"/>
  <c r="K88" i="29" s="1"/>
  <c r="G84" i="37"/>
  <c r="K84" i="37" s="1"/>
  <c r="G87" i="24"/>
  <c r="K87" i="24" s="1"/>
  <c r="G86" i="33"/>
  <c r="K86" i="33" s="1"/>
  <c r="J118" i="2"/>
  <c r="C118" i="2"/>
  <c r="Q118" i="2"/>
  <c r="M85" i="35"/>
  <c r="M87" i="24"/>
  <c r="M86" i="33"/>
  <c r="M89" i="31"/>
  <c r="AC135" i="1"/>
  <c r="BD135" i="1" s="1"/>
  <c r="Y135" i="1"/>
  <c r="AA135" i="1"/>
  <c r="BB135" i="1" s="1"/>
  <c r="AD135" i="1"/>
  <c r="W135" i="1"/>
  <c r="AX135" i="1" s="1"/>
  <c r="R124" i="2"/>
  <c r="D124" i="2"/>
  <c r="H124" i="2" s="1"/>
  <c r="Z135" i="1"/>
  <c r="K124" i="2"/>
  <c r="O124" i="2" s="1"/>
  <c r="AB135" i="1"/>
  <c r="X135" i="1"/>
  <c r="AY135" i="1" s="1"/>
  <c r="O81" i="37"/>
  <c r="U95" i="2" s="1"/>
  <c r="O82" i="27"/>
  <c r="O85" i="29"/>
  <c r="U91" i="2" s="1"/>
  <c r="O84" i="24"/>
  <c r="O81" i="19"/>
  <c r="O82" i="35"/>
  <c r="O83" i="33"/>
  <c r="U93" i="2" s="1"/>
  <c r="O86" i="31"/>
  <c r="O81" i="21"/>
  <c r="M73" i="21"/>
  <c r="M73" i="37"/>
  <c r="S54" i="2" s="1"/>
  <c r="N70" i="35"/>
  <c r="N69" i="19"/>
  <c r="N72" i="29"/>
  <c r="N74" i="31"/>
  <c r="N72" i="24"/>
  <c r="N71" i="33"/>
  <c r="N69" i="21"/>
  <c r="N69" i="37"/>
  <c r="N70" i="27"/>
  <c r="G69" i="37"/>
  <c r="G70" i="35"/>
  <c r="G74" i="31"/>
  <c r="G72" i="29"/>
  <c r="G72" i="24"/>
  <c r="G70" i="27"/>
  <c r="G71" i="33"/>
  <c r="G69" i="21"/>
  <c r="G69" i="19"/>
  <c r="O65" i="37"/>
  <c r="M87" i="33"/>
  <c r="M86" i="35"/>
  <c r="M85" i="37"/>
  <c r="M85" i="19"/>
  <c r="M88" i="24"/>
  <c r="M89" i="29"/>
  <c r="M85" i="21"/>
  <c r="M90" i="31"/>
  <c r="S106" i="2" s="1"/>
  <c r="M86" i="27"/>
  <c r="N87" i="33"/>
  <c r="N86" i="35"/>
  <c r="N90" i="31"/>
  <c r="N89" i="29"/>
  <c r="N86" i="27"/>
  <c r="N88" i="24"/>
  <c r="N85" i="37"/>
  <c r="N85" i="19"/>
  <c r="T104" i="2" s="1"/>
  <c r="N85" i="21"/>
  <c r="O84" i="31"/>
  <c r="U64" i="2" s="1"/>
  <c r="O81" i="33"/>
  <c r="U65" i="2" s="1"/>
  <c r="O80" i="35"/>
  <c r="U66" i="2" s="1"/>
  <c r="O80" i="27"/>
  <c r="U61" i="2" s="1"/>
  <c r="O83" i="29"/>
  <c r="U63" i="2" s="1"/>
  <c r="O79" i="21"/>
  <c r="U59" i="2" s="1"/>
  <c r="O82" i="24"/>
  <c r="U60" i="2" s="1"/>
  <c r="O79" i="19"/>
  <c r="U62" i="2" s="1"/>
  <c r="O79" i="37"/>
  <c r="U67" i="2" s="1"/>
  <c r="E125" i="2"/>
  <c r="M76" i="29"/>
  <c r="S50" i="2" s="1"/>
  <c r="M75" i="37"/>
  <c r="S125" i="2"/>
  <c r="K136" i="1" s="1"/>
  <c r="M76" i="24"/>
  <c r="S47" i="2" s="1"/>
  <c r="L125" i="2"/>
  <c r="G67" i="37"/>
  <c r="G70" i="24"/>
  <c r="G68" i="35"/>
  <c r="G72" i="31"/>
  <c r="G70" i="29"/>
  <c r="G67" i="19"/>
  <c r="G68" i="27"/>
  <c r="G69" i="33"/>
  <c r="G67" i="21"/>
  <c r="O63" i="37"/>
  <c r="K9" i="5"/>
  <c r="G26" i="5"/>
  <c r="O43" i="24"/>
  <c r="N36" i="41"/>
  <c r="K8" i="5"/>
  <c r="F25" i="5"/>
  <c r="Q123" i="2"/>
  <c r="G45" i="33"/>
  <c r="K45" i="33" s="1"/>
  <c r="G44" i="19"/>
  <c r="K44" i="19" s="1"/>
  <c r="G44" i="29"/>
  <c r="K44" i="29" s="1"/>
  <c r="G44" i="27"/>
  <c r="K44" i="27" s="1"/>
  <c r="G45" i="24"/>
  <c r="K45" i="24" s="1"/>
  <c r="G45" i="35"/>
  <c r="K45" i="35" s="1"/>
  <c r="G45" i="21"/>
  <c r="K45" i="21" s="1"/>
  <c r="G44" i="31"/>
  <c r="K44" i="31" s="1"/>
  <c r="G43" i="37"/>
  <c r="K43" i="37" s="1"/>
  <c r="H116" i="2"/>
  <c r="N25" i="41"/>
  <c r="P127" i="1"/>
  <c r="AZ127" i="1" s="1"/>
  <c r="BG127" i="1" s="1"/>
  <c r="L25" i="41"/>
  <c r="L31" i="41"/>
  <c r="H23" i="5"/>
  <c r="H34" i="5" s="1"/>
  <c r="H17" i="5"/>
  <c r="M118" i="2"/>
  <c r="T118" i="2"/>
  <c r="L129" i="1" s="1"/>
  <c r="F118" i="2"/>
  <c r="N86" i="24"/>
  <c r="N88" i="31"/>
  <c r="AL134" i="1"/>
  <c r="AL169" i="1" s="1"/>
  <c r="L9" i="15"/>
  <c r="AH130" i="1"/>
  <c r="AZ130" i="1" s="1"/>
  <c r="E8" i="15" s="1"/>
  <c r="AM130" i="1"/>
  <c r="BE130" i="1" s="1"/>
  <c r="K8" i="15" s="1"/>
  <c r="L26" i="41"/>
  <c r="C9" i="15"/>
  <c r="Q36" i="19"/>
  <c r="N35" i="41"/>
  <c r="K11" i="5"/>
  <c r="O34" i="24"/>
  <c r="G35" i="27"/>
  <c r="K35" i="27" s="1"/>
  <c r="G36" i="35"/>
  <c r="K36" i="35" s="1"/>
  <c r="G35" i="19"/>
  <c r="K35" i="19" s="1"/>
  <c r="G35" i="31"/>
  <c r="K35" i="31" s="1"/>
  <c r="G36" i="21"/>
  <c r="K36" i="21" s="1"/>
  <c r="G34" i="37"/>
  <c r="K34" i="37" s="1"/>
  <c r="G31" i="19"/>
  <c r="K31" i="19" s="1"/>
  <c r="G31" i="21"/>
  <c r="K31" i="21" s="1"/>
  <c r="G31" i="35"/>
  <c r="K31" i="35" s="1"/>
  <c r="G30" i="31"/>
  <c r="K30" i="31" s="1"/>
  <c r="G30" i="29"/>
  <c r="K30" i="29" s="1"/>
  <c r="G31" i="33"/>
  <c r="K31" i="33" s="1"/>
  <c r="G31" i="24"/>
  <c r="K31" i="24" s="1"/>
  <c r="G30" i="27"/>
  <c r="K30" i="27" s="1"/>
  <c r="O29" i="24"/>
  <c r="G24" i="33"/>
  <c r="K24" i="33" s="1"/>
  <c r="G23" i="19"/>
  <c r="K23" i="19" s="1"/>
  <c r="G23" i="27"/>
  <c r="K23" i="27" s="1"/>
  <c r="G24" i="24"/>
  <c r="K24" i="24" s="1"/>
  <c r="G23" i="35"/>
  <c r="K23" i="35" s="1"/>
  <c r="G23" i="31"/>
  <c r="K23" i="31" s="1"/>
  <c r="G23" i="29"/>
  <c r="K23" i="29" s="1"/>
  <c r="G24" i="21"/>
  <c r="K24" i="21" s="1"/>
  <c r="G23" i="37"/>
  <c r="K23" i="37" s="1"/>
  <c r="G19" i="27"/>
  <c r="K19" i="27" s="1"/>
  <c r="G19" i="35"/>
  <c r="K19" i="35" s="1"/>
  <c r="G19" i="31"/>
  <c r="K19" i="31" s="1"/>
  <c r="G19" i="29"/>
  <c r="K19" i="29" s="1"/>
  <c r="G19" i="24"/>
  <c r="K19" i="24" s="1"/>
  <c r="G19" i="21"/>
  <c r="K19" i="21" s="1"/>
  <c r="G19" i="37"/>
  <c r="K19" i="37" s="1"/>
  <c r="Q19" i="37" s="1"/>
  <c r="S10" i="2"/>
  <c r="G37" i="35"/>
  <c r="K37" i="35" s="1"/>
  <c r="G36" i="31"/>
  <c r="K36" i="31" s="1"/>
  <c r="G37" i="24"/>
  <c r="K37" i="24" s="1"/>
  <c r="G37" i="33"/>
  <c r="K37" i="33" s="1"/>
  <c r="G36" i="29"/>
  <c r="K36" i="29" s="1"/>
  <c r="G36" i="27"/>
  <c r="K36" i="27" s="1"/>
  <c r="G35" i="37"/>
  <c r="K35" i="37" s="1"/>
  <c r="O32" i="24"/>
  <c r="G25" i="37"/>
  <c r="K25" i="37" s="1"/>
  <c r="N21" i="24"/>
  <c r="O17" i="24"/>
  <c r="H51" i="6"/>
  <c r="H52" i="6" s="1"/>
  <c r="H58" i="6"/>
  <c r="J54" i="1"/>
  <c r="Z42" i="1"/>
  <c r="Q22" i="33"/>
  <c r="M9" i="1"/>
  <c r="AS36" i="1"/>
  <c r="AR36" i="1"/>
  <c r="Q22" i="21"/>
  <c r="H65" i="13"/>
  <c r="G11" i="4" s="1"/>
  <c r="G36" i="4" s="1"/>
  <c r="G60" i="4" s="1"/>
  <c r="E42" i="2"/>
  <c r="H53" i="42"/>
  <c r="H44" i="6"/>
  <c r="H57" i="6"/>
  <c r="H59" i="6" s="1"/>
  <c r="D59" i="6"/>
  <c r="D61" i="6" s="1"/>
  <c r="H61" i="6" s="1"/>
  <c r="H42" i="6"/>
  <c r="G65" i="13"/>
  <c r="F11" i="4" s="1"/>
  <c r="F36" i="4" s="1"/>
  <c r="F60" i="4" s="1"/>
  <c r="I42" i="13"/>
  <c r="E65" i="13"/>
  <c r="D11" i="4" s="1"/>
  <c r="D36" i="4" s="1"/>
  <c r="D60" i="4" s="1"/>
  <c r="F65" i="13"/>
  <c r="E11" i="4" s="1"/>
  <c r="E36" i="4" s="1"/>
  <c r="E60" i="4" s="1"/>
  <c r="P86" i="33"/>
  <c r="Q86" i="33" s="1"/>
  <c r="L87" i="35"/>
  <c r="P87" i="35" s="1"/>
  <c r="L89" i="31"/>
  <c r="L85" i="21"/>
  <c r="L86" i="19"/>
  <c r="Y88" i="33"/>
  <c r="Y83" i="21"/>
  <c r="L90" i="29"/>
  <c r="Y86" i="19"/>
  <c r="L84" i="21"/>
  <c r="L87" i="24"/>
  <c r="L85" i="27"/>
  <c r="Y86" i="33"/>
  <c r="L89" i="24"/>
  <c r="Y84" i="21"/>
  <c r="L84" i="37"/>
  <c r="Y83" i="19"/>
  <c r="L83" i="19"/>
  <c r="L87" i="29"/>
  <c r="Y87" i="29"/>
  <c r="Y83" i="37"/>
  <c r="L83" i="37"/>
  <c r="Y86" i="37"/>
  <c r="L86" i="37"/>
  <c r="Y91" i="31"/>
  <c r="L91" i="31"/>
  <c r="Y87" i="35"/>
  <c r="Y86" i="24"/>
  <c r="L86" i="24"/>
  <c r="L84" i="35"/>
  <c r="Y84" i="35"/>
  <c r="L84" i="27"/>
  <c r="Y84" i="27"/>
  <c r="L88" i="33"/>
  <c r="L87" i="27"/>
  <c r="Y87" i="27"/>
  <c r="L88" i="31"/>
  <c r="Y88" i="31"/>
  <c r="Y85" i="33"/>
  <c r="L85" i="33"/>
  <c r="BG168" i="1"/>
  <c r="M65" i="13"/>
  <c r="M19" i="13"/>
  <c r="D65" i="13"/>
  <c r="I19" i="13"/>
  <c r="P74" i="37" l="1"/>
  <c r="R95" i="2"/>
  <c r="Q35" i="35"/>
  <c r="R53" i="2"/>
  <c r="T107" i="2"/>
  <c r="Q107" i="2"/>
  <c r="C107" i="2" s="1"/>
  <c r="P77" i="33"/>
  <c r="R93" i="2"/>
  <c r="J109" i="1" s="1"/>
  <c r="Z87" i="1"/>
  <c r="AA87" i="1"/>
  <c r="Q18" i="31"/>
  <c r="U87" i="2"/>
  <c r="T103" i="2"/>
  <c r="Q103" i="2"/>
  <c r="U90" i="2"/>
  <c r="R90" i="2"/>
  <c r="P78" i="29"/>
  <c r="T49" i="2"/>
  <c r="L73" i="1" s="1"/>
  <c r="Q34" i="19"/>
  <c r="Q27" i="19"/>
  <c r="AQ16" i="1"/>
  <c r="P35" i="24"/>
  <c r="Q35" i="24" s="1"/>
  <c r="Q33" i="2"/>
  <c r="K88" i="21"/>
  <c r="U33" i="2"/>
  <c r="O88" i="21"/>
  <c r="R33" i="2"/>
  <c r="R42" i="2" s="1"/>
  <c r="L88" i="21"/>
  <c r="P75" i="21"/>
  <c r="N88" i="21"/>
  <c r="S46" i="2"/>
  <c r="S55" i="2" s="1"/>
  <c r="M88" i="21"/>
  <c r="R46" i="2"/>
  <c r="AA44" i="1"/>
  <c r="Z44" i="1"/>
  <c r="Z52" i="1"/>
  <c r="AA52" i="1"/>
  <c r="D76" i="2"/>
  <c r="J95" i="1"/>
  <c r="D39" i="2"/>
  <c r="J65" i="1"/>
  <c r="J77" i="1"/>
  <c r="D53" i="2"/>
  <c r="D46" i="2"/>
  <c r="J70" i="1"/>
  <c r="Z70" i="1" s="1"/>
  <c r="R91" i="2"/>
  <c r="J97" i="1"/>
  <c r="D78" i="2"/>
  <c r="P7" i="31"/>
  <c r="AU36" i="1"/>
  <c r="Z48" i="1"/>
  <c r="Q32" i="37"/>
  <c r="P76" i="27"/>
  <c r="Q76" i="27" s="1"/>
  <c r="Q45" i="29"/>
  <c r="Q46" i="33"/>
  <c r="Q18" i="29"/>
  <c r="Q35" i="33"/>
  <c r="Q22" i="37"/>
  <c r="J40" i="1"/>
  <c r="Z40" i="1" s="1"/>
  <c r="J53" i="1"/>
  <c r="AA53" i="1" s="1"/>
  <c r="J56" i="1"/>
  <c r="Z56" i="1" s="1"/>
  <c r="D67" i="2"/>
  <c r="J89" i="1"/>
  <c r="D41" i="2"/>
  <c r="J67" i="1"/>
  <c r="D34" i="2"/>
  <c r="J60" i="1"/>
  <c r="P7" i="24"/>
  <c r="P7" i="19"/>
  <c r="R94" i="2"/>
  <c r="D59" i="2"/>
  <c r="J81" i="1"/>
  <c r="Z81" i="1" s="1"/>
  <c r="R68" i="2"/>
  <c r="J59" i="1"/>
  <c r="Z59" i="1" s="1"/>
  <c r="R87" i="2"/>
  <c r="R89" i="2"/>
  <c r="R7" i="2"/>
  <c r="P7" i="27"/>
  <c r="R48" i="2"/>
  <c r="J46" i="1"/>
  <c r="J85" i="1"/>
  <c r="D63" i="2"/>
  <c r="J96" i="1"/>
  <c r="D77" i="2"/>
  <c r="P7" i="29"/>
  <c r="R9" i="2"/>
  <c r="K9" i="2" s="1"/>
  <c r="R50" i="2"/>
  <c r="D38" i="2"/>
  <c r="J64" i="1"/>
  <c r="I31" i="5"/>
  <c r="I27" i="5"/>
  <c r="K8" i="3"/>
  <c r="I25" i="5"/>
  <c r="I29" i="5"/>
  <c r="I26" i="5"/>
  <c r="I30" i="5"/>
  <c r="I33" i="5"/>
  <c r="I24" i="5"/>
  <c r="I32" i="5"/>
  <c r="I28" i="5"/>
  <c r="J111" i="1"/>
  <c r="D95" i="2"/>
  <c r="J78" i="1"/>
  <c r="D54" i="2"/>
  <c r="D74" i="2"/>
  <c r="J93" i="1"/>
  <c r="D62" i="2"/>
  <c r="J84" i="1"/>
  <c r="P7" i="33"/>
  <c r="R52" i="2"/>
  <c r="J88" i="1"/>
  <c r="D66" i="2"/>
  <c r="R12" i="2"/>
  <c r="L59" i="35" s="1"/>
  <c r="P7" i="35"/>
  <c r="D40" i="2"/>
  <c r="J66" i="1"/>
  <c r="R5" i="2"/>
  <c r="P11" i="21"/>
  <c r="J108" i="1"/>
  <c r="D92" i="2"/>
  <c r="R101" i="2"/>
  <c r="AO36" i="1"/>
  <c r="Q44" i="37"/>
  <c r="Q45" i="19"/>
  <c r="Q18" i="19"/>
  <c r="Q18" i="35"/>
  <c r="Q28" i="21"/>
  <c r="P10" i="37"/>
  <c r="D81" i="2"/>
  <c r="J100" i="1"/>
  <c r="D88" i="2"/>
  <c r="J104" i="1"/>
  <c r="D60" i="2"/>
  <c r="J82" i="1"/>
  <c r="R47" i="2"/>
  <c r="J106" i="1"/>
  <c r="D90" i="2"/>
  <c r="D36" i="2"/>
  <c r="J62" i="1"/>
  <c r="R49" i="2"/>
  <c r="D80" i="2"/>
  <c r="J99" i="1"/>
  <c r="J92" i="1"/>
  <c r="Z92" i="1" s="1"/>
  <c r="D73" i="2"/>
  <c r="D75" i="2"/>
  <c r="J94" i="1"/>
  <c r="D35" i="2"/>
  <c r="J61" i="1"/>
  <c r="D61" i="2"/>
  <c r="J83" i="1"/>
  <c r="J63" i="1"/>
  <c r="D37" i="2"/>
  <c r="J86" i="1"/>
  <c r="D64" i="2"/>
  <c r="R51" i="2"/>
  <c r="R27" i="2"/>
  <c r="D27" i="2" s="1"/>
  <c r="P70" i="24"/>
  <c r="E119" i="2"/>
  <c r="H119" i="2" s="1"/>
  <c r="R27" i="1"/>
  <c r="S27" i="1"/>
  <c r="R23" i="1"/>
  <c r="T23" i="1"/>
  <c r="AQ23" i="1"/>
  <c r="AV23" i="1"/>
  <c r="AS23" i="1"/>
  <c r="AP23" i="1"/>
  <c r="O13" i="1"/>
  <c r="S13" i="1"/>
  <c r="AS13" i="1"/>
  <c r="R25" i="2"/>
  <c r="D25" i="2" s="1"/>
  <c r="Z50" i="1"/>
  <c r="AA50" i="1"/>
  <c r="L117" i="21"/>
  <c r="P68" i="35"/>
  <c r="Q68" i="35" s="1"/>
  <c r="R19" i="2"/>
  <c r="J45" i="1"/>
  <c r="D19" i="2"/>
  <c r="R20" i="2"/>
  <c r="D20" i="2" s="1"/>
  <c r="R22" i="2"/>
  <c r="D22" i="2" s="1"/>
  <c r="M40" i="1"/>
  <c r="AR40" i="1" s="1"/>
  <c r="J55" i="1"/>
  <c r="R24" i="2"/>
  <c r="D24" i="2" s="1"/>
  <c r="R23" i="2"/>
  <c r="D23" i="2" s="1"/>
  <c r="R26" i="2"/>
  <c r="D26" i="2" s="1"/>
  <c r="P68" i="27"/>
  <c r="P72" i="31"/>
  <c r="M48" i="1"/>
  <c r="AS48" i="1" s="1"/>
  <c r="M56" i="1"/>
  <c r="AR56" i="1" s="1"/>
  <c r="R21" i="2"/>
  <c r="D21" i="2" s="1"/>
  <c r="P79" i="24"/>
  <c r="Q79" i="24" s="1"/>
  <c r="M22" i="1"/>
  <c r="AQ22" i="1" s="1"/>
  <c r="Q33" i="1"/>
  <c r="AS27" i="1"/>
  <c r="AP33" i="1"/>
  <c r="O16" i="1"/>
  <c r="Q46" i="35"/>
  <c r="Q37" i="33"/>
  <c r="AP25" i="1"/>
  <c r="P28" i="24"/>
  <c r="Q28" i="24" s="1"/>
  <c r="Q44" i="33"/>
  <c r="BD126" i="1"/>
  <c r="BE126" i="1"/>
  <c r="Q102" i="2"/>
  <c r="C102" i="2" s="1"/>
  <c r="P84" i="21"/>
  <c r="Q84" i="21" s="1"/>
  <c r="Q87" i="35"/>
  <c r="T106" i="2"/>
  <c r="F106" i="2" s="1"/>
  <c r="S104" i="2"/>
  <c r="K117" i="1" s="1"/>
  <c r="AH117" i="1" s="1"/>
  <c r="Q109" i="2"/>
  <c r="C109" i="2" s="1"/>
  <c r="P84" i="19"/>
  <c r="Q84" i="19" s="1"/>
  <c r="P89" i="29"/>
  <c r="Q89" i="29" s="1"/>
  <c r="T105" i="2"/>
  <c r="F105" i="2" s="1"/>
  <c r="E82" i="2"/>
  <c r="Q27" i="27"/>
  <c r="Q28" i="35"/>
  <c r="U5" i="2"/>
  <c r="O58" i="21" s="1"/>
  <c r="Q27" i="1"/>
  <c r="AP36" i="1"/>
  <c r="AV36" i="1"/>
  <c r="AS33" i="1"/>
  <c r="AT23" i="1"/>
  <c r="AU11" i="1"/>
  <c r="AO27" i="1"/>
  <c r="Q19" i="31"/>
  <c r="Q43" i="37"/>
  <c r="Q45" i="35"/>
  <c r="Q44" i="19"/>
  <c r="M15" i="1"/>
  <c r="AP15" i="1" s="1"/>
  <c r="M18" i="1"/>
  <c r="AU18" i="1" s="1"/>
  <c r="AU23" i="1"/>
  <c r="M8" i="1"/>
  <c r="AV8" i="1" s="1"/>
  <c r="Q43" i="33"/>
  <c r="O27" i="1"/>
  <c r="AQ36" i="1"/>
  <c r="AR23" i="1"/>
  <c r="AQ27" i="1"/>
  <c r="M35" i="1"/>
  <c r="AV35" i="1" s="1"/>
  <c r="Q44" i="31"/>
  <c r="Q44" i="27"/>
  <c r="M12" i="1"/>
  <c r="AQ12" i="1" s="1"/>
  <c r="AO16" i="1"/>
  <c r="Q43" i="19"/>
  <c r="Q27" i="31"/>
  <c r="T13" i="1"/>
  <c r="N23" i="1"/>
  <c r="R16" i="1"/>
  <c r="AO25" i="1"/>
  <c r="Q35" i="31"/>
  <c r="S23" i="1"/>
  <c r="Q43" i="27"/>
  <c r="P44" i="24"/>
  <c r="Q44" i="24" s="1"/>
  <c r="Q23" i="24"/>
  <c r="AR11" i="1"/>
  <c r="AT11" i="1"/>
  <c r="AU21" i="1"/>
  <c r="Q23" i="31"/>
  <c r="Q10" i="2"/>
  <c r="K63" i="31" s="1"/>
  <c r="Q44" i="21"/>
  <c r="P46" i="24"/>
  <c r="Q46" i="24" s="1"/>
  <c r="Q23" i="33"/>
  <c r="Q22" i="29"/>
  <c r="P31" i="24"/>
  <c r="Q31" i="24" s="1"/>
  <c r="Q31" i="19"/>
  <c r="U11" i="2"/>
  <c r="O60" i="33" s="1"/>
  <c r="T9" i="2"/>
  <c r="N61" i="29" s="1"/>
  <c r="U101" i="2"/>
  <c r="P62" i="19"/>
  <c r="U27" i="1"/>
  <c r="P91" i="31"/>
  <c r="Q91" i="31" s="1"/>
  <c r="M116" i="1"/>
  <c r="AS116" i="1" s="1"/>
  <c r="P87" i="29"/>
  <c r="P85" i="27"/>
  <c r="Q85" i="27" s="1"/>
  <c r="P90" i="29"/>
  <c r="Q90" i="29" s="1"/>
  <c r="N27" i="1"/>
  <c r="AV21" i="1"/>
  <c r="U16" i="1"/>
  <c r="AV25" i="1"/>
  <c r="AR25" i="1"/>
  <c r="AS21" i="1"/>
  <c r="AV11" i="1"/>
  <c r="Q16" i="1"/>
  <c r="U8" i="2"/>
  <c r="O58" i="19" s="1"/>
  <c r="U13" i="2"/>
  <c r="Q23" i="35"/>
  <c r="Q31" i="35"/>
  <c r="Q36" i="21"/>
  <c r="P88" i="24"/>
  <c r="Q88" i="24" s="1"/>
  <c r="U88" i="2"/>
  <c r="BC135" i="1"/>
  <c r="O25" i="1"/>
  <c r="T12" i="2"/>
  <c r="N59" i="35" s="1"/>
  <c r="Q21" i="33"/>
  <c r="AF149" i="1"/>
  <c r="P81" i="31"/>
  <c r="Q81" i="31" s="1"/>
  <c r="P77" i="27"/>
  <c r="Q77" i="27" s="1"/>
  <c r="BA126" i="1"/>
  <c r="H120" i="2"/>
  <c r="Q49" i="31"/>
  <c r="P78" i="24"/>
  <c r="Q78" i="24" s="1"/>
  <c r="Q76" i="35"/>
  <c r="H43" i="13"/>
  <c r="S102" i="2"/>
  <c r="E102" i="2" s="1"/>
  <c r="P75" i="35"/>
  <c r="U107" i="2"/>
  <c r="G107" i="2" s="1"/>
  <c r="Q43" i="29"/>
  <c r="T109" i="2"/>
  <c r="L122" i="1" s="1"/>
  <c r="L78" i="1"/>
  <c r="F54" i="2"/>
  <c r="Q28" i="33"/>
  <c r="Q33" i="37"/>
  <c r="U7" i="2"/>
  <c r="O59" i="27" s="1"/>
  <c r="AY134" i="1"/>
  <c r="P62" i="21"/>
  <c r="Q27" i="29"/>
  <c r="Q18" i="33"/>
  <c r="S105" i="2"/>
  <c r="E105" i="2" s="1"/>
  <c r="P86" i="37"/>
  <c r="Q86" i="37" s="1"/>
  <c r="L119" i="1"/>
  <c r="AI119" i="1" s="1"/>
  <c r="T27" i="1"/>
  <c r="AT25" i="1"/>
  <c r="AO11" i="1"/>
  <c r="AS11" i="1"/>
  <c r="U6" i="2"/>
  <c r="Q36" i="27"/>
  <c r="Q36" i="31"/>
  <c r="Q30" i="29"/>
  <c r="U89" i="2"/>
  <c r="G89" i="2" s="1"/>
  <c r="P88" i="29"/>
  <c r="Q88" i="29" s="1"/>
  <c r="AP11" i="1"/>
  <c r="T13" i="2"/>
  <c r="M13" i="2" s="1"/>
  <c r="P76" i="19"/>
  <c r="Q76" i="19" s="1"/>
  <c r="BD137" i="1"/>
  <c r="P47" i="24"/>
  <c r="Q47" i="24" s="1"/>
  <c r="P69" i="33"/>
  <c r="Q69" i="33" s="1"/>
  <c r="P67" i="19"/>
  <c r="Q67" i="19" s="1"/>
  <c r="Q75" i="21"/>
  <c r="BD136" i="1"/>
  <c r="P80" i="31"/>
  <c r="Q80" i="31" s="1"/>
  <c r="Q106" i="2"/>
  <c r="I119" i="1" s="1"/>
  <c r="P74" i="21"/>
  <c r="Q74" i="21" s="1"/>
  <c r="Q43" i="31"/>
  <c r="M29" i="1"/>
  <c r="Q41" i="37"/>
  <c r="P83" i="21"/>
  <c r="Q83" i="21" s="1"/>
  <c r="Q30" i="27"/>
  <c r="Q7" i="2"/>
  <c r="J7" i="2" s="1"/>
  <c r="J134" i="2" s="1"/>
  <c r="Q11" i="2"/>
  <c r="C11" i="2" s="1"/>
  <c r="Q74" i="37"/>
  <c r="Q5" i="2"/>
  <c r="P89" i="24"/>
  <c r="Q89" i="24" s="1"/>
  <c r="D9" i="15"/>
  <c r="H9" i="15" s="1"/>
  <c r="BG131" i="1"/>
  <c r="Q68" i="27"/>
  <c r="Q72" i="31"/>
  <c r="P75" i="37"/>
  <c r="Q75" i="37" s="1"/>
  <c r="Q77" i="2"/>
  <c r="P82" i="29"/>
  <c r="Q82" i="29" s="1"/>
  <c r="Q80" i="2"/>
  <c r="P79" i="35"/>
  <c r="Q79" i="35" s="1"/>
  <c r="P75" i="27"/>
  <c r="Q75" i="27" s="1"/>
  <c r="M96" i="1"/>
  <c r="G77" i="2"/>
  <c r="G80" i="2"/>
  <c r="M99" i="1"/>
  <c r="M64" i="1"/>
  <c r="G38" i="2"/>
  <c r="G40" i="2"/>
  <c r="M66" i="1"/>
  <c r="G41" i="2"/>
  <c r="M67" i="1"/>
  <c r="P65" i="29"/>
  <c r="P71" i="31"/>
  <c r="Q71" i="31" s="1"/>
  <c r="P69" i="29"/>
  <c r="Q69" i="29" s="1"/>
  <c r="P66" i="37"/>
  <c r="Q66" i="37" s="1"/>
  <c r="L94" i="1"/>
  <c r="F75" i="2"/>
  <c r="L97" i="1"/>
  <c r="F78" i="2"/>
  <c r="U25" i="1"/>
  <c r="N25" i="1"/>
  <c r="S25" i="1"/>
  <c r="T25" i="1"/>
  <c r="Q25" i="1"/>
  <c r="T8" i="2"/>
  <c r="N58" i="19" s="1"/>
  <c r="Q13" i="1"/>
  <c r="R13" i="1"/>
  <c r="P13" i="1"/>
  <c r="AS25" i="1"/>
  <c r="N13" i="1"/>
  <c r="Q35" i="37"/>
  <c r="Q19" i="35"/>
  <c r="Q24" i="21"/>
  <c r="P24" i="24"/>
  <c r="Q24" i="24" s="1"/>
  <c r="I28" i="1"/>
  <c r="Q35" i="27"/>
  <c r="M26" i="1"/>
  <c r="AQ26" i="1" s="1"/>
  <c r="P86" i="27"/>
  <c r="Q86" i="27" s="1"/>
  <c r="P87" i="33"/>
  <c r="Q87" i="33" s="1"/>
  <c r="U92" i="2"/>
  <c r="M108" i="1" s="1"/>
  <c r="AZ135" i="1"/>
  <c r="S107" i="2"/>
  <c r="P85" i="35"/>
  <c r="Q85" i="35" s="1"/>
  <c r="S33" i="1"/>
  <c r="Q25" i="35"/>
  <c r="Q25" i="19"/>
  <c r="P78" i="33"/>
  <c r="Q78" i="33" s="1"/>
  <c r="H126" i="2"/>
  <c r="AX137" i="1"/>
  <c r="BB126" i="1"/>
  <c r="Q9" i="2"/>
  <c r="K61" i="29" s="1"/>
  <c r="Q32" i="35"/>
  <c r="U10" i="2"/>
  <c r="O63" i="31" s="1"/>
  <c r="Q28" i="37"/>
  <c r="Q29" i="35"/>
  <c r="M54" i="1"/>
  <c r="AR54" i="1" s="1"/>
  <c r="M50" i="1"/>
  <c r="AR50" i="1" s="1"/>
  <c r="AQ25" i="1"/>
  <c r="C79" i="2"/>
  <c r="I98" i="1"/>
  <c r="Q98" i="1" s="1"/>
  <c r="P81" i="24"/>
  <c r="Q81" i="24" s="1"/>
  <c r="Q74" i="2"/>
  <c r="P79" i="31"/>
  <c r="Q79" i="31" s="1"/>
  <c r="P77" i="24"/>
  <c r="Q77" i="24" s="1"/>
  <c r="G76" i="2"/>
  <c r="M95" i="1"/>
  <c r="M94" i="1"/>
  <c r="G75" i="2"/>
  <c r="M98" i="1"/>
  <c r="G79" i="2"/>
  <c r="C41" i="2"/>
  <c r="I67" i="1"/>
  <c r="C34" i="2"/>
  <c r="I60" i="1"/>
  <c r="G34" i="2"/>
  <c r="M60" i="1"/>
  <c r="G53" i="2"/>
  <c r="M77" i="1"/>
  <c r="G37" i="2"/>
  <c r="M63" i="1"/>
  <c r="P67" i="31"/>
  <c r="P62" i="37"/>
  <c r="P66" i="19"/>
  <c r="Q66" i="19" s="1"/>
  <c r="P67" i="35"/>
  <c r="Q67" i="35" s="1"/>
  <c r="F77" i="2"/>
  <c r="L96" i="1"/>
  <c r="L99" i="1"/>
  <c r="F80" i="2"/>
  <c r="L95" i="1"/>
  <c r="F76" i="2"/>
  <c r="AS16" i="1"/>
  <c r="AU16" i="1"/>
  <c r="AV16" i="1"/>
  <c r="AT16" i="1"/>
  <c r="AP16" i="1"/>
  <c r="U23" i="1"/>
  <c r="Q23" i="1"/>
  <c r="O23" i="1"/>
  <c r="P90" i="31"/>
  <c r="Q90" i="31" s="1"/>
  <c r="Q65" i="21"/>
  <c r="H125" i="2"/>
  <c r="P78" i="21"/>
  <c r="Q78" i="21" s="1"/>
  <c r="Q73" i="2"/>
  <c r="P79" i="27"/>
  <c r="Q79" i="27" s="1"/>
  <c r="Q75" i="2"/>
  <c r="M7" i="4"/>
  <c r="M6" i="4"/>
  <c r="P74" i="19"/>
  <c r="Q74" i="19" s="1"/>
  <c r="M92" i="1"/>
  <c r="AR92" i="1" s="1"/>
  <c r="G73" i="2"/>
  <c r="U82" i="2"/>
  <c r="M100" i="1"/>
  <c r="G81" i="2"/>
  <c r="C36" i="2"/>
  <c r="I62" i="1"/>
  <c r="P62" i="1" s="1"/>
  <c r="AZ62" i="1" s="1"/>
  <c r="Q42" i="2"/>
  <c r="G52" i="2"/>
  <c r="M76" i="1"/>
  <c r="G33" i="2"/>
  <c r="M59" i="1"/>
  <c r="AR59" i="1" s="1"/>
  <c r="U42" i="2"/>
  <c r="G35" i="2"/>
  <c r="M61" i="1"/>
  <c r="G48" i="2"/>
  <c r="M72" i="1"/>
  <c r="O33" i="1"/>
  <c r="T33" i="1"/>
  <c r="U33" i="1"/>
  <c r="P33" i="1"/>
  <c r="N33" i="1"/>
  <c r="P63" i="35"/>
  <c r="P66" i="21"/>
  <c r="Q66" i="21" s="1"/>
  <c r="P67" i="27"/>
  <c r="Q67" i="27" s="1"/>
  <c r="F74" i="2"/>
  <c r="L93" i="1"/>
  <c r="L100" i="1"/>
  <c r="F81" i="2"/>
  <c r="U9" i="2"/>
  <c r="O61" i="29" s="1"/>
  <c r="P87" i="27"/>
  <c r="Q87" i="27" s="1"/>
  <c r="P88" i="33"/>
  <c r="Q88" i="33" s="1"/>
  <c r="P84" i="37"/>
  <c r="Q84" i="37" s="1"/>
  <c r="P89" i="31"/>
  <c r="Q89" i="31" s="1"/>
  <c r="Q36" i="29"/>
  <c r="Q19" i="29"/>
  <c r="Q23" i="19"/>
  <c r="Q30" i="31"/>
  <c r="Q34" i="37"/>
  <c r="I12" i="1"/>
  <c r="S12" i="1" s="1"/>
  <c r="O36" i="41"/>
  <c r="M32" i="1"/>
  <c r="AR32" i="1" s="1"/>
  <c r="T102" i="2"/>
  <c r="F102" i="2" s="1"/>
  <c r="T108" i="2"/>
  <c r="L121" i="1" s="1"/>
  <c r="P85" i="37"/>
  <c r="Q85" i="37" s="1"/>
  <c r="U94" i="2"/>
  <c r="G94" i="2" s="1"/>
  <c r="BA135" i="1"/>
  <c r="BE135" i="1"/>
  <c r="Q101" i="2"/>
  <c r="U12" i="2"/>
  <c r="O59" i="35" s="1"/>
  <c r="Q26" i="33"/>
  <c r="Q34" i="21"/>
  <c r="S101" i="2"/>
  <c r="E101" i="2" s="1"/>
  <c r="P79" i="29"/>
  <c r="Q79" i="29" s="1"/>
  <c r="BE137" i="1"/>
  <c r="AY137" i="1"/>
  <c r="AY126" i="1"/>
  <c r="Q17" i="31"/>
  <c r="Q31" i="29"/>
  <c r="D43" i="13"/>
  <c r="R25" i="1"/>
  <c r="T10" i="2"/>
  <c r="N63" i="31" s="1"/>
  <c r="M42" i="1"/>
  <c r="AS42" i="1" s="1"/>
  <c r="P78" i="19"/>
  <c r="Q78" i="19" s="1"/>
  <c r="Q76" i="2"/>
  <c r="Q78" i="2"/>
  <c r="P83" i="31"/>
  <c r="Q83" i="31" s="1"/>
  <c r="Q81" i="2"/>
  <c r="P78" i="37"/>
  <c r="Q78" i="37" s="1"/>
  <c r="E34" i="5"/>
  <c r="E35" i="5" s="1"/>
  <c r="P77" i="29"/>
  <c r="Q77" i="29" s="1"/>
  <c r="P76" i="33"/>
  <c r="Q76" i="33" s="1"/>
  <c r="M93" i="1"/>
  <c r="G74" i="2"/>
  <c r="G78" i="2"/>
  <c r="M97" i="1"/>
  <c r="C39" i="2"/>
  <c r="I65" i="1"/>
  <c r="Q65" i="1" s="1"/>
  <c r="I64" i="1"/>
  <c r="C38" i="2"/>
  <c r="I66" i="1"/>
  <c r="C40" i="2"/>
  <c r="M65" i="1"/>
  <c r="G39" i="2"/>
  <c r="M62" i="1"/>
  <c r="G36" i="2"/>
  <c r="G49" i="2"/>
  <c r="M73" i="1"/>
  <c r="Q43" i="21"/>
  <c r="P63" i="27"/>
  <c r="P65" i="24"/>
  <c r="P64" i="33"/>
  <c r="P69" i="24"/>
  <c r="Q69" i="24" s="1"/>
  <c r="P68" i="33"/>
  <c r="Q68" i="33" s="1"/>
  <c r="L98" i="1"/>
  <c r="F79" i="2"/>
  <c r="F73" i="2"/>
  <c r="L92" i="1"/>
  <c r="AI92" i="1" s="1"/>
  <c r="T82" i="2"/>
  <c r="U105" i="2"/>
  <c r="L117" i="1"/>
  <c r="AI117" i="1" s="1"/>
  <c r="F104" i="2"/>
  <c r="K120" i="1"/>
  <c r="AH120" i="1" s="1"/>
  <c r="AZ120" i="1" s="1"/>
  <c r="E107" i="2"/>
  <c r="I120" i="1"/>
  <c r="Q120" i="1" s="1"/>
  <c r="V123" i="2"/>
  <c r="I134" i="1"/>
  <c r="G34" i="5"/>
  <c r="G67" i="2"/>
  <c r="M89" i="1"/>
  <c r="M85" i="1"/>
  <c r="G63" i="2"/>
  <c r="M86" i="1"/>
  <c r="G64" i="2"/>
  <c r="M105" i="1"/>
  <c r="F12" i="15"/>
  <c r="Q75" i="35"/>
  <c r="T129" i="1"/>
  <c r="P129" i="1"/>
  <c r="U129" i="1"/>
  <c r="S129" i="1"/>
  <c r="R129" i="1"/>
  <c r="O129" i="1"/>
  <c r="N129" i="1"/>
  <c r="Q129" i="1"/>
  <c r="AO33" i="1"/>
  <c r="AU33" i="1"/>
  <c r="Q33" i="19"/>
  <c r="Q120" i="2"/>
  <c r="O39" i="41"/>
  <c r="J120" i="2" s="1"/>
  <c r="G50" i="2"/>
  <c r="M74" i="1"/>
  <c r="Q61" i="2"/>
  <c r="P80" i="27"/>
  <c r="Q80" i="27" s="1"/>
  <c r="Q60" i="2"/>
  <c r="P82" i="24"/>
  <c r="Q82" i="24" s="1"/>
  <c r="Q65" i="2"/>
  <c r="P81" i="33"/>
  <c r="Q81" i="33" s="1"/>
  <c r="Q68" i="29"/>
  <c r="P69" i="37"/>
  <c r="Q69" i="37" s="1"/>
  <c r="P72" i="24"/>
  <c r="Q72" i="24" s="1"/>
  <c r="P69" i="19"/>
  <c r="Q69" i="19" s="1"/>
  <c r="P84" i="24"/>
  <c r="Q84" i="24" s="1"/>
  <c r="Q88" i="2"/>
  <c r="Q93" i="2"/>
  <c r="P83" i="33"/>
  <c r="Q83" i="33" s="1"/>
  <c r="S108" i="2"/>
  <c r="L56" i="1"/>
  <c r="P68" i="37"/>
  <c r="Q68" i="37" s="1"/>
  <c r="L48" i="1"/>
  <c r="P71" i="29"/>
  <c r="Q71" i="29" s="1"/>
  <c r="L50" i="1"/>
  <c r="P73" i="31"/>
  <c r="Q73" i="31" s="1"/>
  <c r="L137" i="1"/>
  <c r="V126" i="2"/>
  <c r="Q17" i="19"/>
  <c r="P32" i="24"/>
  <c r="Q32" i="24" s="1"/>
  <c r="Q28" i="27"/>
  <c r="Q28" i="29"/>
  <c r="BG130" i="1"/>
  <c r="AY136" i="1"/>
  <c r="D12" i="15" s="1"/>
  <c r="G46" i="2"/>
  <c r="M70" i="1"/>
  <c r="AR70" i="1" s="1"/>
  <c r="U55" i="2"/>
  <c r="E90" i="2"/>
  <c r="K106" i="1"/>
  <c r="K105" i="1"/>
  <c r="E89" i="2"/>
  <c r="E93" i="2"/>
  <c r="K109" i="1"/>
  <c r="AQ13" i="1"/>
  <c r="AU13" i="1"/>
  <c r="AV13" i="1"/>
  <c r="AT13" i="1"/>
  <c r="AR13" i="1"/>
  <c r="P85" i="19"/>
  <c r="Q85" i="19" s="1"/>
  <c r="Q27" i="35"/>
  <c r="Q36" i="37"/>
  <c r="P38" i="24"/>
  <c r="Q38" i="24" s="1"/>
  <c r="O41" i="41"/>
  <c r="M120" i="2" s="1"/>
  <c r="T120" i="2"/>
  <c r="L131" i="1" s="1"/>
  <c r="Q42" i="19"/>
  <c r="BE134" i="1"/>
  <c r="H123" i="2"/>
  <c r="BD134" i="1"/>
  <c r="K85" i="1"/>
  <c r="AH85" i="1" s="1"/>
  <c r="AZ85" i="1" s="1"/>
  <c r="E63" i="2"/>
  <c r="E60" i="2"/>
  <c r="K82" i="1"/>
  <c r="AH82" i="1" s="1"/>
  <c r="F62" i="2"/>
  <c r="L84" i="1"/>
  <c r="F61" i="2"/>
  <c r="L83" i="1"/>
  <c r="AR46" i="1"/>
  <c r="AS46" i="1"/>
  <c r="AR52" i="1"/>
  <c r="AS52" i="1"/>
  <c r="Q46" i="2"/>
  <c r="P73" i="21"/>
  <c r="Q73" i="21" s="1"/>
  <c r="Q51" i="2"/>
  <c r="P78" i="31"/>
  <c r="Q78" i="31" s="1"/>
  <c r="T47" i="2"/>
  <c r="Q66" i="33"/>
  <c r="Q67" i="24"/>
  <c r="T39" i="2"/>
  <c r="P74" i="33"/>
  <c r="Q74" i="33" s="1"/>
  <c r="T38" i="2"/>
  <c r="P77" i="31"/>
  <c r="Q77" i="31" s="1"/>
  <c r="T89" i="2"/>
  <c r="P81" i="27"/>
  <c r="Q81" i="27" s="1"/>
  <c r="T95" i="2"/>
  <c r="P80" i="37"/>
  <c r="Q80" i="37" s="1"/>
  <c r="Q31" i="33"/>
  <c r="P84" i="27"/>
  <c r="Q84" i="27" s="1"/>
  <c r="Q108" i="2"/>
  <c r="C108" i="2" s="1"/>
  <c r="S109" i="2"/>
  <c r="K122" i="1" s="1"/>
  <c r="AH122" i="1" s="1"/>
  <c r="P87" i="24"/>
  <c r="Q87" i="24" s="1"/>
  <c r="AR21" i="1"/>
  <c r="AT33" i="1"/>
  <c r="AV33" i="1"/>
  <c r="Q20" i="37"/>
  <c r="P37" i="24"/>
  <c r="Q37" i="24" s="1"/>
  <c r="Q23" i="37"/>
  <c r="Q24" i="33"/>
  <c r="Q36" i="35"/>
  <c r="O26" i="41"/>
  <c r="M117" i="2" s="1"/>
  <c r="O117" i="2" s="1"/>
  <c r="T117" i="2"/>
  <c r="O31" i="41"/>
  <c r="K122" i="2" s="1"/>
  <c r="O122" i="2" s="1"/>
  <c r="R122" i="2"/>
  <c r="Q45" i="21"/>
  <c r="Q44" i="29"/>
  <c r="G17" i="5"/>
  <c r="M84" i="1"/>
  <c r="G62" i="2"/>
  <c r="M83" i="1"/>
  <c r="G61" i="2"/>
  <c r="G87" i="2"/>
  <c r="M103" i="1"/>
  <c r="G90" i="2"/>
  <c r="M106" i="1"/>
  <c r="M111" i="1"/>
  <c r="G95" i="2"/>
  <c r="I129" i="1"/>
  <c r="V118" i="2"/>
  <c r="AU27" i="1"/>
  <c r="AV27" i="1"/>
  <c r="AR27" i="1"/>
  <c r="AT27" i="1"/>
  <c r="T11" i="2"/>
  <c r="M11" i="2" s="1"/>
  <c r="M138" i="2" s="1"/>
  <c r="Q20" i="19"/>
  <c r="Q25" i="27"/>
  <c r="Q34" i="35"/>
  <c r="Q34" i="33"/>
  <c r="Q45" i="27"/>
  <c r="G47" i="2"/>
  <c r="M71" i="1"/>
  <c r="Q59" i="2"/>
  <c r="P79" i="21"/>
  <c r="Q79" i="21" s="1"/>
  <c r="Q66" i="2"/>
  <c r="P80" i="35"/>
  <c r="Q80" i="35" s="1"/>
  <c r="Q67" i="33"/>
  <c r="Q70" i="31"/>
  <c r="P70" i="27"/>
  <c r="Q70" i="27" s="1"/>
  <c r="P70" i="35"/>
  <c r="Q70" i="35" s="1"/>
  <c r="P85" i="29"/>
  <c r="Q85" i="29" s="1"/>
  <c r="Q91" i="2"/>
  <c r="P81" i="37"/>
  <c r="Q81" i="37" s="1"/>
  <c r="Q95" i="2"/>
  <c r="P86" i="31"/>
  <c r="Q86" i="31" s="1"/>
  <c r="Q92" i="2"/>
  <c r="L52" i="1"/>
  <c r="P70" i="33"/>
  <c r="Q70" i="33" s="1"/>
  <c r="L46" i="1"/>
  <c r="P68" i="19"/>
  <c r="Q68" i="19" s="1"/>
  <c r="P17" i="24"/>
  <c r="Q17" i="24" s="1"/>
  <c r="Q17" i="21"/>
  <c r="Q31" i="31"/>
  <c r="Q31" i="27"/>
  <c r="P29" i="24"/>
  <c r="Q29" i="24" s="1"/>
  <c r="Q28" i="31"/>
  <c r="Q47" i="29"/>
  <c r="P67" i="21"/>
  <c r="Q67" i="21" s="1"/>
  <c r="P70" i="29"/>
  <c r="Q70" i="29" s="1"/>
  <c r="BE136" i="1"/>
  <c r="Q78" i="29"/>
  <c r="I136" i="1"/>
  <c r="V125" i="2"/>
  <c r="P75" i="19"/>
  <c r="Q75" i="19" s="1"/>
  <c r="BA136" i="1"/>
  <c r="G54" i="2"/>
  <c r="M78" i="1"/>
  <c r="K107" i="1"/>
  <c r="E91" i="2"/>
  <c r="S96" i="2"/>
  <c r="E87" i="2"/>
  <c r="K103" i="1"/>
  <c r="F43" i="13"/>
  <c r="AO19" i="1"/>
  <c r="AS19" i="1"/>
  <c r="AV19" i="1"/>
  <c r="AT19" i="1"/>
  <c r="AR19" i="1"/>
  <c r="AQ19" i="1"/>
  <c r="AU19" i="1"/>
  <c r="AP19" i="1"/>
  <c r="Q26" i="37"/>
  <c r="Q26" i="27"/>
  <c r="Q27" i="21"/>
  <c r="Q38" i="35"/>
  <c r="Q38" i="33"/>
  <c r="U108" i="2"/>
  <c r="Q42" i="31"/>
  <c r="P43" i="24"/>
  <c r="Q43" i="24" s="1"/>
  <c r="BA134" i="1"/>
  <c r="AX134" i="1"/>
  <c r="K87" i="1"/>
  <c r="AH87" i="1" s="1"/>
  <c r="AZ87" i="1" s="1"/>
  <c r="E65" i="2"/>
  <c r="E66" i="2"/>
  <c r="K88" i="1"/>
  <c r="AH88" i="1" s="1"/>
  <c r="F67" i="2"/>
  <c r="L89" i="1"/>
  <c r="F65" i="2"/>
  <c r="L87" i="1"/>
  <c r="AX132" i="1"/>
  <c r="Q54" i="2"/>
  <c r="P73" i="37"/>
  <c r="Q73" i="37" s="1"/>
  <c r="Q47" i="2"/>
  <c r="P76" i="24"/>
  <c r="Q76" i="24" s="1"/>
  <c r="P75" i="33"/>
  <c r="Q75" i="33" s="1"/>
  <c r="Q52" i="2"/>
  <c r="T53" i="2"/>
  <c r="T48" i="2"/>
  <c r="T46" i="2"/>
  <c r="Q67" i="29"/>
  <c r="Q69" i="31"/>
  <c r="T34" i="2"/>
  <c r="P75" i="24"/>
  <c r="Q75" i="24" s="1"/>
  <c r="T35" i="2"/>
  <c r="P73" i="27"/>
  <c r="Q73" i="27" s="1"/>
  <c r="P82" i="33"/>
  <c r="Q82" i="33" s="1"/>
  <c r="T93" i="2"/>
  <c r="T91" i="2"/>
  <c r="P84" i="29"/>
  <c r="Q84" i="29" s="1"/>
  <c r="AH149" i="1"/>
  <c r="AG149" i="1"/>
  <c r="AM149" i="1"/>
  <c r="AL149" i="1"/>
  <c r="AK149" i="1"/>
  <c r="AI149" i="1"/>
  <c r="AJ149" i="1"/>
  <c r="E127" i="2"/>
  <c r="E141" i="2" s="1"/>
  <c r="F30" i="5"/>
  <c r="K13" i="5"/>
  <c r="E10" i="2"/>
  <c r="E14" i="2" s="1"/>
  <c r="L10" i="2"/>
  <c r="S14" i="2"/>
  <c r="O25" i="41"/>
  <c r="O116" i="2" s="1"/>
  <c r="E50" i="2"/>
  <c r="K74" i="1"/>
  <c r="AH74" i="1" s="1"/>
  <c r="AZ74" i="1" s="1"/>
  <c r="G60" i="2"/>
  <c r="M82" i="1"/>
  <c r="M88" i="1"/>
  <c r="G66" i="2"/>
  <c r="G92" i="2"/>
  <c r="M104" i="1"/>
  <c r="D127" i="2"/>
  <c r="D141" i="2" s="1"/>
  <c r="AB149" i="1"/>
  <c r="X149" i="1"/>
  <c r="AD149" i="1"/>
  <c r="AC149" i="1"/>
  <c r="AA149" i="1"/>
  <c r="Z149" i="1"/>
  <c r="W149" i="1"/>
  <c r="Y149" i="1"/>
  <c r="J135" i="1"/>
  <c r="V124" i="2"/>
  <c r="H118" i="2"/>
  <c r="AO21" i="1"/>
  <c r="AP21" i="1"/>
  <c r="S19" i="1"/>
  <c r="T19" i="1"/>
  <c r="P19" i="1"/>
  <c r="R19" i="1"/>
  <c r="U19" i="1"/>
  <c r="O19" i="1"/>
  <c r="N19" i="1"/>
  <c r="Q19" i="1"/>
  <c r="I18" i="1"/>
  <c r="P86" i="35"/>
  <c r="Q86" i="35" s="1"/>
  <c r="T7" i="2"/>
  <c r="N59" i="27" s="1"/>
  <c r="P21" i="24"/>
  <c r="Q21" i="24" s="1"/>
  <c r="Q33" i="29"/>
  <c r="P34" i="24"/>
  <c r="Q34" i="24" s="1"/>
  <c r="O35" i="41"/>
  <c r="S119" i="2"/>
  <c r="R120" i="2"/>
  <c r="J131" i="1" s="1"/>
  <c r="O40" i="41"/>
  <c r="K120" i="2" s="1"/>
  <c r="Q63" i="21"/>
  <c r="Q67" i="2"/>
  <c r="P79" i="37"/>
  <c r="Q79" i="37" s="1"/>
  <c r="Q62" i="2"/>
  <c r="P79" i="19"/>
  <c r="Q79" i="19" s="1"/>
  <c r="Q65" i="19"/>
  <c r="Q66" i="27"/>
  <c r="Q66" i="35"/>
  <c r="P69" i="21"/>
  <c r="Q69" i="21" s="1"/>
  <c r="P74" i="31"/>
  <c r="Q74" i="31" s="1"/>
  <c r="P82" i="35"/>
  <c r="Q82" i="35" s="1"/>
  <c r="Q94" i="2"/>
  <c r="P81" i="21"/>
  <c r="Q81" i="21" s="1"/>
  <c r="Q87" i="2"/>
  <c r="F127" i="2"/>
  <c r="F141" i="2" s="1"/>
  <c r="L44" i="1"/>
  <c r="P69" i="27"/>
  <c r="Q69" i="27" s="1"/>
  <c r="L54" i="1"/>
  <c r="P69" i="35"/>
  <c r="Q69" i="35" s="1"/>
  <c r="Q61" i="1"/>
  <c r="P61" i="1"/>
  <c r="AZ61" i="1" s="1"/>
  <c r="Q17" i="29"/>
  <c r="Q32" i="21"/>
  <c r="Q32" i="33"/>
  <c r="N6" i="4"/>
  <c r="N7" i="4"/>
  <c r="AZ136" i="1"/>
  <c r="BC136" i="1"/>
  <c r="K108" i="1"/>
  <c r="E92" i="2"/>
  <c r="K104" i="1"/>
  <c r="E88" i="2"/>
  <c r="G43" i="13"/>
  <c r="P11" i="1"/>
  <c r="T11" i="1"/>
  <c r="O11" i="1"/>
  <c r="S11" i="1"/>
  <c r="N11" i="1"/>
  <c r="R11" i="1"/>
  <c r="Q11" i="1"/>
  <c r="U11" i="1"/>
  <c r="Q27" i="33"/>
  <c r="Q26" i="29"/>
  <c r="Q26" i="19"/>
  <c r="Q38" i="21"/>
  <c r="Q37" i="27"/>
  <c r="Q42" i="27"/>
  <c r="I15" i="1"/>
  <c r="BB134" i="1"/>
  <c r="S68" i="2"/>
  <c r="K84" i="1"/>
  <c r="AH84" i="1" s="1"/>
  <c r="E62" i="2"/>
  <c r="E64" i="2"/>
  <c r="K86" i="1"/>
  <c r="AH86" i="1" s="1"/>
  <c r="K83" i="1"/>
  <c r="AH83" i="1" s="1"/>
  <c r="E61" i="2"/>
  <c r="L82" i="1"/>
  <c r="F60" i="2"/>
  <c r="L85" i="1"/>
  <c r="F63" i="2"/>
  <c r="H121" i="2"/>
  <c r="Q48" i="2"/>
  <c r="P74" i="27"/>
  <c r="Q74" i="27" s="1"/>
  <c r="Q53" i="2"/>
  <c r="P74" i="35"/>
  <c r="Q74" i="35" s="1"/>
  <c r="L75" i="1"/>
  <c r="F51" i="2"/>
  <c r="Q65" i="27"/>
  <c r="Q64" i="19"/>
  <c r="T40" i="2"/>
  <c r="P73" i="35"/>
  <c r="Q73" i="35" s="1"/>
  <c r="T33" i="2"/>
  <c r="P72" i="21"/>
  <c r="T41" i="2"/>
  <c r="P72" i="37"/>
  <c r="Q72" i="37" s="1"/>
  <c r="T88" i="2"/>
  <c r="P83" i="24"/>
  <c r="Q83" i="24" s="1"/>
  <c r="T92" i="2"/>
  <c r="P85" i="31"/>
  <c r="Q85" i="31" s="1"/>
  <c r="Q12" i="2"/>
  <c r="K59" i="35" s="1"/>
  <c r="Q6" i="2"/>
  <c r="S103" i="2"/>
  <c r="K116" i="1" s="1"/>
  <c r="AH116" i="1" s="1"/>
  <c r="Q105" i="2"/>
  <c r="I118" i="1" s="1"/>
  <c r="Q118" i="1" s="1"/>
  <c r="P86" i="19"/>
  <c r="Q86" i="19" s="1"/>
  <c r="P85" i="21"/>
  <c r="Q85" i="21" s="1"/>
  <c r="AP13" i="1"/>
  <c r="AR33" i="1"/>
  <c r="AQ21" i="1"/>
  <c r="Q25" i="37"/>
  <c r="Q37" i="35"/>
  <c r="M63" i="31"/>
  <c r="P19" i="24"/>
  <c r="Q19" i="27"/>
  <c r="Q23" i="29"/>
  <c r="Q23" i="27"/>
  <c r="Q35" i="19"/>
  <c r="H35" i="5"/>
  <c r="P45" i="24"/>
  <c r="Q45" i="24" s="1"/>
  <c r="Q45" i="33"/>
  <c r="E47" i="2"/>
  <c r="K71" i="1"/>
  <c r="AH71" i="1" s="1"/>
  <c r="G59" i="2"/>
  <c r="M81" i="1"/>
  <c r="AR81" i="1" s="1"/>
  <c r="U68" i="2"/>
  <c r="M87" i="1"/>
  <c r="G65" i="2"/>
  <c r="K78" i="1"/>
  <c r="AH78" i="1" s="1"/>
  <c r="E54" i="2"/>
  <c r="M109" i="1"/>
  <c r="G93" i="2"/>
  <c r="M107" i="1"/>
  <c r="G91" i="2"/>
  <c r="O118" i="2"/>
  <c r="I21" i="1"/>
  <c r="Q21" i="21"/>
  <c r="Q25" i="31"/>
  <c r="Q33" i="31"/>
  <c r="Q33" i="27"/>
  <c r="O30" i="41"/>
  <c r="M121" i="2" s="1"/>
  <c r="T121" i="2"/>
  <c r="L132" i="1" s="1"/>
  <c r="P63" i="37"/>
  <c r="Q63" i="2"/>
  <c r="P83" i="29"/>
  <c r="Q83" i="29" s="1"/>
  <c r="Q64" i="2"/>
  <c r="P84" i="31"/>
  <c r="Q84" i="31" s="1"/>
  <c r="P65" i="37"/>
  <c r="Q65" i="37" s="1"/>
  <c r="Q68" i="24"/>
  <c r="P71" i="33"/>
  <c r="Q71" i="33" s="1"/>
  <c r="P72" i="29"/>
  <c r="Q72" i="29" s="1"/>
  <c r="Q90" i="2"/>
  <c r="P81" i="19"/>
  <c r="Q81" i="19" s="1"/>
  <c r="P82" i="27"/>
  <c r="Q82" i="27" s="1"/>
  <c r="Q89" i="2"/>
  <c r="P68" i="21"/>
  <c r="Q68" i="21" s="1"/>
  <c r="L40" i="1"/>
  <c r="AI40" i="1" s="1"/>
  <c r="BA40" i="1" s="1"/>
  <c r="L42" i="1"/>
  <c r="P71" i="24"/>
  <c r="Q71" i="24" s="1"/>
  <c r="Q17" i="35"/>
  <c r="Q17" i="27"/>
  <c r="Q17" i="33"/>
  <c r="Q30" i="37"/>
  <c r="Q30" i="19"/>
  <c r="Q29" i="33"/>
  <c r="Q28" i="19"/>
  <c r="Q29" i="21"/>
  <c r="H8" i="15"/>
  <c r="K17" i="5"/>
  <c r="Q46" i="31"/>
  <c r="P67" i="37"/>
  <c r="Q67" i="37" s="1"/>
  <c r="Q70" i="24"/>
  <c r="BB136" i="1"/>
  <c r="G12" i="15" s="1"/>
  <c r="O125" i="2"/>
  <c r="AX136" i="1"/>
  <c r="C12" i="15" s="1"/>
  <c r="Q77" i="33"/>
  <c r="K111" i="1"/>
  <c r="E95" i="2"/>
  <c r="K110" i="1"/>
  <c r="E94" i="2"/>
  <c r="Q104" i="2"/>
  <c r="N127" i="2"/>
  <c r="N141" i="2" s="1"/>
  <c r="G127" i="2"/>
  <c r="G141" i="2" s="1"/>
  <c r="AV149" i="1"/>
  <c r="AR149" i="1"/>
  <c r="AO149" i="1"/>
  <c r="AP149" i="1"/>
  <c r="U127" i="2"/>
  <c r="U141" i="2" s="1"/>
  <c r="AQ149" i="1"/>
  <c r="AS149" i="1"/>
  <c r="AU149" i="1"/>
  <c r="AT149" i="1"/>
  <c r="E43" i="13"/>
  <c r="R79" i="2"/>
  <c r="P80" i="33"/>
  <c r="Q80" i="33" s="1"/>
  <c r="S16" i="1"/>
  <c r="N16" i="1"/>
  <c r="P16" i="1"/>
  <c r="I29" i="1"/>
  <c r="P27" i="24"/>
  <c r="Q27" i="24" s="1"/>
  <c r="Q26" i="31"/>
  <c r="Q37" i="31"/>
  <c r="Q37" i="29"/>
  <c r="L8" i="15"/>
  <c r="Q43" i="35"/>
  <c r="Q42" i="29"/>
  <c r="O123" i="2"/>
  <c r="BC134" i="1"/>
  <c r="AZ134" i="1"/>
  <c r="K81" i="1"/>
  <c r="AH81" i="1" s="1"/>
  <c r="E59" i="2"/>
  <c r="E67" i="2"/>
  <c r="K89" i="1"/>
  <c r="AH89" i="1" s="1"/>
  <c r="F59" i="2"/>
  <c r="L81" i="1"/>
  <c r="AI81" i="1" s="1"/>
  <c r="T68" i="2"/>
  <c r="L88" i="1"/>
  <c r="F66" i="2"/>
  <c r="F64" i="2"/>
  <c r="L86" i="1"/>
  <c r="R121" i="2"/>
  <c r="O29" i="41"/>
  <c r="K121" i="2" s="1"/>
  <c r="AR44" i="1"/>
  <c r="AS44" i="1"/>
  <c r="Q50" i="2"/>
  <c r="P76" i="29"/>
  <c r="Q76" i="29" s="1"/>
  <c r="Q49" i="2"/>
  <c r="P73" i="19"/>
  <c r="Q73" i="19" s="1"/>
  <c r="T50" i="2"/>
  <c r="T52" i="2"/>
  <c r="U109" i="2"/>
  <c r="P64" i="37"/>
  <c r="Q64" i="37" s="1"/>
  <c r="Q65" i="35"/>
  <c r="T36" i="2"/>
  <c r="P72" i="19"/>
  <c r="Q72" i="19" s="1"/>
  <c r="T37" i="2"/>
  <c r="P75" i="29"/>
  <c r="Q75" i="29" s="1"/>
  <c r="P80" i="21"/>
  <c r="Q80" i="21" s="1"/>
  <c r="T87" i="2"/>
  <c r="T94" i="2"/>
  <c r="P81" i="35"/>
  <c r="Q81" i="35" s="1"/>
  <c r="T90" i="2"/>
  <c r="P80" i="19"/>
  <c r="Q80" i="19" s="1"/>
  <c r="AA54" i="1"/>
  <c r="Z54" i="1"/>
  <c r="AP22" i="1"/>
  <c r="AO9" i="1"/>
  <c r="AP9" i="1"/>
  <c r="AV9" i="1"/>
  <c r="AU9" i="1"/>
  <c r="AR9" i="1"/>
  <c r="AS9" i="1"/>
  <c r="AQ9" i="1"/>
  <c r="AT9" i="1"/>
  <c r="I8" i="1"/>
  <c r="I9" i="1"/>
  <c r="S36" i="1"/>
  <c r="P36" i="1"/>
  <c r="O36" i="1"/>
  <c r="U36" i="1"/>
  <c r="Q36" i="1"/>
  <c r="N36" i="1"/>
  <c r="T36" i="1"/>
  <c r="R36" i="1"/>
  <c r="D12" i="2"/>
  <c r="L118" i="1"/>
  <c r="AJ118" i="1" s="1"/>
  <c r="G101" i="2"/>
  <c r="M114" i="1"/>
  <c r="AR114" i="1" s="1"/>
  <c r="F103" i="2"/>
  <c r="L116" i="1"/>
  <c r="R108" i="2"/>
  <c r="L89" i="35"/>
  <c r="I115" i="1"/>
  <c r="P84" i="35"/>
  <c r="G106" i="2"/>
  <c r="M119" i="1"/>
  <c r="R102" i="2"/>
  <c r="D101" i="2"/>
  <c r="J114" i="1"/>
  <c r="Z114" i="1" s="1"/>
  <c r="R105" i="2"/>
  <c r="L92" i="29"/>
  <c r="R104" i="2"/>
  <c r="L88" i="19"/>
  <c r="P83" i="19"/>
  <c r="F109" i="2"/>
  <c r="L93" i="31"/>
  <c r="R106" i="2"/>
  <c r="P88" i="31"/>
  <c r="I116" i="1"/>
  <c r="C103" i="2"/>
  <c r="M117" i="1"/>
  <c r="G104" i="2"/>
  <c r="E104" i="2"/>
  <c r="L120" i="1"/>
  <c r="F107" i="2"/>
  <c r="M120" i="1"/>
  <c r="F101" i="2"/>
  <c r="L114" i="1"/>
  <c r="Q87" i="29"/>
  <c r="G102" i="2"/>
  <c r="M115" i="1"/>
  <c r="R107" i="2"/>
  <c r="P85" i="33"/>
  <c r="R103" i="2"/>
  <c r="L89" i="27"/>
  <c r="K119" i="1"/>
  <c r="AH119" i="1" s="1"/>
  <c r="E106" i="2"/>
  <c r="P86" i="24"/>
  <c r="R109" i="2"/>
  <c r="P83" i="37"/>
  <c r="L88" i="37"/>
  <c r="C11" i="4"/>
  <c r="I65" i="13"/>
  <c r="BG126" i="1" l="1"/>
  <c r="I122" i="1"/>
  <c r="AS56" i="1"/>
  <c r="L117" i="37"/>
  <c r="AT35" i="1"/>
  <c r="AQ35" i="1"/>
  <c r="F13" i="2"/>
  <c r="K12" i="2"/>
  <c r="K139" i="2" s="1"/>
  <c r="M110" i="1"/>
  <c r="AS54" i="1"/>
  <c r="Z53" i="1"/>
  <c r="D93" i="2"/>
  <c r="E46" i="2"/>
  <c r="K70" i="1"/>
  <c r="AH70" i="1" s="1"/>
  <c r="BA114" i="1"/>
  <c r="D33" i="2"/>
  <c r="D42" i="2" s="1"/>
  <c r="AO15" i="1"/>
  <c r="U96" i="2"/>
  <c r="F49" i="2"/>
  <c r="AO18" i="1"/>
  <c r="AT22" i="1"/>
  <c r="D9" i="2"/>
  <c r="R55" i="2"/>
  <c r="AV18" i="1"/>
  <c r="V101" i="2"/>
  <c r="D68" i="2"/>
  <c r="Q72" i="21"/>
  <c r="P88" i="21"/>
  <c r="C33" i="2"/>
  <c r="I59" i="1"/>
  <c r="P59" i="1" s="1"/>
  <c r="AZ59" i="1" s="1"/>
  <c r="R132" i="2"/>
  <c r="K25" i="5"/>
  <c r="D51" i="2"/>
  <c r="J75" i="1"/>
  <c r="Z63" i="1"/>
  <c r="AA63" i="1"/>
  <c r="Z62" i="1"/>
  <c r="AA62" i="1"/>
  <c r="R13" i="2"/>
  <c r="R140" i="2" s="1"/>
  <c r="L58" i="37"/>
  <c r="Z84" i="1"/>
  <c r="AA84" i="1"/>
  <c r="K28" i="5"/>
  <c r="J30" i="5"/>
  <c r="J28" i="5"/>
  <c r="J31" i="5"/>
  <c r="J32" i="5"/>
  <c r="K32" i="5" s="1"/>
  <c r="J29" i="5"/>
  <c r="K29" i="5" s="1"/>
  <c r="J33" i="5"/>
  <c r="K33" i="5" s="1"/>
  <c r="J25" i="5"/>
  <c r="J24" i="5"/>
  <c r="K24" i="5" s="1"/>
  <c r="J26" i="5"/>
  <c r="K26" i="5" s="1"/>
  <c r="J27" i="5"/>
  <c r="K27" i="5" s="1"/>
  <c r="J23" i="5"/>
  <c r="R8" i="2"/>
  <c r="L58" i="19" s="1"/>
  <c r="L61" i="29"/>
  <c r="AA83" i="1"/>
  <c r="Z83" i="1"/>
  <c r="Z94" i="1"/>
  <c r="AA94" i="1"/>
  <c r="AA99" i="1"/>
  <c r="Z99" i="1"/>
  <c r="AA82" i="1"/>
  <c r="Z82" i="1"/>
  <c r="Z100" i="1"/>
  <c r="AA100" i="1"/>
  <c r="J76" i="1"/>
  <c r="D52" i="2"/>
  <c r="AA78" i="1"/>
  <c r="Z78" i="1"/>
  <c r="Z64" i="1"/>
  <c r="AA64" i="1"/>
  <c r="AA85" i="1"/>
  <c r="Z85" i="1"/>
  <c r="AA97" i="1"/>
  <c r="Z97" i="1"/>
  <c r="BA81" i="1"/>
  <c r="AA86" i="1"/>
  <c r="Z86" i="1"/>
  <c r="L58" i="21"/>
  <c r="K5" i="2"/>
  <c r="K132" i="2" s="1"/>
  <c r="D5" i="2"/>
  <c r="R11" i="2"/>
  <c r="R138" i="2" s="1"/>
  <c r="Z93" i="1"/>
  <c r="AA93" i="1"/>
  <c r="K31" i="5"/>
  <c r="Z46" i="1"/>
  <c r="AA46" i="1"/>
  <c r="D89" i="2"/>
  <c r="J105" i="1"/>
  <c r="J110" i="1"/>
  <c r="D94" i="2"/>
  <c r="J107" i="1"/>
  <c r="D91" i="2"/>
  <c r="AA65" i="1"/>
  <c r="Z65" i="1"/>
  <c r="I34" i="5"/>
  <c r="I35" i="5" s="1"/>
  <c r="J71" i="1"/>
  <c r="D47" i="2"/>
  <c r="Z88" i="1"/>
  <c r="AA88" i="1"/>
  <c r="AA95" i="1"/>
  <c r="Z95" i="1"/>
  <c r="K30" i="5"/>
  <c r="L59" i="27"/>
  <c r="K7" i="2"/>
  <c r="K134" i="2" s="1"/>
  <c r="D7" i="2"/>
  <c r="R6" i="2"/>
  <c r="Z67" i="1"/>
  <c r="AA67" i="1"/>
  <c r="L90" i="33"/>
  <c r="L93" i="33" s="1"/>
  <c r="BA92" i="1"/>
  <c r="AA56" i="1"/>
  <c r="Z61" i="1"/>
  <c r="AA61" i="1"/>
  <c r="D49" i="2"/>
  <c r="J73" i="1"/>
  <c r="AA66" i="1"/>
  <c r="Z66" i="1"/>
  <c r="D50" i="2"/>
  <c r="J74" i="1"/>
  <c r="Z96" i="1"/>
  <c r="AA96" i="1"/>
  <c r="J72" i="1"/>
  <c r="D48" i="2"/>
  <c r="D87" i="2"/>
  <c r="J103" i="1"/>
  <c r="R96" i="2"/>
  <c r="AA60" i="1"/>
  <c r="Z60" i="1"/>
  <c r="AA89" i="1"/>
  <c r="Z89" i="1"/>
  <c r="R10" i="2"/>
  <c r="L63" i="31" s="1"/>
  <c r="AA77" i="1"/>
  <c r="Z77" i="1"/>
  <c r="L117" i="19"/>
  <c r="J39" i="1"/>
  <c r="Z39" i="1" s="1"/>
  <c r="AU26" i="1"/>
  <c r="AO26" i="1"/>
  <c r="AV22" i="1"/>
  <c r="AO22" i="1"/>
  <c r="AQ18" i="1"/>
  <c r="AT18" i="1"/>
  <c r="AS12" i="1"/>
  <c r="AP12" i="1"/>
  <c r="AU12" i="1"/>
  <c r="AO12" i="1"/>
  <c r="AR42" i="1"/>
  <c r="AR48" i="1"/>
  <c r="D28" i="2"/>
  <c r="L91" i="24"/>
  <c r="L94" i="24" s="1"/>
  <c r="L91" i="21"/>
  <c r="L92" i="21" s="1"/>
  <c r="J51" i="1"/>
  <c r="L119" i="33"/>
  <c r="R28" i="2"/>
  <c r="L122" i="31"/>
  <c r="J49" i="1"/>
  <c r="J41" i="1"/>
  <c r="L120" i="24"/>
  <c r="J43" i="1"/>
  <c r="L118" i="27"/>
  <c r="L121" i="29"/>
  <c r="J47" i="1"/>
  <c r="L118" i="35"/>
  <c r="AA55" i="1"/>
  <c r="Z55" i="1"/>
  <c r="Z45" i="1"/>
  <c r="AA45" i="1"/>
  <c r="AO8" i="1"/>
  <c r="AU22" i="1"/>
  <c r="AS22" i="1"/>
  <c r="AR18" i="1"/>
  <c r="AS18" i="1"/>
  <c r="AP35" i="1"/>
  <c r="AR22" i="1"/>
  <c r="AP18" i="1"/>
  <c r="AR35" i="1"/>
  <c r="AP32" i="1"/>
  <c r="Q12" i="1"/>
  <c r="AT15" i="1"/>
  <c r="AU8" i="1"/>
  <c r="AU35" i="1"/>
  <c r="AS35" i="1"/>
  <c r="AV26" i="1"/>
  <c r="AR15" i="1"/>
  <c r="AQ8" i="1"/>
  <c r="AV15" i="1"/>
  <c r="AT8" i="1"/>
  <c r="AO35" i="1"/>
  <c r="AT26" i="1"/>
  <c r="I121" i="1"/>
  <c r="Q121" i="1" s="1"/>
  <c r="E103" i="2"/>
  <c r="V106" i="2"/>
  <c r="E109" i="2"/>
  <c r="C106" i="2"/>
  <c r="AJ119" i="1"/>
  <c r="G88" i="2"/>
  <c r="G96" i="2" s="1"/>
  <c r="BG137" i="1"/>
  <c r="N5" i="2"/>
  <c r="N132" i="2" s="1"/>
  <c r="J12" i="15"/>
  <c r="AS50" i="1"/>
  <c r="G5" i="2"/>
  <c r="AQ15" i="1"/>
  <c r="AU15" i="1"/>
  <c r="AP8" i="1"/>
  <c r="AR8" i="1"/>
  <c r="AT12" i="1"/>
  <c r="AV12" i="1"/>
  <c r="AU32" i="1"/>
  <c r="AS15" i="1"/>
  <c r="AS8" i="1"/>
  <c r="AR12" i="1"/>
  <c r="AV32" i="1"/>
  <c r="AP26" i="1"/>
  <c r="AS26" i="1"/>
  <c r="AS32" i="1"/>
  <c r="AR26" i="1"/>
  <c r="M14" i="1"/>
  <c r="M7" i="1"/>
  <c r="AV7" i="1" s="1"/>
  <c r="AV140" i="1" s="1"/>
  <c r="F7" i="2"/>
  <c r="M20" i="1"/>
  <c r="M9" i="15"/>
  <c r="N13" i="2"/>
  <c r="N140" i="2" s="1"/>
  <c r="G13" i="2"/>
  <c r="BG135" i="1"/>
  <c r="BH135" i="1" s="1"/>
  <c r="M7" i="2"/>
  <c r="M134" i="2" s="1"/>
  <c r="K118" i="1"/>
  <c r="AH118" i="1" s="1"/>
  <c r="AZ118" i="1" s="1"/>
  <c r="F108" i="2"/>
  <c r="V102" i="2"/>
  <c r="W102" i="2" s="1"/>
  <c r="AR116" i="1"/>
  <c r="K115" i="1"/>
  <c r="AH115" i="1" s="1"/>
  <c r="N58" i="37"/>
  <c r="V105" i="2"/>
  <c r="W105" i="2" s="1"/>
  <c r="E12" i="15"/>
  <c r="K114" i="1"/>
  <c r="AH114" i="1" s="1"/>
  <c r="P12" i="1"/>
  <c r="C42" i="2"/>
  <c r="S110" i="2"/>
  <c r="L115" i="1"/>
  <c r="AT32" i="1"/>
  <c r="AO32" i="1"/>
  <c r="N12" i="1"/>
  <c r="G42" i="2"/>
  <c r="G82" i="2"/>
  <c r="AJ78" i="1"/>
  <c r="AI78" i="1"/>
  <c r="I12" i="15"/>
  <c r="T127" i="2"/>
  <c r="T141" i="2" s="1"/>
  <c r="AQ32" i="1"/>
  <c r="T12" i="1"/>
  <c r="S28" i="1"/>
  <c r="U28" i="1"/>
  <c r="N28" i="1"/>
  <c r="P28" i="1"/>
  <c r="O28" i="1"/>
  <c r="R28" i="1"/>
  <c r="T28" i="1"/>
  <c r="AR76" i="1"/>
  <c r="AS76" i="1"/>
  <c r="C73" i="2"/>
  <c r="I92" i="1"/>
  <c r="P92" i="1" s="1"/>
  <c r="AZ92" i="1" s="1"/>
  <c r="BG92" i="1" s="1"/>
  <c r="V73" i="2"/>
  <c r="W73" i="2" s="1"/>
  <c r="Q82" i="2"/>
  <c r="AI99" i="1"/>
  <c r="AJ99" i="1"/>
  <c r="AR94" i="1"/>
  <c r="AS94" i="1"/>
  <c r="AI97" i="1"/>
  <c r="AJ97" i="1"/>
  <c r="AS64" i="1"/>
  <c r="AR64" i="1"/>
  <c r="AS96" i="1"/>
  <c r="AR96" i="1"/>
  <c r="AI118" i="1"/>
  <c r="V108" i="2"/>
  <c r="E68" i="2"/>
  <c r="AS62" i="1"/>
  <c r="AR62" i="1"/>
  <c r="P66" i="1"/>
  <c r="AZ66" i="1" s="1"/>
  <c r="Q66" i="1"/>
  <c r="AS93" i="1"/>
  <c r="AR93" i="1"/>
  <c r="C78" i="2"/>
  <c r="H78" i="2" s="1"/>
  <c r="V78" i="2"/>
  <c r="W78" i="2" s="1"/>
  <c r="I97" i="1"/>
  <c r="T110" i="2"/>
  <c r="AJ117" i="1"/>
  <c r="BH137" i="1"/>
  <c r="O12" i="1"/>
  <c r="R12" i="1"/>
  <c r="M118" i="1"/>
  <c r="G105" i="2"/>
  <c r="AR73" i="1"/>
  <c r="AS73" i="1"/>
  <c r="AR97" i="1"/>
  <c r="AS97" i="1"/>
  <c r="V76" i="2"/>
  <c r="W76" i="2" s="1"/>
  <c r="C76" i="2"/>
  <c r="H76" i="2" s="1"/>
  <c r="I95" i="1"/>
  <c r="P95" i="1" s="1"/>
  <c r="AZ95" i="1" s="1"/>
  <c r="AJ100" i="1"/>
  <c r="AI100" i="1"/>
  <c r="AR100" i="1"/>
  <c r="AS100" i="1"/>
  <c r="V75" i="2"/>
  <c r="W75" i="2" s="1"/>
  <c r="I94" i="1"/>
  <c r="C75" i="2"/>
  <c r="H75" i="2" s="1"/>
  <c r="AI95" i="1"/>
  <c r="AJ95" i="1"/>
  <c r="AR98" i="1"/>
  <c r="AS98" i="1"/>
  <c r="AJ94" i="1"/>
  <c r="AI94" i="1"/>
  <c r="O58" i="37"/>
  <c r="V103" i="2"/>
  <c r="W103" i="2" s="1"/>
  <c r="Q110" i="2"/>
  <c r="N60" i="33"/>
  <c r="I43" i="13"/>
  <c r="L119" i="2"/>
  <c r="O119" i="2" s="1"/>
  <c r="K127" i="2"/>
  <c r="K141" i="2" s="1"/>
  <c r="K12" i="15"/>
  <c r="U12" i="1"/>
  <c r="AI98" i="1"/>
  <c r="AJ98" i="1"/>
  <c r="AR65" i="1"/>
  <c r="AS65" i="1"/>
  <c r="P64" i="1"/>
  <c r="AZ64" i="1" s="1"/>
  <c r="Q64" i="1"/>
  <c r="C81" i="2"/>
  <c r="H81" i="2" s="1"/>
  <c r="I100" i="1"/>
  <c r="V81" i="2"/>
  <c r="W81" i="2" s="1"/>
  <c r="I114" i="1"/>
  <c r="P114" i="1" s="1"/>
  <c r="C101" i="2"/>
  <c r="H101" i="2" s="1"/>
  <c r="AJ93" i="1"/>
  <c r="AI93" i="1"/>
  <c r="AR61" i="1"/>
  <c r="AS61" i="1"/>
  <c r="M8" i="4"/>
  <c r="AR63" i="1"/>
  <c r="AS63" i="1"/>
  <c r="AR60" i="1"/>
  <c r="AS60" i="1"/>
  <c r="Q67" i="1"/>
  <c r="P67" i="1"/>
  <c r="AZ67" i="1" s="1"/>
  <c r="AR67" i="1"/>
  <c r="AS67" i="1"/>
  <c r="I99" i="1"/>
  <c r="C80" i="2"/>
  <c r="H80" i="2" s="1"/>
  <c r="V80" i="2"/>
  <c r="W80" i="2" s="1"/>
  <c r="AR72" i="1"/>
  <c r="AS72" i="1"/>
  <c r="AI96" i="1"/>
  <c r="AJ96" i="1"/>
  <c r="AS77" i="1"/>
  <c r="AR77" i="1"/>
  <c r="P60" i="1"/>
  <c r="AZ60" i="1" s="1"/>
  <c r="Q60" i="1"/>
  <c r="AR95" i="1"/>
  <c r="AS95" i="1"/>
  <c r="I93" i="1"/>
  <c r="C74" i="2"/>
  <c r="H74" i="2" s="1"/>
  <c r="V74" i="2"/>
  <c r="W74" i="2" s="1"/>
  <c r="F82" i="2"/>
  <c r="AS66" i="1"/>
  <c r="AR66" i="1"/>
  <c r="AS99" i="1"/>
  <c r="AR99" i="1"/>
  <c r="V77" i="2"/>
  <c r="W77" i="2" s="1"/>
  <c r="I96" i="1"/>
  <c r="Q96" i="1" s="1"/>
  <c r="C77" i="2"/>
  <c r="H77" i="2" s="1"/>
  <c r="L74" i="1"/>
  <c r="F50" i="2"/>
  <c r="C50" i="2"/>
  <c r="V50" i="2"/>
  <c r="W50" i="2" s="1"/>
  <c r="I74" i="1"/>
  <c r="Q74" i="1" s="1"/>
  <c r="S25" i="2"/>
  <c r="M90" i="33"/>
  <c r="AI42" i="1"/>
  <c r="BA42" i="1" s="1"/>
  <c r="AJ42" i="1"/>
  <c r="BB42" i="1" s="1"/>
  <c r="V63" i="2"/>
  <c r="W63" i="2" s="1"/>
  <c r="C63" i="2"/>
  <c r="H63" i="2" s="1"/>
  <c r="I85" i="1"/>
  <c r="Q85" i="1" s="1"/>
  <c r="Q27" i="2"/>
  <c r="K88" i="37"/>
  <c r="Q65" i="33"/>
  <c r="H12" i="15"/>
  <c r="U25" i="2"/>
  <c r="G25" i="2" s="1"/>
  <c r="O90" i="33"/>
  <c r="U24" i="2"/>
  <c r="G24" i="2" s="1"/>
  <c r="O93" i="31"/>
  <c r="N117" i="19"/>
  <c r="L45" i="1"/>
  <c r="AJ85" i="1"/>
  <c r="AI85" i="1"/>
  <c r="S23" i="2"/>
  <c r="M92" i="29"/>
  <c r="E96" i="2"/>
  <c r="N8" i="4"/>
  <c r="K40" i="1"/>
  <c r="AH40" i="1" s="1"/>
  <c r="AZ40" i="1" s="1"/>
  <c r="BG40" i="1" s="1"/>
  <c r="Q64" i="35"/>
  <c r="P89" i="35"/>
  <c r="V119" i="2"/>
  <c r="BH130" i="1" s="1"/>
  <c r="K130" i="1"/>
  <c r="U20" i="2"/>
  <c r="G20" i="2" s="1"/>
  <c r="O91" i="24"/>
  <c r="F91" i="2"/>
  <c r="L107" i="1"/>
  <c r="F35" i="2"/>
  <c r="H35" i="2" s="1"/>
  <c r="L61" i="1"/>
  <c r="V35" i="2"/>
  <c r="W35" i="2" s="1"/>
  <c r="N122" i="31"/>
  <c r="L49" i="1"/>
  <c r="T23" i="2"/>
  <c r="F23" i="2" s="1"/>
  <c r="N92" i="29"/>
  <c r="F46" i="2"/>
  <c r="L70" i="1"/>
  <c r="AI70" i="1" s="1"/>
  <c r="BA70" i="1" s="1"/>
  <c r="T55" i="2"/>
  <c r="C54" i="2"/>
  <c r="H54" i="2" s="1"/>
  <c r="I78" i="1"/>
  <c r="V54" i="2"/>
  <c r="W54" i="2" s="1"/>
  <c r="AJ89" i="1"/>
  <c r="AI89" i="1"/>
  <c r="S19" i="2"/>
  <c r="S27" i="2"/>
  <c r="M88" i="37"/>
  <c r="F34" i="5"/>
  <c r="F35" i="5" s="1"/>
  <c r="BE125" i="1"/>
  <c r="U149" i="1"/>
  <c r="Q127" i="2"/>
  <c r="Q141" i="2" s="1"/>
  <c r="V115" i="2"/>
  <c r="BC125" i="1"/>
  <c r="S149" i="1"/>
  <c r="AJ46" i="1"/>
  <c r="BB46" i="1" s="1"/>
  <c r="AI46" i="1"/>
  <c r="K44" i="1"/>
  <c r="AH44" i="1" s="1"/>
  <c r="AZ44" i="1" s="1"/>
  <c r="V66" i="2"/>
  <c r="W66" i="2" s="1"/>
  <c r="C66" i="2"/>
  <c r="H66" i="2" s="1"/>
  <c r="I88" i="1"/>
  <c r="G55" i="2"/>
  <c r="I45" i="1"/>
  <c r="P45" i="1" s="1"/>
  <c r="K117" i="19"/>
  <c r="T5" i="2"/>
  <c r="N58" i="21" s="1"/>
  <c r="M39" i="1"/>
  <c r="AR39" i="1" s="1"/>
  <c r="O117" i="21"/>
  <c r="O6" i="4"/>
  <c r="G35" i="5"/>
  <c r="O7" i="4"/>
  <c r="P7" i="4" s="1"/>
  <c r="L105" i="1"/>
  <c r="F89" i="2"/>
  <c r="F39" i="2"/>
  <c r="H39" i="2" s="1"/>
  <c r="L65" i="1"/>
  <c r="V39" i="2"/>
  <c r="W39" i="2" s="1"/>
  <c r="L51" i="1"/>
  <c r="N119" i="33"/>
  <c r="AI83" i="1"/>
  <c r="AJ83" i="1"/>
  <c r="S26" i="2"/>
  <c r="E26" i="2" s="1"/>
  <c r="M89" i="35"/>
  <c r="AI48" i="1"/>
  <c r="AJ48" i="1"/>
  <c r="BB48" i="1" s="1"/>
  <c r="V65" i="2"/>
  <c r="W65" i="2" s="1"/>
  <c r="I87" i="1"/>
  <c r="Q87" i="1" s="1"/>
  <c r="C65" i="2"/>
  <c r="H65" i="2" s="1"/>
  <c r="I83" i="1"/>
  <c r="V61" i="2"/>
  <c r="W61" i="2" s="1"/>
  <c r="C61" i="2"/>
  <c r="H61" i="2" s="1"/>
  <c r="Q23" i="2"/>
  <c r="Q136" i="2" s="1"/>
  <c r="K92" i="29"/>
  <c r="I43" i="1"/>
  <c r="K118" i="27"/>
  <c r="BB129" i="1"/>
  <c r="R169" i="1"/>
  <c r="BB169" i="1" s="1"/>
  <c r="H20" i="13" s="1"/>
  <c r="H66" i="13" s="1"/>
  <c r="G12" i="4" s="1"/>
  <c r="G37" i="4" s="1"/>
  <c r="G61" i="4" s="1"/>
  <c r="BD129" i="1"/>
  <c r="J7" i="15" s="1"/>
  <c r="T169" i="1"/>
  <c r="BD169" i="1" s="1"/>
  <c r="K20" i="13" s="1"/>
  <c r="K66" i="13" s="1"/>
  <c r="U27" i="2"/>
  <c r="O88" i="37"/>
  <c r="F94" i="2"/>
  <c r="L110" i="1"/>
  <c r="F37" i="2"/>
  <c r="H37" i="2" s="1"/>
  <c r="L63" i="1"/>
  <c r="V37" i="2"/>
  <c r="W37" i="2" s="1"/>
  <c r="T26" i="2"/>
  <c r="F26" i="2" s="1"/>
  <c r="N89" i="35"/>
  <c r="N117" i="37"/>
  <c r="L55" i="1"/>
  <c r="O121" i="2"/>
  <c r="S22" i="2"/>
  <c r="M88" i="19"/>
  <c r="I22" i="1"/>
  <c r="N29" i="1"/>
  <c r="P29" i="1"/>
  <c r="Q29" i="1"/>
  <c r="S29" i="1"/>
  <c r="O29" i="1"/>
  <c r="T29" i="1"/>
  <c r="R29" i="1"/>
  <c r="U29" i="1"/>
  <c r="BG136" i="1"/>
  <c r="BH136" i="1" s="1"/>
  <c r="M8" i="15"/>
  <c r="K120" i="24"/>
  <c r="I41" i="1"/>
  <c r="Q63" i="37"/>
  <c r="P88" i="37"/>
  <c r="Q25" i="2"/>
  <c r="K90" i="33"/>
  <c r="O119" i="33"/>
  <c r="M51" i="1"/>
  <c r="O122" i="31"/>
  <c r="M49" i="1"/>
  <c r="F88" i="2"/>
  <c r="L104" i="1"/>
  <c r="F33" i="2"/>
  <c r="L59" i="1"/>
  <c r="AI59" i="1" s="1"/>
  <c r="BA59" i="1" s="1"/>
  <c r="BG59" i="1" s="1"/>
  <c r="T42" i="2"/>
  <c r="V33" i="2"/>
  <c r="T22" i="2"/>
  <c r="F22" i="2" s="1"/>
  <c r="N88" i="19"/>
  <c r="T21" i="2"/>
  <c r="F21" i="2" s="1"/>
  <c r="N89" i="27"/>
  <c r="N92" i="27" s="1"/>
  <c r="AJ73" i="1"/>
  <c r="AI73" i="1"/>
  <c r="I72" i="1"/>
  <c r="C48" i="2"/>
  <c r="V48" i="2"/>
  <c r="W48" i="2" s="1"/>
  <c r="F68" i="2"/>
  <c r="K43" i="1"/>
  <c r="AH43" i="1" s="1"/>
  <c r="M118" i="27"/>
  <c r="Q17" i="37"/>
  <c r="AI44" i="1"/>
  <c r="BA44" i="1" s="1"/>
  <c r="AJ44" i="1"/>
  <c r="BB44" i="1" s="1"/>
  <c r="C87" i="2"/>
  <c r="V87" i="2"/>
  <c r="I103" i="1"/>
  <c r="Q96" i="2"/>
  <c r="K50" i="1"/>
  <c r="AH50" i="1" s="1"/>
  <c r="AZ50" i="1" s="1"/>
  <c r="C62" i="2"/>
  <c r="H62" i="2" s="1"/>
  <c r="V62" i="2"/>
  <c r="W62" i="2" s="1"/>
  <c r="I84" i="1"/>
  <c r="P84" i="1" s="1"/>
  <c r="AZ84" i="1" s="1"/>
  <c r="Q26" i="2"/>
  <c r="K89" i="35"/>
  <c r="K117" i="21"/>
  <c r="I39" i="1"/>
  <c r="P39" i="1" s="1"/>
  <c r="Q18" i="1"/>
  <c r="R18" i="1"/>
  <c r="T18" i="1"/>
  <c r="O18" i="1"/>
  <c r="S18" i="1"/>
  <c r="P18" i="1"/>
  <c r="U18" i="1"/>
  <c r="N18" i="1"/>
  <c r="AS88" i="1"/>
  <c r="AR88" i="1"/>
  <c r="M41" i="1"/>
  <c r="O120" i="24"/>
  <c r="L137" i="2"/>
  <c r="L14" i="2"/>
  <c r="I24" i="1"/>
  <c r="C105" i="2"/>
  <c r="F87" i="2"/>
  <c r="L103" i="1"/>
  <c r="T96" i="2"/>
  <c r="N118" i="35"/>
  <c r="L53" i="1"/>
  <c r="M122" i="1"/>
  <c r="G109" i="2"/>
  <c r="C49" i="2"/>
  <c r="H49" i="2" s="1"/>
  <c r="I73" i="1"/>
  <c r="P73" i="1" s="1"/>
  <c r="AZ73" i="1" s="1"/>
  <c r="V49" i="2"/>
  <c r="W49" i="2" s="1"/>
  <c r="J132" i="1"/>
  <c r="V121" i="2"/>
  <c r="AI88" i="1"/>
  <c r="AJ88" i="1"/>
  <c r="K45" i="1"/>
  <c r="AH45" i="1" s="1"/>
  <c r="M117" i="19"/>
  <c r="J98" i="1"/>
  <c r="D79" i="2"/>
  <c r="R82" i="2"/>
  <c r="V79" i="2"/>
  <c r="I106" i="1"/>
  <c r="C90" i="2"/>
  <c r="V90" i="2"/>
  <c r="K52" i="1"/>
  <c r="AH52" i="1" s="1"/>
  <c r="AZ52" i="1" s="1"/>
  <c r="V64" i="2"/>
  <c r="W64" i="2" s="1"/>
  <c r="I86" i="1"/>
  <c r="C64" i="2"/>
  <c r="H64" i="2" s="1"/>
  <c r="Q66" i="24"/>
  <c r="P91" i="24"/>
  <c r="I55" i="1"/>
  <c r="K117" i="37"/>
  <c r="AS87" i="1"/>
  <c r="AR87" i="1"/>
  <c r="O117" i="19"/>
  <c r="M45" i="1"/>
  <c r="AI82" i="1"/>
  <c r="AJ82" i="1"/>
  <c r="S21" i="2"/>
  <c r="M89" i="27"/>
  <c r="Q13" i="2"/>
  <c r="K58" i="37" s="1"/>
  <c r="I53" i="1"/>
  <c r="K118" i="35"/>
  <c r="R127" i="2"/>
  <c r="R141" i="2" s="1"/>
  <c r="AS82" i="1"/>
  <c r="AR82" i="1"/>
  <c r="M43" i="1"/>
  <c r="O118" i="27"/>
  <c r="V116" i="2"/>
  <c r="BH127" i="1" s="1"/>
  <c r="I127" i="1"/>
  <c r="F34" i="2"/>
  <c r="H34" i="2" s="1"/>
  <c r="L60" i="1"/>
  <c r="V34" i="2"/>
  <c r="W34" i="2" s="1"/>
  <c r="L47" i="1"/>
  <c r="N121" i="29"/>
  <c r="Q64" i="21"/>
  <c r="L77" i="1"/>
  <c r="F53" i="2"/>
  <c r="I71" i="1"/>
  <c r="C47" i="2"/>
  <c r="V47" i="2"/>
  <c r="W47" i="2" s="1"/>
  <c r="AI87" i="1"/>
  <c r="AJ87" i="1"/>
  <c r="BG134" i="1"/>
  <c r="BH134" i="1" s="1"/>
  <c r="M122" i="31"/>
  <c r="K49" i="1"/>
  <c r="AH49" i="1" s="1"/>
  <c r="J127" i="2"/>
  <c r="J141" i="2" s="1"/>
  <c r="O115" i="2"/>
  <c r="P149" i="1"/>
  <c r="AZ125" i="1"/>
  <c r="N149" i="1"/>
  <c r="AX125" i="1"/>
  <c r="AJ52" i="1"/>
  <c r="BB52" i="1" s="1"/>
  <c r="AI52" i="1"/>
  <c r="BA52" i="1" s="1"/>
  <c r="K54" i="1"/>
  <c r="AH54" i="1" s="1"/>
  <c r="AZ54" i="1" s="1"/>
  <c r="C59" i="2"/>
  <c r="I81" i="1"/>
  <c r="P81" i="1" s="1"/>
  <c r="AZ81" i="1" s="1"/>
  <c r="V59" i="2"/>
  <c r="Q68" i="2"/>
  <c r="Q68" i="31"/>
  <c r="P93" i="31"/>
  <c r="Q63" i="19"/>
  <c r="P88" i="19"/>
  <c r="G68" i="2"/>
  <c r="U23" i="2"/>
  <c r="G23" i="2" s="1"/>
  <c r="O92" i="29"/>
  <c r="L128" i="1"/>
  <c r="V117" i="2"/>
  <c r="BH128" i="1" s="1"/>
  <c r="L111" i="1"/>
  <c r="F95" i="2"/>
  <c r="L64" i="1"/>
  <c r="F38" i="2"/>
  <c r="H38" i="2" s="1"/>
  <c r="V38" i="2"/>
  <c r="W38" i="2" s="1"/>
  <c r="AI84" i="1"/>
  <c r="AJ84" i="1"/>
  <c r="S20" i="2"/>
  <c r="M91" i="24"/>
  <c r="AI50" i="1"/>
  <c r="BA50" i="1" s="1"/>
  <c r="AJ50" i="1"/>
  <c r="BB50" i="1" s="1"/>
  <c r="AJ56" i="1"/>
  <c r="AI56" i="1"/>
  <c r="BA56" i="1" s="1"/>
  <c r="C88" i="2"/>
  <c r="I104" i="1"/>
  <c r="V88" i="2"/>
  <c r="V60" i="2"/>
  <c r="W60" i="2" s="1"/>
  <c r="C60" i="2"/>
  <c r="H60" i="2" s="1"/>
  <c r="I82" i="1"/>
  <c r="Q64" i="27"/>
  <c r="P89" i="27"/>
  <c r="V120" i="2"/>
  <c r="BH131" i="1" s="1"/>
  <c r="I131" i="1"/>
  <c r="AX129" i="1"/>
  <c r="N169" i="1"/>
  <c r="AX169" i="1" s="1"/>
  <c r="BE129" i="1"/>
  <c r="K7" i="15" s="1"/>
  <c r="U169" i="1"/>
  <c r="BE169" i="1" s="1"/>
  <c r="L20" i="13" s="1"/>
  <c r="L66" i="13" s="1"/>
  <c r="AS89" i="1"/>
  <c r="AR89" i="1"/>
  <c r="U26" i="2"/>
  <c r="G26" i="2" s="1"/>
  <c r="O89" i="35"/>
  <c r="Q28" i="1"/>
  <c r="U110" i="2"/>
  <c r="F11" i="2"/>
  <c r="L106" i="1"/>
  <c r="F90" i="2"/>
  <c r="L62" i="1"/>
  <c r="F36" i="2"/>
  <c r="H36" i="2" s="1"/>
  <c r="V36" i="2"/>
  <c r="W36" i="2" s="1"/>
  <c r="T27" i="2"/>
  <c r="N88" i="37"/>
  <c r="L76" i="1"/>
  <c r="F52" i="2"/>
  <c r="AI86" i="1"/>
  <c r="AJ86" i="1"/>
  <c r="K51" i="1"/>
  <c r="AH51" i="1" s="1"/>
  <c r="AZ51" i="1" s="1"/>
  <c r="M119" i="33"/>
  <c r="I32" i="1"/>
  <c r="C104" i="2"/>
  <c r="I117" i="1"/>
  <c r="P117" i="1" s="1"/>
  <c r="AZ117" i="1" s="1"/>
  <c r="C89" i="2"/>
  <c r="I105" i="1"/>
  <c r="V89" i="2"/>
  <c r="K48" i="1"/>
  <c r="AH48" i="1" s="1"/>
  <c r="AZ48" i="1" s="1"/>
  <c r="Q20" i="2"/>
  <c r="Q133" i="2" s="1"/>
  <c r="K91" i="24"/>
  <c r="K94" i="24" s="1"/>
  <c r="K119" i="33"/>
  <c r="I51" i="1"/>
  <c r="Q51" i="1" s="1"/>
  <c r="T21" i="1"/>
  <c r="O21" i="1"/>
  <c r="P21" i="1"/>
  <c r="S21" i="1"/>
  <c r="Q21" i="1"/>
  <c r="U21" i="1"/>
  <c r="R21" i="1"/>
  <c r="N21" i="1"/>
  <c r="U22" i="2"/>
  <c r="G22" i="2" s="1"/>
  <c r="O88" i="19"/>
  <c r="L108" i="1"/>
  <c r="F92" i="2"/>
  <c r="L67" i="1"/>
  <c r="F41" i="2"/>
  <c r="H41" i="2" s="1"/>
  <c r="V41" i="2"/>
  <c r="W41" i="2" s="1"/>
  <c r="L66" i="1"/>
  <c r="F40" i="2"/>
  <c r="H40" i="2" s="1"/>
  <c r="V40" i="2"/>
  <c r="W40" i="2" s="1"/>
  <c r="N118" i="27"/>
  <c r="L43" i="1"/>
  <c r="AI75" i="1"/>
  <c r="AJ75" i="1"/>
  <c r="C53" i="2"/>
  <c r="H53" i="2" s="1"/>
  <c r="I77" i="1"/>
  <c r="V53" i="2"/>
  <c r="W53" i="2" s="1"/>
  <c r="M121" i="29"/>
  <c r="K47" i="1"/>
  <c r="AH47" i="1" s="1"/>
  <c r="AZ47" i="1" s="1"/>
  <c r="R15" i="1"/>
  <c r="O15" i="1"/>
  <c r="P15" i="1"/>
  <c r="Q15" i="1"/>
  <c r="S15" i="1"/>
  <c r="U15" i="1"/>
  <c r="N15" i="1"/>
  <c r="T15" i="1"/>
  <c r="AI54" i="1"/>
  <c r="BA54" i="1" s="1"/>
  <c r="AJ54" i="1"/>
  <c r="M127" i="2"/>
  <c r="M141" i="2" s="1"/>
  <c r="C94" i="2"/>
  <c r="I110" i="1"/>
  <c r="V94" i="2"/>
  <c r="I89" i="1"/>
  <c r="C67" i="2"/>
  <c r="H67" i="2" s="1"/>
  <c r="V67" i="2"/>
  <c r="W67" i="2" s="1"/>
  <c r="Q19" i="2"/>
  <c r="Q132" i="2" s="1"/>
  <c r="U21" i="2"/>
  <c r="G21" i="2" s="1"/>
  <c r="O89" i="27"/>
  <c r="S127" i="2"/>
  <c r="S141" i="2" s="1"/>
  <c r="L39" i="1"/>
  <c r="AI39" i="1" s="1"/>
  <c r="N117" i="21"/>
  <c r="I76" i="1"/>
  <c r="Q76" i="1" s="1"/>
  <c r="C52" i="2"/>
  <c r="V52" i="2"/>
  <c r="W52" i="2" s="1"/>
  <c r="S24" i="2"/>
  <c r="M93" i="31"/>
  <c r="I26" i="1"/>
  <c r="AR78" i="1"/>
  <c r="AS78" i="1"/>
  <c r="AY125" i="1"/>
  <c r="O149" i="1"/>
  <c r="C127" i="2"/>
  <c r="C141" i="2" s="1"/>
  <c r="H141" i="2" s="1"/>
  <c r="H115" i="2"/>
  <c r="T149" i="1"/>
  <c r="BD125" i="1"/>
  <c r="C92" i="2"/>
  <c r="H92" i="2" s="1"/>
  <c r="V92" i="2"/>
  <c r="I108" i="1"/>
  <c r="I107" i="1"/>
  <c r="C91" i="2"/>
  <c r="V91" i="2"/>
  <c r="AS71" i="1"/>
  <c r="AR71" i="1"/>
  <c r="Q24" i="2"/>
  <c r="Q137" i="2" s="1"/>
  <c r="K93" i="31"/>
  <c r="AS84" i="1"/>
  <c r="AR84" i="1"/>
  <c r="M47" i="1"/>
  <c r="O121" i="29"/>
  <c r="V122" i="2"/>
  <c r="BH133" i="1" s="1"/>
  <c r="J133" i="1"/>
  <c r="T20" i="2"/>
  <c r="F20" i="2" s="1"/>
  <c r="N91" i="24"/>
  <c r="N94" i="24" s="1"/>
  <c r="F47" i="2"/>
  <c r="L71" i="1"/>
  <c r="I70" i="1"/>
  <c r="P70" i="1" s="1"/>
  <c r="AZ70" i="1" s="1"/>
  <c r="C46" i="2"/>
  <c r="V46" i="2"/>
  <c r="Q55" i="2"/>
  <c r="K53" i="1"/>
  <c r="AH53" i="1" s="1"/>
  <c r="M118" i="35"/>
  <c r="E108" i="2"/>
  <c r="E110" i="2" s="1"/>
  <c r="K121" i="1"/>
  <c r="AH121" i="1" s="1"/>
  <c r="K42" i="1"/>
  <c r="AH42" i="1" s="1"/>
  <c r="AZ42" i="1" s="1"/>
  <c r="Q66" i="29"/>
  <c r="Q21" i="2"/>
  <c r="K89" i="27"/>
  <c r="AY129" i="1"/>
  <c r="O169" i="1"/>
  <c r="AY169" i="1" s="1"/>
  <c r="E20" i="13" s="1"/>
  <c r="E66" i="13" s="1"/>
  <c r="D12" i="4" s="1"/>
  <c r="D37" i="4" s="1"/>
  <c r="D61" i="4" s="1"/>
  <c r="AZ129" i="1"/>
  <c r="P169" i="1"/>
  <c r="AZ169" i="1" s="1"/>
  <c r="F20" i="13" s="1"/>
  <c r="F66" i="13" s="1"/>
  <c r="E12" i="4" s="1"/>
  <c r="E37" i="4" s="1"/>
  <c r="E61" i="4" s="1"/>
  <c r="E55" i="2"/>
  <c r="AS86" i="1"/>
  <c r="AR86" i="1"/>
  <c r="M53" i="1"/>
  <c r="O118" i="35"/>
  <c r="L109" i="1"/>
  <c r="F93" i="2"/>
  <c r="T24" i="2"/>
  <c r="F24" i="2" s="1"/>
  <c r="N93" i="31"/>
  <c r="T19" i="2"/>
  <c r="F48" i="2"/>
  <c r="L72" i="1"/>
  <c r="C10" i="15"/>
  <c r="H10" i="15" s="1"/>
  <c r="BG132" i="1"/>
  <c r="K39" i="1"/>
  <c r="AH39" i="1" s="1"/>
  <c r="M117" i="21"/>
  <c r="M117" i="37"/>
  <c r="K55" i="1"/>
  <c r="AH55" i="1" s="1"/>
  <c r="M121" i="1"/>
  <c r="G108" i="2"/>
  <c r="Q149" i="1"/>
  <c r="BA125" i="1"/>
  <c r="R149" i="1"/>
  <c r="BB125" i="1"/>
  <c r="I111" i="1"/>
  <c r="C95" i="2"/>
  <c r="V95" i="2"/>
  <c r="I49" i="1"/>
  <c r="K122" i="31"/>
  <c r="Q22" i="2"/>
  <c r="K88" i="19"/>
  <c r="AS83" i="1"/>
  <c r="AR83" i="1"/>
  <c r="U19" i="2"/>
  <c r="I35" i="1"/>
  <c r="N120" i="24"/>
  <c r="L41" i="1"/>
  <c r="T25" i="2"/>
  <c r="N90" i="33"/>
  <c r="C51" i="2"/>
  <c r="H51" i="2" s="1"/>
  <c r="V51" i="2"/>
  <c r="W51" i="2" s="1"/>
  <c r="I75" i="1"/>
  <c r="M120" i="24"/>
  <c r="K41" i="1"/>
  <c r="AH41" i="1" s="1"/>
  <c r="C93" i="2"/>
  <c r="I109" i="1"/>
  <c r="V93" i="2"/>
  <c r="K46" i="1"/>
  <c r="AH46" i="1" s="1"/>
  <c r="AZ46" i="1" s="1"/>
  <c r="K56" i="1"/>
  <c r="AH56" i="1" s="1"/>
  <c r="AZ56" i="1" s="1"/>
  <c r="AS74" i="1"/>
  <c r="AR74" i="1"/>
  <c r="I47" i="1"/>
  <c r="Q47" i="1" s="1"/>
  <c r="K121" i="29"/>
  <c r="O120" i="2"/>
  <c r="T6" i="2"/>
  <c r="BA129" i="1"/>
  <c r="Q169" i="1"/>
  <c r="BA169" i="1" s="1"/>
  <c r="G20" i="13" s="1"/>
  <c r="G66" i="13" s="1"/>
  <c r="F12" i="4" s="1"/>
  <c r="F37" i="4" s="1"/>
  <c r="F61" i="4" s="1"/>
  <c r="BC129" i="1"/>
  <c r="I7" i="15" s="1"/>
  <c r="S169" i="1"/>
  <c r="BC169" i="1" s="1"/>
  <c r="J20" i="13" s="1"/>
  <c r="AR85" i="1"/>
  <c r="AS85" i="1"/>
  <c r="M55" i="1"/>
  <c r="O117" i="37"/>
  <c r="W108" i="2"/>
  <c r="AS29" i="1"/>
  <c r="AR29" i="1"/>
  <c r="AT29" i="1"/>
  <c r="AO29" i="1"/>
  <c r="AU29" i="1"/>
  <c r="AP29" i="1"/>
  <c r="AQ29" i="1"/>
  <c r="AV29" i="1"/>
  <c r="O9" i="1"/>
  <c r="U9" i="1"/>
  <c r="R9" i="1"/>
  <c r="P9" i="1"/>
  <c r="N9" i="1"/>
  <c r="S9" i="1"/>
  <c r="Q9" i="1"/>
  <c r="T9" i="1"/>
  <c r="M140" i="2"/>
  <c r="P8" i="1"/>
  <c r="T8" i="1"/>
  <c r="O8" i="1"/>
  <c r="Q8" i="1"/>
  <c r="N8" i="1"/>
  <c r="S8" i="1"/>
  <c r="R8" i="1"/>
  <c r="U8" i="1"/>
  <c r="K136" i="2"/>
  <c r="K60" i="33"/>
  <c r="K59" i="27"/>
  <c r="Q122" i="1"/>
  <c r="P122" i="1"/>
  <c r="L91" i="37"/>
  <c r="L89" i="37"/>
  <c r="Q85" i="33"/>
  <c r="P90" i="33"/>
  <c r="L95" i="29"/>
  <c r="L93" i="29"/>
  <c r="AS120" i="1"/>
  <c r="AR120" i="1"/>
  <c r="AI121" i="1"/>
  <c r="AJ121" i="1"/>
  <c r="L96" i="31"/>
  <c r="L94" i="31"/>
  <c r="D104" i="2"/>
  <c r="J117" i="1"/>
  <c r="V104" i="2"/>
  <c r="W104" i="2" s="1"/>
  <c r="R110" i="2"/>
  <c r="Q84" i="35"/>
  <c r="L90" i="35"/>
  <c r="L92" i="35"/>
  <c r="AS119" i="1"/>
  <c r="AR119" i="1"/>
  <c r="J121" i="1"/>
  <c r="D108" i="2"/>
  <c r="D139" i="2" s="1"/>
  <c r="R139" i="2"/>
  <c r="AI116" i="1"/>
  <c r="AJ116" i="1"/>
  <c r="Q83" i="37"/>
  <c r="L90" i="27"/>
  <c r="L92" i="27"/>
  <c r="AR115" i="1"/>
  <c r="AS115" i="1"/>
  <c r="F110" i="2"/>
  <c r="AJ120" i="1"/>
  <c r="AI120" i="1"/>
  <c r="Q116" i="1"/>
  <c r="P116" i="1"/>
  <c r="AZ116" i="1" s="1"/>
  <c r="Q88" i="31"/>
  <c r="AJ122" i="1"/>
  <c r="AI122" i="1"/>
  <c r="Q83" i="19"/>
  <c r="J118" i="1"/>
  <c r="D105" i="2"/>
  <c r="R136" i="2"/>
  <c r="W101" i="2"/>
  <c r="Q115" i="1"/>
  <c r="P115" i="1"/>
  <c r="AZ115" i="1" s="1"/>
  <c r="W106" i="2"/>
  <c r="J122" i="1"/>
  <c r="D109" i="2"/>
  <c r="V109" i="2"/>
  <c r="W109" i="2" s="1"/>
  <c r="Q86" i="24"/>
  <c r="D103" i="2"/>
  <c r="R134" i="2"/>
  <c r="J116" i="1"/>
  <c r="D107" i="2"/>
  <c r="J120" i="1"/>
  <c r="V107" i="2"/>
  <c r="W107" i="2" s="1"/>
  <c r="AR117" i="1"/>
  <c r="AS117" i="1"/>
  <c r="J119" i="1"/>
  <c r="R137" i="2"/>
  <c r="D106" i="2"/>
  <c r="L91" i="19"/>
  <c r="L89" i="19"/>
  <c r="J115" i="1"/>
  <c r="D102" i="2"/>
  <c r="R133" i="2"/>
  <c r="P119" i="1"/>
  <c r="AZ119" i="1" s="1"/>
  <c r="Q119" i="1"/>
  <c r="J11" i="2"/>
  <c r="J138" i="2" s="1"/>
  <c r="V7" i="2"/>
  <c r="C7" i="2"/>
  <c r="H11" i="4"/>
  <c r="C36" i="4"/>
  <c r="K61" i="24"/>
  <c r="C6" i="2"/>
  <c r="J6" i="2"/>
  <c r="J133" i="2" s="1"/>
  <c r="K58" i="21"/>
  <c r="G7" i="2"/>
  <c r="N7" i="2"/>
  <c r="N134" i="2" s="1"/>
  <c r="N6" i="2"/>
  <c r="G6" i="2"/>
  <c r="U133" i="2"/>
  <c r="M28" i="1"/>
  <c r="G11" i="2"/>
  <c r="N11" i="2"/>
  <c r="N138" i="2" s="1"/>
  <c r="O61" i="24"/>
  <c r="M10" i="1"/>
  <c r="I7" i="1"/>
  <c r="U14" i="2"/>
  <c r="J5" i="2"/>
  <c r="J132" i="2" s="1"/>
  <c r="C5" i="2"/>
  <c r="M31" i="1"/>
  <c r="M24" i="1"/>
  <c r="J9" i="2"/>
  <c r="V9" i="2"/>
  <c r="C9" i="2"/>
  <c r="C12" i="2"/>
  <c r="J12" i="2"/>
  <c r="V12" i="2"/>
  <c r="J10" i="2"/>
  <c r="C10" i="2"/>
  <c r="M10" i="2"/>
  <c r="M137" i="2" s="1"/>
  <c r="F10" i="2"/>
  <c r="M17" i="1"/>
  <c r="G8" i="2"/>
  <c r="N8" i="2"/>
  <c r="N135" i="2" s="1"/>
  <c r="M8" i="2"/>
  <c r="F8" i="2"/>
  <c r="N12" i="2"/>
  <c r="N139" i="2" s="1"/>
  <c r="G12" i="2"/>
  <c r="G10" i="2"/>
  <c r="N10" i="2"/>
  <c r="N137" i="2" s="1"/>
  <c r="F9" i="2"/>
  <c r="M9" i="2"/>
  <c r="M136" i="2" s="1"/>
  <c r="I20" i="1"/>
  <c r="G9" i="2"/>
  <c r="N9" i="2"/>
  <c r="N136" i="2" s="1"/>
  <c r="F12" i="2"/>
  <c r="M12" i="2"/>
  <c r="M139" i="2" s="1"/>
  <c r="BB78" i="1" l="1"/>
  <c r="P121" i="1"/>
  <c r="BB54" i="1"/>
  <c r="D96" i="2"/>
  <c r="U139" i="2"/>
  <c r="L91" i="33"/>
  <c r="BB97" i="1"/>
  <c r="D132" i="2"/>
  <c r="BA46" i="1"/>
  <c r="D136" i="2"/>
  <c r="BA48" i="1"/>
  <c r="BG48" i="1" s="1"/>
  <c r="U136" i="2"/>
  <c r="D55" i="2"/>
  <c r="R135" i="2"/>
  <c r="D134" i="2"/>
  <c r="AZ114" i="1"/>
  <c r="BG114" i="1" s="1"/>
  <c r="L89" i="21"/>
  <c r="K6" i="2"/>
  <c r="K133" i="2" s="1"/>
  <c r="D6" i="2"/>
  <c r="D133" i="2" s="1"/>
  <c r="R14" i="2"/>
  <c r="K11" i="2"/>
  <c r="K138" i="2" s="1"/>
  <c r="D11" i="2"/>
  <c r="H11" i="2" s="1"/>
  <c r="Z75" i="1"/>
  <c r="AA75" i="1"/>
  <c r="BB75" i="1" s="1"/>
  <c r="V11" i="2"/>
  <c r="W11" i="2" s="1"/>
  <c r="BB56" i="1"/>
  <c r="BG56" i="1" s="1"/>
  <c r="BH56" i="1" s="1"/>
  <c r="AA76" i="1"/>
  <c r="Z76" i="1"/>
  <c r="K10" i="2"/>
  <c r="K137" i="2" s="1"/>
  <c r="D10" i="2"/>
  <c r="D137" i="2" s="1"/>
  <c r="Z74" i="1"/>
  <c r="AA74" i="1"/>
  <c r="Z73" i="1"/>
  <c r="AA73" i="1"/>
  <c r="BB73" i="1" s="1"/>
  <c r="K8" i="2"/>
  <c r="K135" i="2" s="1"/>
  <c r="D8" i="2"/>
  <c r="D135" i="2" s="1"/>
  <c r="V10" i="2"/>
  <c r="W10" i="2" s="1"/>
  <c r="V6" i="2"/>
  <c r="W6" i="2" s="1"/>
  <c r="Z72" i="1"/>
  <c r="AA72" i="1"/>
  <c r="L61" i="24"/>
  <c r="Z71" i="1"/>
  <c r="AA71" i="1"/>
  <c r="L60" i="33"/>
  <c r="P60" i="33" s="1"/>
  <c r="J34" i="5"/>
  <c r="J35" i="5" s="1"/>
  <c r="K23" i="5"/>
  <c r="K34" i="5" s="1"/>
  <c r="D13" i="2"/>
  <c r="D140" i="2" s="1"/>
  <c r="K13" i="2"/>
  <c r="K140" i="2" s="1"/>
  <c r="K142" i="2" s="1"/>
  <c r="L92" i="24"/>
  <c r="P117" i="21"/>
  <c r="BH92" i="1"/>
  <c r="BH132" i="1"/>
  <c r="Z43" i="1"/>
  <c r="AA43" i="1"/>
  <c r="Z47" i="1"/>
  <c r="AA47" i="1"/>
  <c r="N89" i="21"/>
  <c r="BG42" i="1"/>
  <c r="BH42" i="1" s="1"/>
  <c r="Z41" i="1"/>
  <c r="AA41" i="1"/>
  <c r="Z49" i="1"/>
  <c r="AA49" i="1"/>
  <c r="AA51" i="1"/>
  <c r="Z51" i="1"/>
  <c r="C110" i="2"/>
  <c r="G110" i="2"/>
  <c r="BB94" i="1"/>
  <c r="BB93" i="1"/>
  <c r="BB99" i="1"/>
  <c r="AU7" i="1"/>
  <c r="AU140" i="1" s="1"/>
  <c r="L12" i="15"/>
  <c r="M12" i="15" s="1"/>
  <c r="L7" i="15"/>
  <c r="T135" i="2"/>
  <c r="T137" i="2"/>
  <c r="R146" i="1"/>
  <c r="Q140" i="2"/>
  <c r="O146" i="1"/>
  <c r="K28" i="1"/>
  <c r="P146" i="1"/>
  <c r="O8" i="4"/>
  <c r="I31" i="1"/>
  <c r="O31" i="1" s="1"/>
  <c r="AR7" i="1"/>
  <c r="AR140" i="1" s="1"/>
  <c r="AS7" i="1"/>
  <c r="AS140" i="1" s="1"/>
  <c r="AT7" i="1"/>
  <c r="AT140" i="1" s="1"/>
  <c r="AQ7" i="1"/>
  <c r="AQ140" i="1" s="1"/>
  <c r="AO7" i="1"/>
  <c r="AO140" i="1" s="1"/>
  <c r="AP7" i="1"/>
  <c r="AP140" i="1" s="1"/>
  <c r="P94" i="24"/>
  <c r="F134" i="2"/>
  <c r="S146" i="1"/>
  <c r="P96" i="31"/>
  <c r="P118" i="35"/>
  <c r="AI115" i="1"/>
  <c r="AJ115" i="1"/>
  <c r="P122" i="31"/>
  <c r="H94" i="2"/>
  <c r="BB87" i="1"/>
  <c r="P58" i="37"/>
  <c r="K89" i="37"/>
  <c r="BB100" i="1"/>
  <c r="L127" i="2"/>
  <c r="L141" i="2" s="1"/>
  <c r="L142" i="2" s="1"/>
  <c r="U135" i="2"/>
  <c r="T146" i="1"/>
  <c r="N146" i="1"/>
  <c r="U146" i="1"/>
  <c r="T132" i="2"/>
  <c r="P91" i="21"/>
  <c r="T14" i="2"/>
  <c r="P92" i="35"/>
  <c r="P93" i="33"/>
  <c r="BH114" i="1"/>
  <c r="H6" i="7"/>
  <c r="Q93" i="1"/>
  <c r="BA93" i="1" s="1"/>
  <c r="P93" i="1"/>
  <c r="AZ93" i="1" s="1"/>
  <c r="Q94" i="1"/>
  <c r="BA94" i="1" s="1"/>
  <c r="P94" i="1"/>
  <c r="AZ94" i="1" s="1"/>
  <c r="H52" i="2"/>
  <c r="BA73" i="1"/>
  <c r="Q99" i="1"/>
  <c r="BA99" i="1" s="1"/>
  <c r="P99" i="1"/>
  <c r="AZ99" i="1" s="1"/>
  <c r="BB95" i="1"/>
  <c r="W7" i="2"/>
  <c r="P119" i="33"/>
  <c r="BB86" i="1"/>
  <c r="K91" i="37"/>
  <c r="H88" i="2"/>
  <c r="V5" i="2"/>
  <c r="W5" i="2" s="1"/>
  <c r="BG70" i="1"/>
  <c r="BH70" i="1" s="1"/>
  <c r="BB85" i="1"/>
  <c r="M9" i="4"/>
  <c r="E7" i="44"/>
  <c r="P100" i="1"/>
  <c r="AZ100" i="1" s="1"/>
  <c r="Q100" i="1"/>
  <c r="BA100" i="1" s="1"/>
  <c r="BA95" i="1"/>
  <c r="AR118" i="1"/>
  <c r="AS118" i="1"/>
  <c r="T134" i="2"/>
  <c r="N93" i="27" s="1"/>
  <c r="H73" i="2"/>
  <c r="C82" i="2"/>
  <c r="T136" i="2"/>
  <c r="K95" i="24"/>
  <c r="AZ121" i="1"/>
  <c r="P121" i="29"/>
  <c r="BG46" i="1"/>
  <c r="BH46" i="1" s="1"/>
  <c r="N92" i="24"/>
  <c r="Q146" i="1"/>
  <c r="P92" i="27"/>
  <c r="BB88" i="1"/>
  <c r="H48" i="2"/>
  <c r="N90" i="27"/>
  <c r="P118" i="27"/>
  <c r="BA96" i="1"/>
  <c r="BB96" i="1"/>
  <c r="P97" i="1"/>
  <c r="AZ97" i="1" s="1"/>
  <c r="Q97" i="1"/>
  <c r="BA97" i="1" s="1"/>
  <c r="AR55" i="1"/>
  <c r="AS55" i="1"/>
  <c r="P75" i="1"/>
  <c r="AZ75" i="1" s="1"/>
  <c r="Q75" i="1"/>
  <c r="BA75" i="1" s="1"/>
  <c r="F25" i="2"/>
  <c r="F138" i="2" s="1"/>
  <c r="T138" i="2"/>
  <c r="S35" i="1"/>
  <c r="T35" i="1"/>
  <c r="U35" i="1"/>
  <c r="O35" i="1"/>
  <c r="Q35" i="1"/>
  <c r="R35" i="1"/>
  <c r="P35" i="1"/>
  <c r="N35" i="1"/>
  <c r="E7" i="15"/>
  <c r="C21" i="2"/>
  <c r="C134" i="2" s="1"/>
  <c r="V21" i="2"/>
  <c r="W21" i="2" s="1"/>
  <c r="H46" i="2"/>
  <c r="C55" i="2"/>
  <c r="K94" i="31"/>
  <c r="K96" i="31"/>
  <c r="K97" i="31" s="1"/>
  <c r="W91" i="2"/>
  <c r="BH107" i="1"/>
  <c r="W92" i="2"/>
  <c r="BH108" i="1"/>
  <c r="H127" i="2"/>
  <c r="E24" i="2"/>
  <c r="E137" i="2" s="1"/>
  <c r="S137" i="2"/>
  <c r="C20" i="2"/>
  <c r="V20" i="2"/>
  <c r="W20" i="2" s="1"/>
  <c r="N89" i="37"/>
  <c r="N91" i="37"/>
  <c r="AI62" i="1"/>
  <c r="BA62" i="1" s="1"/>
  <c r="AJ62" i="1"/>
  <c r="BB62" i="1" s="1"/>
  <c r="O90" i="35"/>
  <c r="O92" i="35"/>
  <c r="P82" i="1"/>
  <c r="AZ82" i="1" s="1"/>
  <c r="Q82" i="1"/>
  <c r="BA82" i="1" s="1"/>
  <c r="E20" i="2"/>
  <c r="E133" i="2" s="1"/>
  <c r="S133" i="2"/>
  <c r="I10" i="1"/>
  <c r="O93" i="29"/>
  <c r="O95" i="29"/>
  <c r="O96" i="29" s="1"/>
  <c r="W59" i="2"/>
  <c r="V68" i="2"/>
  <c r="Q71" i="1"/>
  <c r="P71" i="1"/>
  <c r="AZ71" i="1" s="1"/>
  <c r="AI60" i="1"/>
  <c r="BA60" i="1" s="1"/>
  <c r="AJ60" i="1"/>
  <c r="BB60" i="1" s="1"/>
  <c r="E21" i="2"/>
  <c r="E134" i="2" s="1"/>
  <c r="S134" i="2"/>
  <c r="I14" i="1"/>
  <c r="AS45" i="1"/>
  <c r="AR45" i="1"/>
  <c r="Z98" i="1"/>
  <c r="BA98" i="1" s="1"/>
  <c r="AA98" i="1"/>
  <c r="BB98" i="1" s="1"/>
  <c r="AI53" i="1"/>
  <c r="AJ53" i="1"/>
  <c r="C26" i="2"/>
  <c r="H26" i="2" s="1"/>
  <c r="V26" i="2"/>
  <c r="W26" i="2" s="1"/>
  <c r="W87" i="2"/>
  <c r="BH103" i="1"/>
  <c r="V96" i="2"/>
  <c r="W33" i="2"/>
  <c r="V42" i="2"/>
  <c r="AS51" i="1"/>
  <c r="AR51" i="1"/>
  <c r="C25" i="2"/>
  <c r="V25" i="2"/>
  <c r="W25" i="2" s="1"/>
  <c r="M91" i="19"/>
  <c r="M89" i="19"/>
  <c r="AJ63" i="1"/>
  <c r="BB63" i="1" s="1"/>
  <c r="AI63" i="1"/>
  <c r="BA63" i="1" s="1"/>
  <c r="O89" i="37"/>
  <c r="O91" i="37"/>
  <c r="Q43" i="1"/>
  <c r="P43" i="1"/>
  <c r="AZ43" i="1" s="1"/>
  <c r="AI51" i="1"/>
  <c r="AJ51" i="1"/>
  <c r="AZ45" i="1"/>
  <c r="V141" i="2"/>
  <c r="M89" i="37"/>
  <c r="M91" i="37"/>
  <c r="N93" i="29"/>
  <c r="N95" i="29"/>
  <c r="P6" i="4"/>
  <c r="P8" i="4" s="1"/>
  <c r="E23" i="2"/>
  <c r="E136" i="2" s="1"/>
  <c r="S136" i="2"/>
  <c r="E25" i="2"/>
  <c r="E138" i="2" s="1"/>
  <c r="S138" i="2"/>
  <c r="T139" i="2"/>
  <c r="U137" i="2"/>
  <c r="G135" i="2"/>
  <c r="Q139" i="2"/>
  <c r="P58" i="21"/>
  <c r="H93" i="2"/>
  <c r="AJ41" i="1"/>
  <c r="AI41" i="1"/>
  <c r="O89" i="21"/>
  <c r="O91" i="21"/>
  <c r="K89" i="19"/>
  <c r="Q49" i="1"/>
  <c r="P49" i="1"/>
  <c r="AZ49" i="1" s="1"/>
  <c r="BB149" i="1"/>
  <c r="G6" i="15"/>
  <c r="M10" i="15"/>
  <c r="F19" i="2"/>
  <c r="T28" i="2"/>
  <c r="P92" i="29"/>
  <c r="P95" i="29" s="1"/>
  <c r="S139" i="2"/>
  <c r="AS47" i="1"/>
  <c r="AR47" i="1"/>
  <c r="C24" i="2"/>
  <c r="C137" i="2" s="1"/>
  <c r="V24" i="2"/>
  <c r="W24" i="2" s="1"/>
  <c r="H91" i="2"/>
  <c r="BA39" i="1"/>
  <c r="K89" i="21"/>
  <c r="K91" i="21"/>
  <c r="K92" i="21" s="1"/>
  <c r="P89" i="1"/>
  <c r="AZ89" i="1" s="1"/>
  <c r="Q89" i="1"/>
  <c r="BA89" i="1" s="1"/>
  <c r="O91" i="19"/>
  <c r="O89" i="19"/>
  <c r="H89" i="2"/>
  <c r="N32" i="1"/>
  <c r="O32" i="1"/>
  <c r="U32" i="1"/>
  <c r="P32" i="1"/>
  <c r="T32" i="1"/>
  <c r="S32" i="1"/>
  <c r="Q32" i="1"/>
  <c r="R32" i="1"/>
  <c r="F27" i="2"/>
  <c r="F140" i="2" s="1"/>
  <c r="T140" i="2"/>
  <c r="F96" i="2"/>
  <c r="BG50" i="1"/>
  <c r="BB84" i="1"/>
  <c r="AJ64" i="1"/>
  <c r="BB64" i="1" s="1"/>
  <c r="AI64" i="1"/>
  <c r="BA64" i="1" s="1"/>
  <c r="BG81" i="1"/>
  <c r="BG52" i="1"/>
  <c r="AZ149" i="1"/>
  <c r="E6" i="15"/>
  <c r="AR43" i="1"/>
  <c r="AS43" i="1"/>
  <c r="C13" i="2"/>
  <c r="J13" i="2"/>
  <c r="V13" i="2"/>
  <c r="W13" i="2" s="1"/>
  <c r="BB82" i="1"/>
  <c r="W79" i="2"/>
  <c r="V82" i="2"/>
  <c r="AS41" i="1"/>
  <c r="AR41" i="1"/>
  <c r="AZ39" i="1"/>
  <c r="H87" i="2"/>
  <c r="C96" i="2"/>
  <c r="Q72" i="1"/>
  <c r="P72" i="1"/>
  <c r="AZ72" i="1" s="1"/>
  <c r="E22" i="2"/>
  <c r="E135" i="2" s="1"/>
  <c r="S135" i="2"/>
  <c r="N90" i="35"/>
  <c r="N92" i="35"/>
  <c r="G27" i="2"/>
  <c r="G140" i="2" s="1"/>
  <c r="U140" i="2"/>
  <c r="G7" i="15"/>
  <c r="K93" i="29"/>
  <c r="K95" i="29"/>
  <c r="K96" i="29" s="1"/>
  <c r="P83" i="1"/>
  <c r="AZ83" i="1" s="1"/>
  <c r="Q83" i="1"/>
  <c r="BA83" i="1" s="1"/>
  <c r="BB83" i="1"/>
  <c r="M5" i="2"/>
  <c r="M132" i="2" s="1"/>
  <c r="O132" i="2" s="1"/>
  <c r="F5" i="2"/>
  <c r="H5" i="2" s="1"/>
  <c r="E27" i="2"/>
  <c r="E140" i="2" s="1"/>
  <c r="S140" i="2"/>
  <c r="BB89" i="1"/>
  <c r="AJ61" i="1"/>
  <c r="BB61" i="1" s="1"/>
  <c r="AI61" i="1"/>
  <c r="BA61" i="1" s="1"/>
  <c r="O94" i="24"/>
  <c r="O95" i="24" s="1"/>
  <c r="O92" i="24"/>
  <c r="N9" i="4"/>
  <c r="F7" i="44"/>
  <c r="O96" i="31"/>
  <c r="O94" i="31"/>
  <c r="C27" i="2"/>
  <c r="V27" i="2"/>
  <c r="W27" i="2" s="1"/>
  <c r="AJ74" i="1"/>
  <c r="BB74" i="1" s="1"/>
  <c r="AI74" i="1"/>
  <c r="BA74" i="1" s="1"/>
  <c r="F7" i="15"/>
  <c r="G19" i="2"/>
  <c r="U28" i="2"/>
  <c r="U132" i="2"/>
  <c r="C22" i="2"/>
  <c r="V22" i="2"/>
  <c r="W22" i="2" s="1"/>
  <c r="W95" i="2"/>
  <c r="BH111" i="1"/>
  <c r="AS121" i="1"/>
  <c r="AR121" i="1"/>
  <c r="AI72" i="1"/>
  <c r="AJ72" i="1"/>
  <c r="N94" i="31"/>
  <c r="N96" i="31"/>
  <c r="D7" i="15"/>
  <c r="AJ71" i="1"/>
  <c r="AI71" i="1"/>
  <c r="BD149" i="1"/>
  <c r="J6" i="15"/>
  <c r="P26" i="1"/>
  <c r="O26" i="1"/>
  <c r="N26" i="1"/>
  <c r="S26" i="1"/>
  <c r="U26" i="1"/>
  <c r="T26" i="1"/>
  <c r="Q26" i="1"/>
  <c r="R26" i="1"/>
  <c r="V19" i="2"/>
  <c r="C19" i="2"/>
  <c r="Q28" i="2"/>
  <c r="W94" i="2"/>
  <c r="BH110" i="1"/>
  <c r="AJ67" i="1"/>
  <c r="BB67" i="1" s="1"/>
  <c r="AI67" i="1"/>
  <c r="BA67" i="1" s="1"/>
  <c r="D20" i="13"/>
  <c r="BG169" i="1"/>
  <c r="BA84" i="1"/>
  <c r="H59" i="2"/>
  <c r="H68" i="2" s="1"/>
  <c r="C68" i="2"/>
  <c r="AJ77" i="1"/>
  <c r="BB77" i="1" s="1"/>
  <c r="AI77" i="1"/>
  <c r="AI47" i="1"/>
  <c r="AJ47" i="1"/>
  <c r="P55" i="1"/>
  <c r="AZ55" i="1" s="1"/>
  <c r="Q55" i="1"/>
  <c r="P86" i="1"/>
  <c r="AZ86" i="1" s="1"/>
  <c r="Q86" i="1"/>
  <c r="BA86" i="1" s="1"/>
  <c r="W90" i="2"/>
  <c r="BH106" i="1"/>
  <c r="BG54" i="1"/>
  <c r="N89" i="19"/>
  <c r="N91" i="19"/>
  <c r="E6" i="7"/>
  <c r="BH59" i="1"/>
  <c r="AS49" i="1"/>
  <c r="AR49" i="1"/>
  <c r="BH40" i="1"/>
  <c r="C23" i="2"/>
  <c r="V23" i="2"/>
  <c r="W23" i="2" s="1"/>
  <c r="AJ65" i="1"/>
  <c r="BB65" i="1" s="1"/>
  <c r="AI65" i="1"/>
  <c r="BA65" i="1" s="1"/>
  <c r="P88" i="1"/>
  <c r="AZ88" i="1" s="1"/>
  <c r="Q88" i="1"/>
  <c r="BA88" i="1" s="1"/>
  <c r="BG44" i="1"/>
  <c r="BC149" i="1"/>
  <c r="I6" i="15"/>
  <c r="BE149" i="1"/>
  <c r="K6" i="15"/>
  <c r="M91" i="21"/>
  <c r="M89" i="21"/>
  <c r="AJ49" i="1"/>
  <c r="AI49" i="1"/>
  <c r="BA85" i="1"/>
  <c r="U138" i="2"/>
  <c r="U134" i="2"/>
  <c r="Q134" i="2"/>
  <c r="Q138" i="2"/>
  <c r="P91" i="37"/>
  <c r="J66" i="13"/>
  <c r="M66" i="13" s="1"/>
  <c r="M20" i="13"/>
  <c r="F6" i="2"/>
  <c r="F133" i="2" s="1"/>
  <c r="N61" i="24"/>
  <c r="M6" i="2"/>
  <c r="M133" i="2" s="1"/>
  <c r="P117" i="37"/>
  <c r="W93" i="2"/>
  <c r="BH109" i="1"/>
  <c r="N91" i="33"/>
  <c r="N93" i="33"/>
  <c r="H95" i="2"/>
  <c r="BA149" i="1"/>
  <c r="F6" i="15"/>
  <c r="AS53" i="1"/>
  <c r="AR53" i="1"/>
  <c r="K90" i="27"/>
  <c r="K92" i="27"/>
  <c r="P120" i="24"/>
  <c r="E139" i="2"/>
  <c r="W46" i="2"/>
  <c r="V55" i="2"/>
  <c r="AY149" i="1"/>
  <c r="D6" i="15"/>
  <c r="M94" i="31"/>
  <c r="M96" i="31"/>
  <c r="O90" i="27"/>
  <c r="O92" i="27"/>
  <c r="Q77" i="1"/>
  <c r="P77" i="1"/>
  <c r="AZ77" i="1" s="1"/>
  <c r="AI43" i="1"/>
  <c r="AJ43" i="1"/>
  <c r="AJ66" i="1"/>
  <c r="BB66" i="1" s="1"/>
  <c r="AI66" i="1"/>
  <c r="BA66" i="1" s="1"/>
  <c r="K92" i="24"/>
  <c r="W89" i="2"/>
  <c r="BH105" i="1"/>
  <c r="AI76" i="1"/>
  <c r="BA76" i="1" s="1"/>
  <c r="AJ76" i="1"/>
  <c r="T133" i="2"/>
  <c r="N95" i="24" s="1"/>
  <c r="K14" i="1"/>
  <c r="C7" i="15"/>
  <c r="BG129" i="1"/>
  <c r="BH129" i="1" s="1"/>
  <c r="BH104" i="1"/>
  <c r="W88" i="2"/>
  <c r="M94" i="24"/>
  <c r="M92" i="24"/>
  <c r="AX149" i="1"/>
  <c r="BG125" i="1"/>
  <c r="C6" i="15"/>
  <c r="O127" i="2"/>
  <c r="H47" i="2"/>
  <c r="Q53" i="1"/>
  <c r="P53" i="1"/>
  <c r="AZ53" i="1" s="1"/>
  <c r="M92" i="27"/>
  <c r="M90" i="27"/>
  <c r="I34" i="1"/>
  <c r="H90" i="2"/>
  <c r="D82" i="2"/>
  <c r="H79" i="2"/>
  <c r="AR122" i="1"/>
  <c r="AS122" i="1"/>
  <c r="N91" i="21"/>
  <c r="K90" i="35"/>
  <c r="K92" i="35"/>
  <c r="F42" i="2"/>
  <c r="H33" i="2"/>
  <c r="H42" i="2" s="1"/>
  <c r="K91" i="33"/>
  <c r="K93" i="33"/>
  <c r="Q41" i="1"/>
  <c r="P41" i="1"/>
  <c r="AZ41" i="1" s="1"/>
  <c r="U22" i="1"/>
  <c r="P22" i="1"/>
  <c r="S22" i="1"/>
  <c r="O22" i="1"/>
  <c r="N22" i="1"/>
  <c r="Q22" i="1"/>
  <c r="T22" i="1"/>
  <c r="R22" i="1"/>
  <c r="AJ55" i="1"/>
  <c r="AI55" i="1"/>
  <c r="M34" i="1"/>
  <c r="BA87" i="1"/>
  <c r="M92" i="35"/>
  <c r="M90" i="35"/>
  <c r="P117" i="19"/>
  <c r="V127" i="2"/>
  <c r="K35" i="5"/>
  <c r="E19" i="2"/>
  <c r="S28" i="2"/>
  <c r="S132" i="2"/>
  <c r="Q78" i="1"/>
  <c r="BA78" i="1" s="1"/>
  <c r="P78" i="1"/>
  <c r="AZ78" i="1" s="1"/>
  <c r="F55" i="2"/>
  <c r="M93" i="29"/>
  <c r="M95" i="29"/>
  <c r="AI45" i="1"/>
  <c r="BA45" i="1" s="1"/>
  <c r="AJ45" i="1"/>
  <c r="O91" i="33"/>
  <c r="O93" i="33"/>
  <c r="M93" i="33"/>
  <c r="M91" i="33"/>
  <c r="H50" i="2"/>
  <c r="H108" i="2"/>
  <c r="L95" i="24"/>
  <c r="O138" i="2"/>
  <c r="L97" i="31"/>
  <c r="L96" i="29"/>
  <c r="R142" i="2"/>
  <c r="L93" i="35"/>
  <c r="AZ122" i="1"/>
  <c r="AA119" i="1"/>
  <c r="BB119" i="1" s="1"/>
  <c r="Z119" i="1"/>
  <c r="BA119" i="1" s="1"/>
  <c r="H107" i="2"/>
  <c r="H109" i="2"/>
  <c r="AA115" i="1"/>
  <c r="Z115" i="1"/>
  <c r="BA115" i="1" s="1"/>
  <c r="L92" i="19"/>
  <c r="Z116" i="1"/>
  <c r="BA116" i="1" s="1"/>
  <c r="AA116" i="1"/>
  <c r="BB116" i="1" s="1"/>
  <c r="Z122" i="1"/>
  <c r="AA122" i="1"/>
  <c r="L93" i="27"/>
  <c r="AA121" i="1"/>
  <c r="Z121" i="1"/>
  <c r="H106" i="2"/>
  <c r="AA117" i="1"/>
  <c r="BB117" i="1" s="1"/>
  <c r="Z117" i="1"/>
  <c r="BA117" i="1" s="1"/>
  <c r="H103" i="2"/>
  <c r="H105" i="2"/>
  <c r="AA120" i="1"/>
  <c r="BB120" i="1" s="1"/>
  <c r="Z120" i="1"/>
  <c r="BA120" i="1" s="1"/>
  <c r="D110" i="2"/>
  <c r="H104" i="2"/>
  <c r="V110" i="2"/>
  <c r="Z118" i="1"/>
  <c r="AA118" i="1"/>
  <c r="L94" i="33"/>
  <c r="H102" i="2"/>
  <c r="L92" i="37"/>
  <c r="C60" i="4"/>
  <c r="H60" i="4" s="1"/>
  <c r="H36" i="4"/>
  <c r="O7" i="2"/>
  <c r="O134" i="2"/>
  <c r="G134" i="2"/>
  <c r="H7" i="2"/>
  <c r="AR14" i="1"/>
  <c r="AV14" i="1"/>
  <c r="AV142" i="1" s="1"/>
  <c r="AQ14" i="1"/>
  <c r="AQ142" i="1" s="1"/>
  <c r="AT14" i="1"/>
  <c r="AT142" i="1" s="1"/>
  <c r="AO14" i="1"/>
  <c r="AO142" i="1" s="1"/>
  <c r="AU14" i="1"/>
  <c r="AU142" i="1" s="1"/>
  <c r="AP14" i="1"/>
  <c r="AP142" i="1" s="1"/>
  <c r="AS14" i="1"/>
  <c r="AT10" i="1"/>
  <c r="AT141" i="1" s="1"/>
  <c r="AO10" i="1"/>
  <c r="AO141" i="1" s="1"/>
  <c r="AR10" i="1"/>
  <c r="AQ10" i="1"/>
  <c r="AQ141" i="1" s="1"/>
  <c r="AP10" i="1"/>
  <c r="AP141" i="1" s="1"/>
  <c r="AS10" i="1"/>
  <c r="AV10" i="1"/>
  <c r="AV141" i="1" s="1"/>
  <c r="AU10" i="1"/>
  <c r="AU141" i="1" s="1"/>
  <c r="G138" i="2"/>
  <c r="G133" i="2"/>
  <c r="P59" i="27"/>
  <c r="AV28" i="1"/>
  <c r="AV146" i="1" s="1"/>
  <c r="AO28" i="1"/>
  <c r="AO146" i="1" s="1"/>
  <c r="AT28" i="1"/>
  <c r="AT146" i="1" s="1"/>
  <c r="AQ28" i="1"/>
  <c r="AQ146" i="1" s="1"/>
  <c r="AP28" i="1"/>
  <c r="AP146" i="1" s="1"/>
  <c r="AR28" i="1"/>
  <c r="AU28" i="1"/>
  <c r="AU146" i="1" s="1"/>
  <c r="AS28" i="1"/>
  <c r="N133" i="2"/>
  <c r="K8" i="1"/>
  <c r="L9" i="1"/>
  <c r="K9" i="1"/>
  <c r="L8" i="1"/>
  <c r="N7" i="1"/>
  <c r="N140" i="1" s="1"/>
  <c r="T7" i="1"/>
  <c r="T140" i="1" s="1"/>
  <c r="O7" i="1"/>
  <c r="O140" i="1" s="1"/>
  <c r="R7" i="1"/>
  <c r="R140" i="1" s="1"/>
  <c r="Q7" i="1"/>
  <c r="Q140" i="1" s="1"/>
  <c r="S7" i="1"/>
  <c r="S140" i="1" s="1"/>
  <c r="U7" i="1"/>
  <c r="U140" i="1" s="1"/>
  <c r="P7" i="1"/>
  <c r="P140" i="1" s="1"/>
  <c r="F136" i="2"/>
  <c r="F135" i="2"/>
  <c r="G139" i="2"/>
  <c r="AQ17" i="1"/>
  <c r="AU17" i="1"/>
  <c r="AP17" i="1"/>
  <c r="AT17" i="1"/>
  <c r="AR17" i="1"/>
  <c r="AO17" i="1"/>
  <c r="AS17" i="1"/>
  <c r="AV17" i="1"/>
  <c r="N14" i="2"/>
  <c r="H12" i="2"/>
  <c r="O9" i="2"/>
  <c r="J136" i="2"/>
  <c r="O136" i="2" s="1"/>
  <c r="AP20" i="1"/>
  <c r="AP144" i="1" s="1"/>
  <c r="AT20" i="1"/>
  <c r="AT144" i="1" s="1"/>
  <c r="AU20" i="1"/>
  <c r="AU144" i="1" s="1"/>
  <c r="AV20" i="1"/>
  <c r="AV144" i="1" s="1"/>
  <c r="AO20" i="1"/>
  <c r="AO144" i="1" s="1"/>
  <c r="AQ20" i="1"/>
  <c r="AQ144" i="1" s="1"/>
  <c r="AR20" i="1"/>
  <c r="AS20" i="1"/>
  <c r="N24" i="1"/>
  <c r="O24" i="1"/>
  <c r="S24" i="1"/>
  <c r="R24" i="1"/>
  <c r="P24" i="1"/>
  <c r="U24" i="1"/>
  <c r="Q24" i="1"/>
  <c r="T24" i="1"/>
  <c r="AQ24" i="1"/>
  <c r="AQ145" i="1" s="1"/>
  <c r="AU24" i="1"/>
  <c r="AU145" i="1" s="1"/>
  <c r="AP24" i="1"/>
  <c r="AP145" i="1" s="1"/>
  <c r="AT24" i="1"/>
  <c r="AT145" i="1" s="1"/>
  <c r="AR24" i="1"/>
  <c r="AO24" i="1"/>
  <c r="AO145" i="1" s="1"/>
  <c r="AS24" i="1"/>
  <c r="AV24" i="1"/>
  <c r="AV145" i="1" s="1"/>
  <c r="AQ31" i="1"/>
  <c r="AQ147" i="1" s="1"/>
  <c r="AU31" i="1"/>
  <c r="AU147" i="1" s="1"/>
  <c r="AR31" i="1"/>
  <c r="AV31" i="1"/>
  <c r="AV147" i="1" s="1"/>
  <c r="AP31" i="1"/>
  <c r="AP147" i="1" s="1"/>
  <c r="AT31" i="1"/>
  <c r="AT147" i="1" s="1"/>
  <c r="AS31" i="1"/>
  <c r="AO31" i="1"/>
  <c r="AO147" i="1" s="1"/>
  <c r="F139" i="2"/>
  <c r="G137" i="2"/>
  <c r="R20" i="1"/>
  <c r="N20" i="1"/>
  <c r="O20" i="1"/>
  <c r="P20" i="1"/>
  <c r="Q20" i="1"/>
  <c r="S20" i="1"/>
  <c r="T20" i="1"/>
  <c r="U20" i="1"/>
  <c r="M135" i="2"/>
  <c r="H9" i="2"/>
  <c r="G14" i="2"/>
  <c r="W12" i="2"/>
  <c r="G136" i="2"/>
  <c r="F137" i="2"/>
  <c r="J137" i="2"/>
  <c r="O137" i="2" s="1"/>
  <c r="O10" i="2"/>
  <c r="J139" i="2"/>
  <c r="O139" i="2" s="1"/>
  <c r="O12" i="2"/>
  <c r="W9" i="2"/>
  <c r="K36" i="1" l="1"/>
  <c r="O93" i="35"/>
  <c r="BA77" i="1"/>
  <c r="O11" i="2"/>
  <c r="BG87" i="1"/>
  <c r="BB76" i="1"/>
  <c r="D138" i="2"/>
  <c r="D142" i="2" s="1"/>
  <c r="BG85" i="1"/>
  <c r="R143" i="2"/>
  <c r="AS141" i="1"/>
  <c r="P61" i="24"/>
  <c r="K14" i="2"/>
  <c r="H13" i="2"/>
  <c r="D14" i="2"/>
  <c r="H10" i="2"/>
  <c r="X10" i="2" s="1"/>
  <c r="BG73" i="1"/>
  <c r="BB71" i="1"/>
  <c r="BB72" i="1"/>
  <c r="N92" i="19"/>
  <c r="J30" i="1"/>
  <c r="AB30" i="1" s="1"/>
  <c r="BB115" i="1"/>
  <c r="V137" i="2"/>
  <c r="P90" i="35"/>
  <c r="H82" i="2"/>
  <c r="BG95" i="1"/>
  <c r="BH95" i="1" s="1"/>
  <c r="BG97" i="1"/>
  <c r="BH97" i="1" s="1"/>
  <c r="M95" i="24"/>
  <c r="P95" i="24" s="1"/>
  <c r="M93" i="27"/>
  <c r="V136" i="2"/>
  <c r="AS145" i="1"/>
  <c r="AR142" i="1"/>
  <c r="J29" i="1"/>
  <c r="X29" i="1" s="1"/>
  <c r="M96" i="29"/>
  <c r="P90" i="27"/>
  <c r="BB49" i="1"/>
  <c r="N97" i="31"/>
  <c r="P89" i="19"/>
  <c r="BB41" i="1"/>
  <c r="N96" i="29"/>
  <c r="C139" i="2"/>
  <c r="H139" i="2" s="1"/>
  <c r="K29" i="1"/>
  <c r="M97" i="31"/>
  <c r="BB47" i="1"/>
  <c r="L29" i="1"/>
  <c r="L28" i="1"/>
  <c r="AH28" i="1" s="1"/>
  <c r="O92" i="37"/>
  <c r="L30" i="1"/>
  <c r="J28" i="1"/>
  <c r="AA28" i="1" s="1"/>
  <c r="J35" i="1"/>
  <c r="AD35" i="1" s="1"/>
  <c r="V140" i="2"/>
  <c r="J36" i="1"/>
  <c r="K92" i="37"/>
  <c r="K34" i="1"/>
  <c r="J21" i="1"/>
  <c r="Q31" i="1"/>
  <c r="Q147" i="1" s="1"/>
  <c r="P31" i="1"/>
  <c r="P147" i="1" s="1"/>
  <c r="L11" i="1"/>
  <c r="S31" i="1"/>
  <c r="S147" i="1" s="1"/>
  <c r="T31" i="1"/>
  <c r="T147" i="1" s="1"/>
  <c r="N31" i="1"/>
  <c r="N147" i="1" s="1"/>
  <c r="G7" i="44"/>
  <c r="H7" i="44" s="1"/>
  <c r="U31" i="1"/>
  <c r="U147" i="1" s="1"/>
  <c r="R31" i="1"/>
  <c r="R147" i="1" s="1"/>
  <c r="O9" i="4"/>
  <c r="L32" i="1"/>
  <c r="J22" i="1"/>
  <c r="J31" i="1"/>
  <c r="J25" i="1"/>
  <c r="L21" i="1"/>
  <c r="J26" i="1"/>
  <c r="L10" i="1"/>
  <c r="K33" i="1"/>
  <c r="K25" i="1"/>
  <c r="K20" i="1"/>
  <c r="K12" i="1"/>
  <c r="J33" i="1"/>
  <c r="K32" i="1"/>
  <c r="L33" i="1"/>
  <c r="J32" i="1"/>
  <c r="L31" i="1"/>
  <c r="K26" i="1"/>
  <c r="L25" i="1"/>
  <c r="L27" i="1"/>
  <c r="L26" i="1"/>
  <c r="J27" i="1"/>
  <c r="K27" i="1"/>
  <c r="J23" i="1"/>
  <c r="L23" i="1"/>
  <c r="K21" i="1"/>
  <c r="L22" i="1"/>
  <c r="M14" i="2"/>
  <c r="O6" i="2"/>
  <c r="L13" i="1"/>
  <c r="O93" i="27"/>
  <c r="V134" i="2"/>
  <c r="K22" i="1"/>
  <c r="K23" i="1"/>
  <c r="J20" i="1"/>
  <c r="O133" i="2"/>
  <c r="N92" i="21"/>
  <c r="N94" i="33"/>
  <c r="J13" i="1"/>
  <c r="J12" i="1"/>
  <c r="Z12" i="1" s="1"/>
  <c r="V133" i="2"/>
  <c r="F6" i="7"/>
  <c r="BA47" i="1"/>
  <c r="C30" i="15"/>
  <c r="AR146" i="1"/>
  <c r="BB118" i="1"/>
  <c r="M94" i="33"/>
  <c r="BG76" i="1"/>
  <c r="BH76" i="1" s="1"/>
  <c r="BG84" i="1"/>
  <c r="BA51" i="1"/>
  <c r="BG98" i="1"/>
  <c r="BH98" i="1" s="1"/>
  <c r="BG60" i="1"/>
  <c r="BH60" i="1" s="1"/>
  <c r="BG62" i="1"/>
  <c r="BH62" i="1" s="1"/>
  <c r="BG75" i="1"/>
  <c r="BH75" i="1" s="1"/>
  <c r="O141" i="2"/>
  <c r="W141" i="2" s="1"/>
  <c r="BG99" i="1"/>
  <c r="BH99" i="1" s="1"/>
  <c r="BG94" i="1"/>
  <c r="BH94" i="1" s="1"/>
  <c r="BA53" i="1"/>
  <c r="AR147" i="1"/>
  <c r="AR144" i="1"/>
  <c r="H6" i="2"/>
  <c r="AR141" i="1"/>
  <c r="BA118" i="1"/>
  <c r="BG65" i="1"/>
  <c r="H23" i="2"/>
  <c r="Q7" i="4"/>
  <c r="O92" i="19"/>
  <c r="L12" i="1"/>
  <c r="K13" i="1"/>
  <c r="K11" i="1"/>
  <c r="F14" i="2"/>
  <c r="O94" i="33"/>
  <c r="BG93" i="1"/>
  <c r="BH93" i="1" s="1"/>
  <c r="F132" i="2"/>
  <c r="F142" i="2" s="1"/>
  <c r="H96" i="2"/>
  <c r="BG96" i="1"/>
  <c r="BH96" i="1" s="1"/>
  <c r="F9" i="7"/>
  <c r="BH73" i="1"/>
  <c r="K94" i="33"/>
  <c r="U142" i="2"/>
  <c r="U143" i="2" s="1"/>
  <c r="M92" i="37"/>
  <c r="H25" i="2"/>
  <c r="H20" i="2"/>
  <c r="H55" i="2"/>
  <c r="L36" i="1"/>
  <c r="AJ36" i="1" s="1"/>
  <c r="BG116" i="1"/>
  <c r="BH116" i="1" s="1"/>
  <c r="BG78" i="1"/>
  <c r="F14" i="7" s="1"/>
  <c r="M93" i="35"/>
  <c r="BA41" i="1"/>
  <c r="P92" i="24"/>
  <c r="L6" i="15"/>
  <c r="H22" i="2"/>
  <c r="M92" i="19"/>
  <c r="P89" i="21"/>
  <c r="H24" i="2"/>
  <c r="K35" i="1"/>
  <c r="P89" i="37"/>
  <c r="M92" i="21"/>
  <c r="BA71" i="1"/>
  <c r="BG71" i="1" s="1"/>
  <c r="P93" i="29"/>
  <c r="P94" i="31"/>
  <c r="AS144" i="1"/>
  <c r="AS142" i="1"/>
  <c r="BA121" i="1"/>
  <c r="BB45" i="1"/>
  <c r="BG45" i="1" s="1"/>
  <c r="BB55" i="1"/>
  <c r="P91" i="33"/>
  <c r="BG77" i="1"/>
  <c r="F13" i="7" s="1"/>
  <c r="BG86" i="1"/>
  <c r="BH86" i="1" s="1"/>
  <c r="H27" i="2"/>
  <c r="BG61" i="1"/>
  <c r="E8" i="7" s="1"/>
  <c r="BG83" i="1"/>
  <c r="BG64" i="1"/>
  <c r="E11" i="7" s="1"/>
  <c r="BG100" i="1"/>
  <c r="BH100" i="1" s="1"/>
  <c r="L35" i="1"/>
  <c r="AU34" i="1"/>
  <c r="AU148" i="1" s="1"/>
  <c r="AQ34" i="1"/>
  <c r="AQ148" i="1" s="1"/>
  <c r="AV34" i="1"/>
  <c r="AV148" i="1" s="1"/>
  <c r="AP34" i="1"/>
  <c r="AP148" i="1" s="1"/>
  <c r="AT34" i="1"/>
  <c r="AT148" i="1" s="1"/>
  <c r="AR34" i="1"/>
  <c r="AR148" i="1" s="1"/>
  <c r="AO34" i="1"/>
  <c r="AO148" i="1" s="1"/>
  <c r="AS34" i="1"/>
  <c r="AS148" i="1" s="1"/>
  <c r="T34" i="1"/>
  <c r="T148" i="1" s="1"/>
  <c r="R34" i="1"/>
  <c r="R148" i="1" s="1"/>
  <c r="Q34" i="1"/>
  <c r="Q148" i="1" s="1"/>
  <c r="S34" i="1"/>
  <c r="S148" i="1" s="1"/>
  <c r="P34" i="1"/>
  <c r="P148" i="1" s="1"/>
  <c r="O34" i="1"/>
  <c r="O148" i="1" s="1"/>
  <c r="U34" i="1"/>
  <c r="U148" i="1" s="1"/>
  <c r="N34" i="1"/>
  <c r="N148" i="1" s="1"/>
  <c r="BH125" i="1"/>
  <c r="I15" i="7"/>
  <c r="BH48" i="1"/>
  <c r="BH54" i="1"/>
  <c r="BH64" i="1"/>
  <c r="BG89" i="1"/>
  <c r="K93" i="35"/>
  <c r="N93" i="35"/>
  <c r="BA43" i="1"/>
  <c r="U14" i="1"/>
  <c r="U142" i="1" s="1"/>
  <c r="Q14" i="1"/>
  <c r="Q142" i="1" s="1"/>
  <c r="T14" i="1"/>
  <c r="T142" i="1" s="1"/>
  <c r="S14" i="1"/>
  <c r="S142" i="1" s="1"/>
  <c r="R14" i="1"/>
  <c r="R142" i="1" s="1"/>
  <c r="N14" i="1"/>
  <c r="N142" i="1" s="1"/>
  <c r="O14" i="1"/>
  <c r="O142" i="1" s="1"/>
  <c r="P14" i="1"/>
  <c r="P142" i="1" s="1"/>
  <c r="BG82" i="1"/>
  <c r="V139" i="2"/>
  <c r="M142" i="2"/>
  <c r="AR145" i="1"/>
  <c r="T142" i="2"/>
  <c r="T143" i="2" s="1"/>
  <c r="O5" i="2"/>
  <c r="X5" i="2" s="1"/>
  <c r="AS146" i="1"/>
  <c r="V138" i="2"/>
  <c r="BB121" i="1"/>
  <c r="S142" i="2"/>
  <c r="S143" i="2" s="1"/>
  <c r="BH87" i="1"/>
  <c r="F28" i="2"/>
  <c r="BG149" i="1"/>
  <c r="BH149" i="1" s="1"/>
  <c r="H7" i="15"/>
  <c r="BB43" i="1"/>
  <c r="K93" i="27"/>
  <c r="BG88" i="1"/>
  <c r="BA55" i="1"/>
  <c r="C28" i="2"/>
  <c r="H19" i="2"/>
  <c r="G28" i="2"/>
  <c r="G132" i="2"/>
  <c r="G142" i="2" s="1"/>
  <c r="C132" i="2"/>
  <c r="BH52" i="1"/>
  <c r="O92" i="21"/>
  <c r="C138" i="2"/>
  <c r="BB51" i="1"/>
  <c r="N92" i="37"/>
  <c r="C133" i="2"/>
  <c r="H133" i="2" s="1"/>
  <c r="I20" i="13"/>
  <c r="D66" i="13"/>
  <c r="W19" i="2"/>
  <c r="V28" i="2"/>
  <c r="J140" i="2"/>
  <c r="O140" i="2" s="1"/>
  <c r="O13" i="2"/>
  <c r="X13" i="2" s="1"/>
  <c r="H21" i="2"/>
  <c r="C136" i="2"/>
  <c r="H136" i="2" s="1"/>
  <c r="AS147" i="1"/>
  <c r="H134" i="2"/>
  <c r="V132" i="2"/>
  <c r="E28" i="2"/>
  <c r="E132" i="2"/>
  <c r="E142" i="2" s="1"/>
  <c r="H6" i="15"/>
  <c r="L16" i="1"/>
  <c r="K15" i="1"/>
  <c r="K16" i="1"/>
  <c r="L15" i="1"/>
  <c r="BG66" i="1"/>
  <c r="BH85" i="1"/>
  <c r="BH44" i="1"/>
  <c r="C140" i="2"/>
  <c r="H140" i="2" s="1"/>
  <c r="BG67" i="1"/>
  <c r="BG74" i="1"/>
  <c r="BA72" i="1"/>
  <c r="BH81" i="1"/>
  <c r="G6" i="7"/>
  <c r="BH50" i="1"/>
  <c r="BG39" i="1"/>
  <c r="BA49" i="1"/>
  <c r="O97" i="31"/>
  <c r="BG63" i="1"/>
  <c r="BB53" i="1"/>
  <c r="N10" i="1"/>
  <c r="N141" i="1" s="1"/>
  <c r="Q10" i="1"/>
  <c r="Q141" i="1" s="1"/>
  <c r="P10" i="1"/>
  <c r="P141" i="1" s="1"/>
  <c r="O10" i="1"/>
  <c r="O141" i="1" s="1"/>
  <c r="T10" i="1"/>
  <c r="T141" i="1" s="1"/>
  <c r="S10" i="1"/>
  <c r="S141" i="1" s="1"/>
  <c r="U10" i="1"/>
  <c r="U141" i="1" s="1"/>
  <c r="R10" i="1"/>
  <c r="R141" i="1" s="1"/>
  <c r="BG120" i="1"/>
  <c r="H12" i="7" s="1"/>
  <c r="BG119" i="1"/>
  <c r="H11" i="7" s="1"/>
  <c r="AA35" i="1"/>
  <c r="BG117" i="1"/>
  <c r="BH117" i="1" s="1"/>
  <c r="BG115" i="1"/>
  <c r="H7" i="7" s="1"/>
  <c r="H110" i="2"/>
  <c r="BB122" i="1"/>
  <c r="BA122" i="1"/>
  <c r="X7" i="2"/>
  <c r="X9" i="2"/>
  <c r="X12" i="2"/>
  <c r="N142" i="2"/>
  <c r="H137" i="2"/>
  <c r="X11" i="2"/>
  <c r="AM9" i="1"/>
  <c r="AJ9" i="1"/>
  <c r="AK9" i="1"/>
  <c r="AL9" i="1"/>
  <c r="AI9" i="1"/>
  <c r="AF9" i="1"/>
  <c r="AG9" i="1"/>
  <c r="AH9" i="1"/>
  <c r="J8" i="1"/>
  <c r="J9" i="1"/>
  <c r="AI8" i="1"/>
  <c r="AF8" i="1"/>
  <c r="AM8" i="1"/>
  <c r="AJ8" i="1"/>
  <c r="AG8" i="1"/>
  <c r="AH8" i="1"/>
  <c r="AK8" i="1"/>
  <c r="AL8" i="1"/>
  <c r="K7" i="1"/>
  <c r="Q145" i="1"/>
  <c r="P63" i="31"/>
  <c r="S144" i="1"/>
  <c r="N144" i="1"/>
  <c r="T145" i="1"/>
  <c r="R145" i="1"/>
  <c r="AV143" i="1"/>
  <c r="AT143" i="1"/>
  <c r="Q144" i="1"/>
  <c r="AS143" i="1"/>
  <c r="U144" i="1"/>
  <c r="P144" i="1"/>
  <c r="U145" i="1"/>
  <c r="O145" i="1"/>
  <c r="AO143" i="1"/>
  <c r="AU143" i="1"/>
  <c r="O147" i="1"/>
  <c r="R144" i="1"/>
  <c r="S145" i="1"/>
  <c r="P59" i="35"/>
  <c r="AP143" i="1"/>
  <c r="P61" i="29"/>
  <c r="L20" i="1"/>
  <c r="K24" i="1"/>
  <c r="T144" i="1"/>
  <c r="O144" i="1"/>
  <c r="P145" i="1"/>
  <c r="N145" i="1"/>
  <c r="AR143" i="1"/>
  <c r="AQ143" i="1"/>
  <c r="K31" i="1"/>
  <c r="Z35" i="1" l="1"/>
  <c r="H138" i="2"/>
  <c r="BG41" i="1"/>
  <c r="D7" i="7" s="1"/>
  <c r="E7" i="7"/>
  <c r="BG72" i="1"/>
  <c r="BG47" i="1"/>
  <c r="K30" i="1"/>
  <c r="AM30" i="1" s="1"/>
  <c r="BH77" i="1"/>
  <c r="BH61" i="1"/>
  <c r="G10" i="7"/>
  <c r="Y35" i="1"/>
  <c r="W35" i="1"/>
  <c r="E9" i="7"/>
  <c r="H8" i="7"/>
  <c r="G11" i="7"/>
  <c r="I30" i="15"/>
  <c r="G8" i="7"/>
  <c r="BG118" i="1"/>
  <c r="G29" i="15" s="1"/>
  <c r="BG55" i="1"/>
  <c r="AO150" i="1"/>
  <c r="F11" i="7"/>
  <c r="F12" i="7"/>
  <c r="AC35" i="1"/>
  <c r="AB35" i="1"/>
  <c r="AC30" i="1"/>
  <c r="X35" i="1"/>
  <c r="AF36" i="1"/>
  <c r="AH29" i="1"/>
  <c r="Z30" i="1"/>
  <c r="X30" i="1"/>
  <c r="W30" i="1"/>
  <c r="Y30" i="1"/>
  <c r="AA30" i="1"/>
  <c r="AD30" i="1"/>
  <c r="AG28" i="1"/>
  <c r="AD29" i="1"/>
  <c r="Y28" i="1"/>
  <c r="AD28" i="1"/>
  <c r="W137" i="2"/>
  <c r="AA29" i="1"/>
  <c r="W29" i="1"/>
  <c r="AB28" i="1"/>
  <c r="AL28" i="1"/>
  <c r="AM28" i="1"/>
  <c r="P96" i="29"/>
  <c r="W28" i="1"/>
  <c r="AK28" i="1"/>
  <c r="AI28" i="1"/>
  <c r="J30" i="15"/>
  <c r="F30" i="15"/>
  <c r="G9" i="7"/>
  <c r="AF29" i="1"/>
  <c r="AG29" i="1"/>
  <c r="AY29" i="1" s="1"/>
  <c r="P97" i="31"/>
  <c r="W136" i="2"/>
  <c r="Z28" i="1"/>
  <c r="AC28" i="1"/>
  <c r="Y29" i="1"/>
  <c r="Z29" i="1"/>
  <c r="X28" i="1"/>
  <c r="AL29" i="1"/>
  <c r="AB29" i="1"/>
  <c r="AC29" i="1"/>
  <c r="AK29" i="1"/>
  <c r="AJ28" i="1"/>
  <c r="BB28" i="1" s="1"/>
  <c r="AJ29" i="1"/>
  <c r="AI29" i="1"/>
  <c r="AM29" i="1"/>
  <c r="AK36" i="1"/>
  <c r="AF28" i="1"/>
  <c r="P92" i="37"/>
  <c r="AM32" i="1"/>
  <c r="AL21" i="1"/>
  <c r="AH25" i="1"/>
  <c r="AM25" i="1"/>
  <c r="AJ33" i="1"/>
  <c r="AG32" i="1"/>
  <c r="AH32" i="1"/>
  <c r="AL25" i="1"/>
  <c r="AJ21" i="1"/>
  <c r="AJ25" i="1"/>
  <c r="AI25" i="1"/>
  <c r="AI32" i="1"/>
  <c r="AF32" i="1"/>
  <c r="AG33" i="1"/>
  <c r="AK32" i="1"/>
  <c r="AL32" i="1"/>
  <c r="AM33" i="1"/>
  <c r="AJ32" i="1"/>
  <c r="AM26" i="1"/>
  <c r="AG25" i="1"/>
  <c r="AF25" i="1"/>
  <c r="AL33" i="1"/>
  <c r="AK33" i="1"/>
  <c r="AI33" i="1"/>
  <c r="AF33" i="1"/>
  <c r="W139" i="2"/>
  <c r="AK25" i="1"/>
  <c r="AH33" i="1"/>
  <c r="AI12" i="1"/>
  <c r="BA12" i="1" s="1"/>
  <c r="AG27" i="1"/>
  <c r="AA12" i="1"/>
  <c r="AK27" i="1"/>
  <c r="AH27" i="1"/>
  <c r="AD12" i="1"/>
  <c r="AM23" i="1"/>
  <c r="AG26" i="1"/>
  <c r="X12" i="1"/>
  <c r="X6" i="2"/>
  <c r="AH26" i="1"/>
  <c r="L24" i="1"/>
  <c r="AI24" i="1" s="1"/>
  <c r="AK26" i="1"/>
  <c r="AL27" i="1"/>
  <c r="AM27" i="1"/>
  <c r="AH23" i="1"/>
  <c r="AL26" i="1"/>
  <c r="AI27" i="1"/>
  <c r="AF27" i="1"/>
  <c r="AJ27" i="1"/>
  <c r="P93" i="27"/>
  <c r="AF22" i="1"/>
  <c r="AI13" i="1"/>
  <c r="AF26" i="1"/>
  <c r="AI26" i="1"/>
  <c r="AJ26" i="1"/>
  <c r="AB12" i="1"/>
  <c r="Y12" i="1"/>
  <c r="AC12" i="1"/>
  <c r="AG21" i="1"/>
  <c r="W12" i="1"/>
  <c r="AL23" i="1"/>
  <c r="AH21" i="1"/>
  <c r="AK13" i="1"/>
  <c r="AM22" i="1"/>
  <c r="AM21" i="1"/>
  <c r="AJ22" i="1"/>
  <c r="AF21" i="1"/>
  <c r="AK22" i="1"/>
  <c r="AK21" i="1"/>
  <c r="W134" i="2"/>
  <c r="AI22" i="1"/>
  <c r="AG23" i="1"/>
  <c r="AG12" i="1"/>
  <c r="AJ23" i="1"/>
  <c r="AI21" i="1"/>
  <c r="AK12" i="1"/>
  <c r="AL13" i="1"/>
  <c r="Y13" i="1"/>
  <c r="AB13" i="1"/>
  <c r="Z13" i="1"/>
  <c r="W13" i="1"/>
  <c r="AC13" i="1"/>
  <c r="AA13" i="1"/>
  <c r="AH22" i="1"/>
  <c r="AG22" i="1"/>
  <c r="AK23" i="1"/>
  <c r="AF23" i="1"/>
  <c r="AL12" i="1"/>
  <c r="AJ12" i="1"/>
  <c r="X13" i="1"/>
  <c r="AL22" i="1"/>
  <c r="AI23" i="1"/>
  <c r="AM12" i="1"/>
  <c r="AF12" i="1"/>
  <c r="AM13" i="1"/>
  <c r="P94" i="33"/>
  <c r="AD13" i="1"/>
  <c r="W133" i="2"/>
  <c r="AF13" i="1"/>
  <c r="AP150" i="1"/>
  <c r="BG53" i="1"/>
  <c r="D13" i="7" s="1"/>
  <c r="AV150" i="1"/>
  <c r="BH120" i="1"/>
  <c r="AH36" i="1"/>
  <c r="BH65" i="1"/>
  <c r="P92" i="21"/>
  <c r="G12" i="7"/>
  <c r="AH13" i="1"/>
  <c r="BH84" i="1"/>
  <c r="J11" i="1"/>
  <c r="E30" i="15"/>
  <c r="AM36" i="1"/>
  <c r="E12" i="7"/>
  <c r="AJ13" i="1"/>
  <c r="AI11" i="1"/>
  <c r="AH11" i="1"/>
  <c r="AJ11" i="1"/>
  <c r="AK11" i="1"/>
  <c r="AG11" i="1"/>
  <c r="AM11" i="1"/>
  <c r="AF11" i="1"/>
  <c r="AL11" i="1"/>
  <c r="AG13" i="1"/>
  <c r="AH12" i="1"/>
  <c r="BH119" i="1"/>
  <c r="P93" i="35"/>
  <c r="D30" i="15"/>
  <c r="F29" i="15"/>
  <c r="W138" i="2"/>
  <c r="BG121" i="1"/>
  <c r="BH121" i="1" s="1"/>
  <c r="AI36" i="1"/>
  <c r="AG36" i="1"/>
  <c r="H28" i="2"/>
  <c r="BG49" i="1"/>
  <c r="BH49" i="1" s="1"/>
  <c r="BH83" i="1"/>
  <c r="BH78" i="1"/>
  <c r="AM35" i="1"/>
  <c r="BE35" i="1" s="1"/>
  <c r="AF35" i="1"/>
  <c r="AH35" i="1"/>
  <c r="AL35" i="1"/>
  <c r="AJ35" i="1"/>
  <c r="BB35" i="1" s="1"/>
  <c r="AG35" i="1"/>
  <c r="AK35" i="1"/>
  <c r="AI35" i="1"/>
  <c r="BA35" i="1" s="1"/>
  <c r="AQ150" i="1"/>
  <c r="AT150" i="1"/>
  <c r="H30" i="15"/>
  <c r="AL36" i="1"/>
  <c r="BG43" i="1"/>
  <c r="E29" i="15" s="1"/>
  <c r="BH88" i="1"/>
  <c r="G13" i="7"/>
  <c r="BH82" i="1"/>
  <c r="G7" i="7"/>
  <c r="BG51" i="1"/>
  <c r="AR150" i="1"/>
  <c r="F8" i="7"/>
  <c r="BH72" i="1"/>
  <c r="BH67" i="1"/>
  <c r="E14" i="7"/>
  <c r="K30" i="15"/>
  <c r="AI16" i="1"/>
  <c r="AF16" i="1"/>
  <c r="AH16" i="1"/>
  <c r="AG16" i="1"/>
  <c r="AJ16" i="1"/>
  <c r="AK16" i="1"/>
  <c r="AL16" i="1"/>
  <c r="AM16" i="1"/>
  <c r="M6" i="15"/>
  <c r="AD36" i="1"/>
  <c r="AA36" i="1"/>
  <c r="X36" i="1"/>
  <c r="AC36" i="1"/>
  <c r="Y36" i="1"/>
  <c r="Z36" i="1"/>
  <c r="AB36" i="1"/>
  <c r="W36" i="1"/>
  <c r="BH45" i="1"/>
  <c r="D9" i="7"/>
  <c r="J14" i="1"/>
  <c r="J15" i="1"/>
  <c r="BH41" i="1"/>
  <c r="BH47" i="1"/>
  <c r="D10" i="7"/>
  <c r="AU150" i="1"/>
  <c r="AS150" i="1"/>
  <c r="D6" i="7"/>
  <c r="BH39" i="1"/>
  <c r="C29" i="15"/>
  <c r="F10" i="7"/>
  <c r="BH74" i="1"/>
  <c r="J16" i="1"/>
  <c r="D14" i="7"/>
  <c r="BH63" i="1"/>
  <c r="E10" i="7"/>
  <c r="E13" i="7"/>
  <c r="BH66" i="1"/>
  <c r="AM15" i="1"/>
  <c r="AI15" i="1"/>
  <c r="AK15" i="1"/>
  <c r="AH15" i="1"/>
  <c r="AL15" i="1"/>
  <c r="AF15" i="1"/>
  <c r="AJ15" i="1"/>
  <c r="AG15" i="1"/>
  <c r="W140" i="2"/>
  <c r="C12" i="4"/>
  <c r="I66" i="13"/>
  <c r="F7" i="7"/>
  <c r="BH71" i="1"/>
  <c r="H132" i="2"/>
  <c r="W132" i="2" s="1"/>
  <c r="M7" i="15"/>
  <c r="BH89" i="1"/>
  <c r="G14" i="7"/>
  <c r="G30" i="15"/>
  <c r="I16" i="7"/>
  <c r="I17" i="7" s="1"/>
  <c r="J15" i="7"/>
  <c r="H9" i="7"/>
  <c r="BH115" i="1"/>
  <c r="D29" i="15"/>
  <c r="BG122" i="1"/>
  <c r="H14" i="7" s="1"/>
  <c r="L7" i="1"/>
  <c r="AJ7" i="1" s="1"/>
  <c r="AJ140" i="1" s="1"/>
  <c r="W9" i="1"/>
  <c r="AX9" i="1" s="1"/>
  <c r="Z9" i="1"/>
  <c r="BA9" i="1" s="1"/>
  <c r="Y9" i="1"/>
  <c r="AZ9" i="1" s="1"/>
  <c r="AD9" i="1"/>
  <c r="BE9" i="1" s="1"/>
  <c r="AC9" i="1"/>
  <c r="BD9" i="1" s="1"/>
  <c r="X9" i="1"/>
  <c r="AY9" i="1" s="1"/>
  <c r="AA9" i="1"/>
  <c r="BB9" i="1" s="1"/>
  <c r="AB9" i="1"/>
  <c r="BC9" i="1" s="1"/>
  <c r="J7" i="1"/>
  <c r="AC8" i="1"/>
  <c r="BD8" i="1" s="1"/>
  <c r="AD8" i="1"/>
  <c r="BE8" i="1" s="1"/>
  <c r="W8" i="1"/>
  <c r="AX8" i="1" s="1"/>
  <c r="AB8" i="1"/>
  <c r="BC8" i="1" s="1"/>
  <c r="AA8" i="1"/>
  <c r="BB8" i="1" s="1"/>
  <c r="X8" i="1"/>
  <c r="AY8" i="1" s="1"/>
  <c r="Y8" i="1"/>
  <c r="AZ8" i="1" s="1"/>
  <c r="Z8" i="1"/>
  <c r="BA8" i="1" s="1"/>
  <c r="AI31" i="1"/>
  <c r="AM31" i="1"/>
  <c r="AJ31" i="1"/>
  <c r="AF31" i="1"/>
  <c r="AH31" i="1"/>
  <c r="AL31" i="1"/>
  <c r="AG31" i="1"/>
  <c r="AK31" i="1"/>
  <c r="AA33" i="1"/>
  <c r="Z33" i="1"/>
  <c r="AD33" i="1"/>
  <c r="X33" i="1"/>
  <c r="AB33" i="1"/>
  <c r="W33" i="1"/>
  <c r="Y33" i="1"/>
  <c r="AC33" i="1"/>
  <c r="X23" i="1"/>
  <c r="AB23" i="1"/>
  <c r="Y23" i="1"/>
  <c r="AA23" i="1"/>
  <c r="AC23" i="1"/>
  <c r="W23" i="1"/>
  <c r="AD23" i="1"/>
  <c r="Z23" i="1"/>
  <c r="W31" i="1"/>
  <c r="AA31" i="1"/>
  <c r="X31" i="1"/>
  <c r="AB31" i="1"/>
  <c r="Z31" i="1"/>
  <c r="AD31" i="1"/>
  <c r="AC31" i="1"/>
  <c r="Y31" i="1"/>
  <c r="J24" i="1"/>
  <c r="W22" i="1"/>
  <c r="Y22" i="1"/>
  <c r="AC22" i="1"/>
  <c r="Z22" i="1"/>
  <c r="AB22" i="1"/>
  <c r="AD22" i="1"/>
  <c r="X22" i="1"/>
  <c r="AA22" i="1"/>
  <c r="W32" i="1"/>
  <c r="Y32" i="1"/>
  <c r="AC32" i="1"/>
  <c r="X32" i="1"/>
  <c r="AB32" i="1"/>
  <c r="Z32" i="1"/>
  <c r="AD32" i="1"/>
  <c r="AA32" i="1"/>
  <c r="W25" i="1"/>
  <c r="Y25" i="1"/>
  <c r="AC25" i="1"/>
  <c r="Z25" i="1"/>
  <c r="AD25" i="1"/>
  <c r="AB25" i="1"/>
  <c r="AA25" i="1"/>
  <c r="X25" i="1"/>
  <c r="AF20" i="1"/>
  <c r="AH20" i="1"/>
  <c r="AL20" i="1"/>
  <c r="AM20" i="1"/>
  <c r="AI20" i="1"/>
  <c r="AJ20" i="1"/>
  <c r="AK20" i="1"/>
  <c r="AG20" i="1"/>
  <c r="AA27" i="1"/>
  <c r="Y27" i="1"/>
  <c r="AC27" i="1"/>
  <c r="W27" i="1"/>
  <c r="AB27" i="1"/>
  <c r="AD27" i="1"/>
  <c r="Z27" i="1"/>
  <c r="X27" i="1"/>
  <c r="Z21" i="1"/>
  <c r="AD21" i="1"/>
  <c r="AA21" i="1"/>
  <c r="AC21" i="1"/>
  <c r="X21" i="1"/>
  <c r="Y21" i="1"/>
  <c r="W21" i="1"/>
  <c r="AB21" i="1"/>
  <c r="X26" i="1"/>
  <c r="AB26" i="1"/>
  <c r="W26" i="1"/>
  <c r="Y26" i="1"/>
  <c r="AC26" i="1"/>
  <c r="AA26" i="1"/>
  <c r="AD26" i="1"/>
  <c r="Z26" i="1"/>
  <c r="Z20" i="1"/>
  <c r="AD20" i="1"/>
  <c r="AA20" i="1"/>
  <c r="AB20" i="1"/>
  <c r="AC20" i="1"/>
  <c r="X20" i="1"/>
  <c r="Y20" i="1"/>
  <c r="W20" i="1"/>
  <c r="K29" i="15" l="1"/>
  <c r="BC35" i="1"/>
  <c r="BD35" i="1"/>
  <c r="AX36" i="1"/>
  <c r="D11" i="7"/>
  <c r="AI30" i="1"/>
  <c r="AI146" i="1" s="1"/>
  <c r="AH30" i="1"/>
  <c r="AZ30" i="1" s="1"/>
  <c r="AF30" i="1"/>
  <c r="AF146" i="1" s="1"/>
  <c r="AL30" i="1"/>
  <c r="AL146" i="1" s="1"/>
  <c r="AK30" i="1"/>
  <c r="BC30" i="1" s="1"/>
  <c r="AG30" i="1"/>
  <c r="AY30" i="1" s="1"/>
  <c r="AJ30" i="1"/>
  <c r="AJ146" i="1" s="1"/>
  <c r="BH55" i="1"/>
  <c r="BH53" i="1"/>
  <c r="AZ35" i="1"/>
  <c r="AX35" i="1"/>
  <c r="BH118" i="1"/>
  <c r="H10" i="7"/>
  <c r="H29" i="15"/>
  <c r="AY35" i="1"/>
  <c r="W146" i="1"/>
  <c r="BC36" i="1"/>
  <c r="BE30" i="1"/>
  <c r="AZ29" i="1"/>
  <c r="X146" i="1"/>
  <c r="AA146" i="1"/>
  <c r="BA28" i="1"/>
  <c r="AX28" i="1"/>
  <c r="BC28" i="1"/>
  <c r="BE28" i="1"/>
  <c r="Y146" i="1"/>
  <c r="BE29" i="1"/>
  <c r="BA29" i="1"/>
  <c r="AX29" i="1"/>
  <c r="AD146" i="1"/>
  <c r="AZ28" i="1"/>
  <c r="BB29" i="1"/>
  <c r="BD29" i="1"/>
  <c r="AB146" i="1"/>
  <c r="BD28" i="1"/>
  <c r="AY28" i="1"/>
  <c r="BC29" i="1"/>
  <c r="Z146" i="1"/>
  <c r="AC146" i="1"/>
  <c r="AZ36" i="1"/>
  <c r="BA36" i="1"/>
  <c r="AX23" i="1"/>
  <c r="BC22" i="1"/>
  <c r="BB23" i="1"/>
  <c r="BE32" i="1"/>
  <c r="BE25" i="1"/>
  <c r="AZ25" i="1"/>
  <c r="BA32" i="1"/>
  <c r="BE26" i="1"/>
  <c r="AY25" i="1"/>
  <c r="AY32" i="1"/>
  <c r="BA33" i="1"/>
  <c r="AM147" i="1"/>
  <c r="BB33" i="1"/>
  <c r="AZ32" i="1"/>
  <c r="AZ26" i="1"/>
  <c r="AX25" i="1"/>
  <c r="BC32" i="1"/>
  <c r="AZ33" i="1"/>
  <c r="BE33" i="1"/>
  <c r="BB26" i="1"/>
  <c r="BA27" i="1"/>
  <c r="BB25" i="1"/>
  <c r="BD25" i="1"/>
  <c r="BC33" i="1"/>
  <c r="AH147" i="1"/>
  <c r="BB12" i="1"/>
  <c r="BA25" i="1"/>
  <c r="BB32" i="1"/>
  <c r="BD33" i="1"/>
  <c r="AY33" i="1"/>
  <c r="AL147" i="1"/>
  <c r="AX32" i="1"/>
  <c r="AG147" i="1"/>
  <c r="AJ147" i="1"/>
  <c r="BD32" i="1"/>
  <c r="AI147" i="1"/>
  <c r="BD26" i="1"/>
  <c r="BC25" i="1"/>
  <c r="BD27" i="1"/>
  <c r="BC27" i="1"/>
  <c r="BE23" i="1"/>
  <c r="AY12" i="1"/>
  <c r="AX26" i="1"/>
  <c r="BB22" i="1"/>
  <c r="AX33" i="1"/>
  <c r="BC12" i="1"/>
  <c r="AY26" i="1"/>
  <c r="BE27" i="1"/>
  <c r="AZ27" i="1"/>
  <c r="BE22" i="1"/>
  <c r="AK147" i="1"/>
  <c r="AF147" i="1"/>
  <c r="BD12" i="1"/>
  <c r="AX22" i="1"/>
  <c r="AY27" i="1"/>
  <c r="AX27" i="1"/>
  <c r="BC26" i="1"/>
  <c r="BA22" i="1"/>
  <c r="BE12" i="1"/>
  <c r="AZ23" i="1"/>
  <c r="BA26" i="1"/>
  <c r="BB27" i="1"/>
  <c r="AI145" i="1"/>
  <c r="AJ144" i="1"/>
  <c r="BD22" i="1"/>
  <c r="AX12" i="1"/>
  <c r="AZ12" i="1"/>
  <c r="BA13" i="1"/>
  <c r="BD23" i="1"/>
  <c r="AG144" i="1"/>
  <c r="AM144" i="1"/>
  <c r="AY23" i="1"/>
  <c r="BC13" i="1"/>
  <c r="AL144" i="1"/>
  <c r="AH144" i="1"/>
  <c r="AY13" i="1"/>
  <c r="AF144" i="1"/>
  <c r="BE13" i="1"/>
  <c r="BA23" i="1"/>
  <c r="AX13" i="1"/>
  <c r="BD13" i="1"/>
  <c r="AI144" i="1"/>
  <c r="AZ22" i="1"/>
  <c r="BB13" i="1"/>
  <c r="AK144" i="1"/>
  <c r="BC23" i="1"/>
  <c r="AY22" i="1"/>
  <c r="AZ13" i="1"/>
  <c r="BE36" i="1"/>
  <c r="K10" i="1"/>
  <c r="Y11" i="1"/>
  <c r="AZ11" i="1" s="1"/>
  <c r="AD11" i="1"/>
  <c r="BE11" i="1" s="1"/>
  <c r="AC11" i="1"/>
  <c r="BD11" i="1" s="1"/>
  <c r="Z11" i="1"/>
  <c r="BA11" i="1" s="1"/>
  <c r="AA11" i="1"/>
  <c r="BB11" i="1" s="1"/>
  <c r="X11" i="1"/>
  <c r="AY11" i="1" s="1"/>
  <c r="W11" i="1"/>
  <c r="AX11" i="1" s="1"/>
  <c r="AB11" i="1"/>
  <c r="BC11" i="1" s="1"/>
  <c r="AM146" i="1"/>
  <c r="J29" i="15"/>
  <c r="J10" i="1"/>
  <c r="AV151" i="1"/>
  <c r="BH122" i="1"/>
  <c r="AY36" i="1"/>
  <c r="BH43" i="1"/>
  <c r="H13" i="7"/>
  <c r="L30" i="15"/>
  <c r="BD36" i="1"/>
  <c r="D8" i="7"/>
  <c r="L34" i="1"/>
  <c r="G16" i="7"/>
  <c r="G17" i="7" s="1"/>
  <c r="J34" i="1"/>
  <c r="C37" i="4"/>
  <c r="H12" i="4"/>
  <c r="E16" i="7"/>
  <c r="E17" i="7" s="1"/>
  <c r="AD14" i="1"/>
  <c r="X14" i="1"/>
  <c r="W14" i="1"/>
  <c r="AB14" i="1"/>
  <c r="AA14" i="1"/>
  <c r="Y14" i="1"/>
  <c r="Z14" i="1"/>
  <c r="AC14" i="1"/>
  <c r="BH51" i="1"/>
  <c r="D12" i="7"/>
  <c r="I29" i="15"/>
  <c r="F16" i="7"/>
  <c r="F17" i="7" s="1"/>
  <c r="L14" i="1"/>
  <c r="W16" i="1"/>
  <c r="AX16" i="1" s="1"/>
  <c r="AB16" i="1"/>
  <c r="BC16" i="1" s="1"/>
  <c r="Y16" i="1"/>
  <c r="AZ16" i="1" s="1"/>
  <c r="X16" i="1"/>
  <c r="AY16" i="1" s="1"/>
  <c r="AC16" i="1"/>
  <c r="BD16" i="1" s="1"/>
  <c r="AD16" i="1"/>
  <c r="BE16" i="1" s="1"/>
  <c r="Z16" i="1"/>
  <c r="BA16" i="1" s="1"/>
  <c r="AA16" i="1"/>
  <c r="BB16" i="1" s="1"/>
  <c r="Y15" i="1"/>
  <c r="AZ15" i="1" s="1"/>
  <c r="AB15" i="1"/>
  <c r="BC15" i="1" s="1"/>
  <c r="AC15" i="1"/>
  <c r="BD15" i="1" s="1"/>
  <c r="AA15" i="1"/>
  <c r="BB15" i="1" s="1"/>
  <c r="Z15" i="1"/>
  <c r="BA15" i="1" s="1"/>
  <c r="X15" i="1"/>
  <c r="AY15" i="1" s="1"/>
  <c r="W15" i="1"/>
  <c r="AX15" i="1" s="1"/>
  <c r="AD15" i="1"/>
  <c r="BE15" i="1" s="1"/>
  <c r="L15" i="7"/>
  <c r="K15" i="7"/>
  <c r="BB36" i="1"/>
  <c r="AJ24" i="1"/>
  <c r="AJ145" i="1" s="1"/>
  <c r="AH24" i="1"/>
  <c r="AH145" i="1" s="1"/>
  <c r="AF24" i="1"/>
  <c r="AF145" i="1" s="1"/>
  <c r="AG7" i="1"/>
  <c r="AG140" i="1" s="1"/>
  <c r="AG24" i="1"/>
  <c r="AG145" i="1" s="1"/>
  <c r="AM24" i="1"/>
  <c r="AM145" i="1" s="1"/>
  <c r="AK24" i="1"/>
  <c r="AK145" i="1" s="1"/>
  <c r="AL24" i="1"/>
  <c r="AL145" i="1" s="1"/>
  <c r="BG8" i="1"/>
  <c r="BH8" i="1" s="1"/>
  <c r="AK7" i="1"/>
  <c r="AK140" i="1" s="1"/>
  <c r="BG9" i="1"/>
  <c r="C33" i="15" s="1"/>
  <c r="AI7" i="1"/>
  <c r="AI140" i="1" s="1"/>
  <c r="AL7" i="1"/>
  <c r="AL140" i="1" s="1"/>
  <c r="AH7" i="1"/>
  <c r="AH140" i="1" s="1"/>
  <c r="AC7" i="1"/>
  <c r="AB7" i="1"/>
  <c r="AA7" i="1"/>
  <c r="Z7" i="1"/>
  <c r="Y7" i="1"/>
  <c r="X7" i="1"/>
  <c r="W7" i="1"/>
  <c r="AD7" i="1"/>
  <c r="AM7" i="1"/>
  <c r="AM140" i="1" s="1"/>
  <c r="AF7" i="1"/>
  <c r="AF140" i="1" s="1"/>
  <c r="Y147" i="1"/>
  <c r="AZ31" i="1"/>
  <c r="X144" i="1"/>
  <c r="AY20" i="1"/>
  <c r="AD144" i="1"/>
  <c r="BE20" i="1"/>
  <c r="AC144" i="1"/>
  <c r="BD20" i="1"/>
  <c r="AY21" i="1"/>
  <c r="W144" i="1"/>
  <c r="AX20" i="1"/>
  <c r="AB144" i="1"/>
  <c r="BC20" i="1"/>
  <c r="BC21" i="1"/>
  <c r="BD21" i="1"/>
  <c r="W24" i="1"/>
  <c r="AA24" i="1"/>
  <c r="Z24" i="1"/>
  <c r="AD24" i="1"/>
  <c r="AB24" i="1"/>
  <c r="Y24" i="1"/>
  <c r="AC24" i="1"/>
  <c r="X24" i="1"/>
  <c r="Z147" i="1"/>
  <c r="BA31" i="1"/>
  <c r="W147" i="1"/>
  <c r="AX31" i="1"/>
  <c r="Y144" i="1"/>
  <c r="AZ20" i="1"/>
  <c r="AX21" i="1"/>
  <c r="BB21" i="1"/>
  <c r="AZ21" i="1"/>
  <c r="BE21" i="1"/>
  <c r="AC147" i="1"/>
  <c r="BD31" i="1"/>
  <c r="X147" i="1"/>
  <c r="AY31" i="1"/>
  <c r="AA144" i="1"/>
  <c r="BB20" i="1"/>
  <c r="AB147" i="1"/>
  <c r="BC31" i="1"/>
  <c r="Z144" i="1"/>
  <c r="BA20" i="1"/>
  <c r="BA21" i="1"/>
  <c r="AD147" i="1"/>
  <c r="BE31" i="1"/>
  <c r="AA147" i="1"/>
  <c r="BB31" i="1"/>
  <c r="BG35" i="1" l="1"/>
  <c r="BH35" i="1" s="1"/>
  <c r="AH146" i="1"/>
  <c r="AZ146" i="1" s="1"/>
  <c r="BA30" i="1"/>
  <c r="AX30" i="1"/>
  <c r="AK146" i="1"/>
  <c r="BC146" i="1" s="1"/>
  <c r="AG146" i="1"/>
  <c r="AY146" i="1" s="1"/>
  <c r="BB30" i="1"/>
  <c r="BD30" i="1"/>
  <c r="AX146" i="1"/>
  <c r="K31" i="15"/>
  <c r="BB146" i="1"/>
  <c r="BE146" i="1"/>
  <c r="BD146" i="1"/>
  <c r="BG29" i="1"/>
  <c r="I31" i="15" s="1"/>
  <c r="BA146" i="1"/>
  <c r="BG28" i="1"/>
  <c r="I27" i="15" s="1"/>
  <c r="BE147" i="1"/>
  <c r="BB144" i="1"/>
  <c r="L29" i="15"/>
  <c r="AY147" i="1"/>
  <c r="AZ147" i="1"/>
  <c r="BG32" i="1"/>
  <c r="BH32" i="1" s="1"/>
  <c r="BG25" i="1"/>
  <c r="H28" i="15" s="1"/>
  <c r="BG33" i="1"/>
  <c r="J33" i="15" s="1"/>
  <c r="BD147" i="1"/>
  <c r="BD144" i="1"/>
  <c r="AY144" i="1"/>
  <c r="BA147" i="1"/>
  <c r="BB147" i="1"/>
  <c r="BG26" i="1"/>
  <c r="H31" i="15" s="1"/>
  <c r="AX147" i="1"/>
  <c r="BG27" i="1"/>
  <c r="H33" i="15" s="1"/>
  <c r="BC147" i="1"/>
  <c r="BC144" i="1"/>
  <c r="BG12" i="1"/>
  <c r="D31" i="15" s="1"/>
  <c r="AX144" i="1"/>
  <c r="BA144" i="1"/>
  <c r="BG23" i="1"/>
  <c r="G33" i="15" s="1"/>
  <c r="AZ144" i="1"/>
  <c r="BE144" i="1"/>
  <c r="BG22" i="1"/>
  <c r="BH22" i="1" s="1"/>
  <c r="BG13" i="1"/>
  <c r="BH13" i="1" s="1"/>
  <c r="BG11" i="1"/>
  <c r="AC10" i="1"/>
  <c r="AB10" i="1"/>
  <c r="AA10" i="1"/>
  <c r="W10" i="1"/>
  <c r="AD10" i="1"/>
  <c r="Z10" i="1"/>
  <c r="Y10" i="1"/>
  <c r="X10" i="1"/>
  <c r="AF10" i="1"/>
  <c r="AF141" i="1" s="1"/>
  <c r="AL10" i="1"/>
  <c r="AL141" i="1" s="1"/>
  <c r="AJ10" i="1"/>
  <c r="AJ141" i="1" s="1"/>
  <c r="AK10" i="1"/>
  <c r="AK141" i="1" s="1"/>
  <c r="AH10" i="1"/>
  <c r="AH141" i="1" s="1"/>
  <c r="AI10" i="1"/>
  <c r="AI141" i="1" s="1"/>
  <c r="AG10" i="1"/>
  <c r="AG141" i="1" s="1"/>
  <c r="AM10" i="1"/>
  <c r="AM141" i="1" s="1"/>
  <c r="H16" i="7"/>
  <c r="H17" i="7" s="1"/>
  <c r="AG34" i="1"/>
  <c r="AG148" i="1" s="1"/>
  <c r="AL34" i="1"/>
  <c r="AL148" i="1" s="1"/>
  <c r="AM34" i="1"/>
  <c r="AM148" i="1" s="1"/>
  <c r="AK34" i="1"/>
  <c r="AK148" i="1" s="1"/>
  <c r="AF34" i="1"/>
  <c r="AF148" i="1" s="1"/>
  <c r="AI34" i="1"/>
  <c r="AI148" i="1" s="1"/>
  <c r="AH34" i="1"/>
  <c r="AH148" i="1" s="1"/>
  <c r="AJ34" i="1"/>
  <c r="AJ148" i="1" s="1"/>
  <c r="BG36" i="1"/>
  <c r="K33" i="15" s="1"/>
  <c r="Z34" i="1"/>
  <c r="AA34" i="1"/>
  <c r="Y34" i="1"/>
  <c r="AC34" i="1"/>
  <c r="X34" i="1"/>
  <c r="AD34" i="1"/>
  <c r="W34" i="1"/>
  <c r="AB34" i="1"/>
  <c r="BG15" i="1"/>
  <c r="AM14" i="1"/>
  <c r="AM142" i="1" s="1"/>
  <c r="AK14" i="1"/>
  <c r="AK142" i="1" s="1"/>
  <c r="AH14" i="1"/>
  <c r="AH142" i="1" s="1"/>
  <c r="AJ14" i="1"/>
  <c r="AJ142" i="1" s="1"/>
  <c r="AL14" i="1"/>
  <c r="AL142" i="1" s="1"/>
  <c r="AG14" i="1"/>
  <c r="AG142" i="1" s="1"/>
  <c r="AF14" i="1"/>
  <c r="AF142" i="1" s="1"/>
  <c r="AI14" i="1"/>
  <c r="AI142" i="1" s="1"/>
  <c r="Z142" i="1"/>
  <c r="W142" i="1"/>
  <c r="D16" i="7"/>
  <c r="D17" i="7" s="1"/>
  <c r="Y142" i="1"/>
  <c r="X142" i="1"/>
  <c r="AY14" i="1"/>
  <c r="BG16" i="1"/>
  <c r="AA142" i="1"/>
  <c r="AD142" i="1"/>
  <c r="BE142" i="1" s="1"/>
  <c r="AC142" i="1"/>
  <c r="AB142" i="1"/>
  <c r="C61" i="4"/>
  <c r="H61" i="4" s="1"/>
  <c r="H37" i="4"/>
  <c r="C31" i="15"/>
  <c r="BH9" i="1"/>
  <c r="Y140" i="1"/>
  <c r="AZ140" i="1" s="1"/>
  <c r="AZ7" i="1"/>
  <c r="BD7" i="1"/>
  <c r="AC140" i="1"/>
  <c r="BD140" i="1" s="1"/>
  <c r="W140" i="1"/>
  <c r="AX140" i="1" s="1"/>
  <c r="AX7" i="1"/>
  <c r="AA140" i="1"/>
  <c r="BB140" i="1" s="1"/>
  <c r="BB7" i="1"/>
  <c r="X140" i="1"/>
  <c r="AY140" i="1" s="1"/>
  <c r="AY7" i="1"/>
  <c r="AB140" i="1"/>
  <c r="BC140" i="1" s="1"/>
  <c r="BC7" i="1"/>
  <c r="BE7" i="1"/>
  <c r="AD140" i="1"/>
  <c r="BE140" i="1" s="1"/>
  <c r="Z140" i="1"/>
  <c r="BA140" i="1" s="1"/>
  <c r="BA7" i="1"/>
  <c r="BG21" i="1"/>
  <c r="BG31" i="1"/>
  <c r="AC145" i="1"/>
  <c r="BD24" i="1"/>
  <c r="Z145" i="1"/>
  <c r="BA145" i="1" s="1"/>
  <c r="BA24" i="1"/>
  <c r="BG20" i="1"/>
  <c r="AB145" i="1"/>
  <c r="BC145" i="1" s="1"/>
  <c r="BC24" i="1"/>
  <c r="W145" i="1"/>
  <c r="AX145" i="1" s="1"/>
  <c r="AX24" i="1"/>
  <c r="Y145" i="1"/>
  <c r="AZ24" i="1"/>
  <c r="AA145" i="1"/>
  <c r="BB145" i="1" s="1"/>
  <c r="BB24" i="1"/>
  <c r="X145" i="1"/>
  <c r="AY145" i="1" s="1"/>
  <c r="AY24" i="1"/>
  <c r="AD145" i="1"/>
  <c r="BE24" i="1"/>
  <c r="BG30" i="1" l="1"/>
  <c r="I33" i="15" s="1"/>
  <c r="I34" i="15" s="1"/>
  <c r="I40" i="15" s="1"/>
  <c r="BG146" i="1"/>
  <c r="BH146" i="1" s="1"/>
  <c r="BH29" i="1"/>
  <c r="BH28" i="1"/>
  <c r="G31" i="15"/>
  <c r="J31" i="15"/>
  <c r="BH25" i="1"/>
  <c r="BH33" i="1"/>
  <c r="BG147" i="1"/>
  <c r="BH147" i="1" s="1"/>
  <c r="BH26" i="1"/>
  <c r="BH23" i="1"/>
  <c r="BH27" i="1"/>
  <c r="BH12" i="1"/>
  <c r="BG144" i="1"/>
  <c r="BH144" i="1" s="1"/>
  <c r="BC142" i="1"/>
  <c r="D33" i="15"/>
  <c r="D28" i="15"/>
  <c r="BH11" i="1"/>
  <c r="AZ10" i="1"/>
  <c r="Y141" i="1"/>
  <c r="AZ141" i="1" s="1"/>
  <c r="AA141" i="1"/>
  <c r="BB141" i="1" s="1"/>
  <c r="BB10" i="1"/>
  <c r="Z141" i="1"/>
  <c r="BA141" i="1" s="1"/>
  <c r="BA10" i="1"/>
  <c r="AB141" i="1"/>
  <c r="BC141" i="1" s="1"/>
  <c r="BC10" i="1"/>
  <c r="X141" i="1"/>
  <c r="AY141" i="1" s="1"/>
  <c r="AY10" i="1"/>
  <c r="W141" i="1"/>
  <c r="AX141" i="1" s="1"/>
  <c r="AX10" i="1"/>
  <c r="BC14" i="1"/>
  <c r="AD141" i="1"/>
  <c r="BE141" i="1" s="1"/>
  <c r="BE10" i="1"/>
  <c r="AC141" i="1"/>
  <c r="BD141" i="1" s="1"/>
  <c r="BD10" i="1"/>
  <c r="AX142" i="1"/>
  <c r="BH36" i="1"/>
  <c r="BD142" i="1"/>
  <c r="AZ34" i="1"/>
  <c r="Y148" i="1"/>
  <c r="AZ148" i="1" s="1"/>
  <c r="BB142" i="1"/>
  <c r="AZ14" i="1"/>
  <c r="BA14" i="1"/>
  <c r="X148" i="1"/>
  <c r="AY148" i="1" s="1"/>
  <c r="AY34" i="1"/>
  <c r="BA34" i="1"/>
  <c r="Z148" i="1"/>
  <c r="BA148" i="1" s="1"/>
  <c r="W148" i="1"/>
  <c r="AX148" i="1" s="1"/>
  <c r="AX34" i="1"/>
  <c r="BB14" i="1"/>
  <c r="BE34" i="1"/>
  <c r="AD148" i="1"/>
  <c r="BE148" i="1" s="1"/>
  <c r="BB34" i="1"/>
  <c r="AA148" i="1"/>
  <c r="BB148" i="1" s="1"/>
  <c r="BA142" i="1"/>
  <c r="AB148" i="1"/>
  <c r="BC148" i="1" s="1"/>
  <c r="BC34" i="1"/>
  <c r="AC148" i="1"/>
  <c r="BD148" i="1" s="1"/>
  <c r="BD34" i="1"/>
  <c r="BD14" i="1"/>
  <c r="AY142" i="1"/>
  <c r="AX14" i="1"/>
  <c r="BH15" i="1"/>
  <c r="E31" i="15"/>
  <c r="BE14" i="1"/>
  <c r="E33" i="15"/>
  <c r="BH16" i="1"/>
  <c r="AZ142" i="1"/>
  <c r="BG140" i="1"/>
  <c r="BH140" i="1" s="1"/>
  <c r="BG7" i="1"/>
  <c r="BD145" i="1"/>
  <c r="BE145" i="1"/>
  <c r="G27" i="15"/>
  <c r="C10" i="7"/>
  <c r="BH20" i="1"/>
  <c r="J27" i="15"/>
  <c r="C13" i="7"/>
  <c r="BH31" i="1"/>
  <c r="G28" i="15"/>
  <c r="BH21" i="1"/>
  <c r="AZ145" i="1"/>
  <c r="BG24" i="1"/>
  <c r="C12" i="7" l="1"/>
  <c r="J12" i="7" s="1"/>
  <c r="BH30" i="1"/>
  <c r="I44" i="15"/>
  <c r="I42" i="15"/>
  <c r="I43" i="15"/>
  <c r="I45" i="15"/>
  <c r="I46" i="15"/>
  <c r="I41" i="15"/>
  <c r="BG10" i="1"/>
  <c r="C7" i="7" s="1"/>
  <c r="BG141" i="1"/>
  <c r="BH141" i="1" s="1"/>
  <c r="BG142" i="1"/>
  <c r="BH142" i="1" s="1"/>
  <c r="BG34" i="1"/>
  <c r="BG148" i="1"/>
  <c r="BH148" i="1" s="1"/>
  <c r="BG14" i="1"/>
  <c r="J13" i="7"/>
  <c r="J10" i="7"/>
  <c r="BG145" i="1"/>
  <c r="BH145" i="1" s="1"/>
  <c r="C6" i="7"/>
  <c r="BH7" i="1"/>
  <c r="C27" i="15"/>
  <c r="C34" i="15" s="1"/>
  <c r="C40" i="15" s="1"/>
  <c r="H27" i="15"/>
  <c r="C11" i="7"/>
  <c r="BH24" i="1"/>
  <c r="G34" i="15"/>
  <c r="G41" i="15" s="1"/>
  <c r="L28" i="15"/>
  <c r="J34" i="15"/>
  <c r="J40" i="15" s="1"/>
  <c r="I47" i="15" l="1"/>
  <c r="L12" i="7"/>
  <c r="K12" i="7"/>
  <c r="D27" i="15"/>
  <c r="D34" i="15" s="1"/>
  <c r="D40" i="15" s="1"/>
  <c r="BH10" i="1"/>
  <c r="J7" i="7"/>
  <c r="K27" i="15"/>
  <c r="C14" i="7"/>
  <c r="J14" i="7" s="1"/>
  <c r="BH34" i="1"/>
  <c r="BH14" i="1"/>
  <c r="C8" i="7"/>
  <c r="E27" i="15"/>
  <c r="E34" i="15" s="1"/>
  <c r="L13" i="7"/>
  <c r="K10" i="7"/>
  <c r="K13" i="7"/>
  <c r="L10" i="7"/>
  <c r="J11" i="7"/>
  <c r="J6" i="7"/>
  <c r="K6" i="7" s="1"/>
  <c r="C43" i="15"/>
  <c r="C42" i="15"/>
  <c r="C44" i="15"/>
  <c r="C45" i="15"/>
  <c r="C46" i="15"/>
  <c r="C41" i="15"/>
  <c r="G40" i="15"/>
  <c r="H34" i="15"/>
  <c r="J41" i="15"/>
  <c r="J43" i="15"/>
  <c r="J45" i="15"/>
  <c r="J42" i="15"/>
  <c r="J46" i="15"/>
  <c r="J44" i="15"/>
  <c r="G43" i="15"/>
  <c r="G45" i="15"/>
  <c r="G42" i="15"/>
  <c r="G44" i="15"/>
  <c r="G46" i="15"/>
  <c r="D44" i="15" l="1"/>
  <c r="D45" i="15"/>
  <c r="D46" i="15"/>
  <c r="D41" i="15"/>
  <c r="D43" i="15"/>
  <c r="D42" i="15"/>
  <c r="L7" i="7"/>
  <c r="K7" i="7"/>
  <c r="L14" i="7"/>
  <c r="K14" i="7"/>
  <c r="K34" i="15"/>
  <c r="K40" i="15" s="1"/>
  <c r="E40" i="15"/>
  <c r="E45" i="15"/>
  <c r="E41" i="15"/>
  <c r="E42" i="15"/>
  <c r="E43" i="15"/>
  <c r="E44" i="15"/>
  <c r="E46" i="15"/>
  <c r="J8" i="7"/>
  <c r="L6" i="7"/>
  <c r="K11" i="7"/>
  <c r="L11" i="7"/>
  <c r="C47" i="15"/>
  <c r="J47" i="15"/>
  <c r="H43" i="15"/>
  <c r="H45" i="15"/>
  <c r="H42" i="15"/>
  <c r="H46" i="15"/>
  <c r="H44" i="15"/>
  <c r="H41" i="15"/>
  <c r="H40" i="15"/>
  <c r="G47" i="15"/>
  <c r="D47" i="15" l="1"/>
  <c r="K45" i="15"/>
  <c r="K41" i="15"/>
  <c r="K42" i="15"/>
  <c r="K46" i="15"/>
  <c r="K43" i="15"/>
  <c r="K44" i="15"/>
  <c r="L8" i="7"/>
  <c r="K8" i="7"/>
  <c r="E47" i="15"/>
  <c r="H47" i="15"/>
  <c r="K47" i="15" l="1"/>
  <c r="K38" i="19"/>
  <c r="K91" i="19" l="1"/>
  <c r="Q8" i="2"/>
  <c r="P91" i="19" l="1"/>
  <c r="Q14" i="2"/>
  <c r="J8" i="2"/>
  <c r="V8" i="2"/>
  <c r="C8" i="2"/>
  <c r="Q135" i="2"/>
  <c r="K92" i="19" s="1"/>
  <c r="P92" i="19" s="1"/>
  <c r="K58" i="19"/>
  <c r="P58" i="19" s="1"/>
  <c r="W8" i="2" l="1"/>
  <c r="V14" i="2"/>
  <c r="J14" i="2"/>
  <c r="J135" i="2"/>
  <c r="O8" i="2"/>
  <c r="O14" i="2" s="1"/>
  <c r="Q142" i="2"/>
  <c r="Q143" i="2" s="1"/>
  <c r="V135" i="2"/>
  <c r="C14" i="2"/>
  <c r="C135" i="2"/>
  <c r="H8" i="2"/>
  <c r="H14" i="2" s="1"/>
  <c r="I17" i="1"/>
  <c r="U17" i="1" l="1"/>
  <c r="P17" i="1"/>
  <c r="O17" i="1"/>
  <c r="S17" i="1"/>
  <c r="Q17" i="1"/>
  <c r="N17" i="1"/>
  <c r="R17" i="1"/>
  <c r="T17" i="1"/>
  <c r="X8" i="2"/>
  <c r="J142" i="2"/>
  <c r="O135" i="2"/>
  <c r="O142" i="2" s="1"/>
  <c r="V142" i="2"/>
  <c r="V143" i="2" s="1"/>
  <c r="C142" i="2"/>
  <c r="H135" i="2"/>
  <c r="H142" i="2" s="1"/>
  <c r="K19" i="1"/>
  <c r="K18" i="1"/>
  <c r="L19" i="1"/>
  <c r="L18" i="1"/>
  <c r="J19" i="1" l="1"/>
  <c r="N143" i="1"/>
  <c r="J17" i="1"/>
  <c r="T143" i="1"/>
  <c r="S143" i="1"/>
  <c r="AH18" i="1"/>
  <c r="AJ18" i="1"/>
  <c r="AL18" i="1"/>
  <c r="AM18" i="1"/>
  <c r="AG18" i="1"/>
  <c r="AI18" i="1"/>
  <c r="AK18" i="1"/>
  <c r="AF18" i="1"/>
  <c r="W135" i="2"/>
  <c r="R143" i="1"/>
  <c r="O143" i="1"/>
  <c r="L17" i="1"/>
  <c r="P143" i="1"/>
  <c r="AK19" i="1"/>
  <c r="AF19" i="1"/>
  <c r="AI19" i="1"/>
  <c r="AM19" i="1"/>
  <c r="AH19" i="1"/>
  <c r="AJ19" i="1"/>
  <c r="AL19" i="1"/>
  <c r="AG19" i="1"/>
  <c r="J18" i="1"/>
  <c r="K17" i="1"/>
  <c r="Q143" i="1"/>
  <c r="U143" i="1"/>
  <c r="AD18" i="1" l="1"/>
  <c r="AB18" i="1"/>
  <c r="AA18" i="1"/>
  <c r="AC18" i="1"/>
  <c r="X18" i="1"/>
  <c r="W18" i="1"/>
  <c r="Z18" i="1"/>
  <c r="Y18" i="1"/>
  <c r="O150" i="1"/>
  <c r="U150" i="1"/>
  <c r="Q150" i="1"/>
  <c r="N150" i="1"/>
  <c r="AA19" i="1"/>
  <c r="Y19" i="1"/>
  <c r="AC19" i="1"/>
  <c r="X19" i="1"/>
  <c r="W19" i="1"/>
  <c r="Z19" i="1"/>
  <c r="AD19" i="1"/>
  <c r="AB19" i="1"/>
  <c r="AH17" i="1"/>
  <c r="AJ17" i="1"/>
  <c r="AI17" i="1"/>
  <c r="AG17" i="1"/>
  <c r="AF17" i="1"/>
  <c r="AM17" i="1"/>
  <c r="AL17" i="1"/>
  <c r="AK17" i="1"/>
  <c r="R150" i="1"/>
  <c r="T150" i="1"/>
  <c r="Y17" i="1"/>
  <c r="AC17" i="1"/>
  <c r="AB17" i="1"/>
  <c r="AA17" i="1"/>
  <c r="AD17" i="1"/>
  <c r="Z17" i="1"/>
  <c r="X17" i="1"/>
  <c r="W17" i="1"/>
  <c r="P150" i="1"/>
  <c r="S150" i="1"/>
  <c r="U151" i="1" l="1"/>
  <c r="W143" i="1"/>
  <c r="AX17" i="1"/>
  <c r="AA143" i="1"/>
  <c r="BB17" i="1"/>
  <c r="AL143" i="1"/>
  <c r="AL150" i="1" s="1"/>
  <c r="AI143" i="1"/>
  <c r="AI150" i="1" s="1"/>
  <c r="BE19" i="1"/>
  <c r="BD19" i="1"/>
  <c r="BA18" i="1"/>
  <c r="X143" i="1"/>
  <c r="AY17" i="1"/>
  <c r="AX18" i="1"/>
  <c r="BC18" i="1"/>
  <c r="Z143" i="1"/>
  <c r="BA17" i="1"/>
  <c r="AC143" i="1"/>
  <c r="BD17" i="1"/>
  <c r="AF143" i="1"/>
  <c r="AF150" i="1" s="1"/>
  <c r="AH143" i="1"/>
  <c r="AH150" i="1" s="1"/>
  <c r="AX19" i="1"/>
  <c r="BB19" i="1"/>
  <c r="AY18" i="1"/>
  <c r="BE18" i="1"/>
  <c r="BB18" i="1"/>
  <c r="AB143" i="1"/>
  <c r="BC17" i="1"/>
  <c r="AM143" i="1"/>
  <c r="AM150" i="1" s="1"/>
  <c r="AJ143" i="1"/>
  <c r="AJ150" i="1" s="1"/>
  <c r="BA19" i="1"/>
  <c r="AZ19" i="1"/>
  <c r="AD143" i="1"/>
  <c r="BE17" i="1"/>
  <c r="Y143" i="1"/>
  <c r="AZ17" i="1"/>
  <c r="AK143" i="1"/>
  <c r="AK150" i="1" s="1"/>
  <c r="AG143" i="1"/>
  <c r="AG150" i="1" s="1"/>
  <c r="BC19" i="1"/>
  <c r="AY19" i="1"/>
  <c r="AZ18" i="1"/>
  <c r="BD18" i="1"/>
  <c r="AD150" i="1" l="1"/>
  <c r="BE143" i="1"/>
  <c r="BG18" i="1"/>
  <c r="AM151" i="1"/>
  <c r="AC150" i="1"/>
  <c r="BD143" i="1"/>
  <c r="BG17" i="1"/>
  <c r="X150" i="1"/>
  <c r="AY143" i="1"/>
  <c r="AB150" i="1"/>
  <c r="BC143" i="1"/>
  <c r="AA150" i="1"/>
  <c r="BB143" i="1"/>
  <c r="Y150" i="1"/>
  <c r="AZ143" i="1"/>
  <c r="BG19" i="1"/>
  <c r="Z150" i="1"/>
  <c r="BA143" i="1"/>
  <c r="W150" i="1"/>
  <c r="AX143" i="1"/>
  <c r="AD151" i="1" l="1"/>
  <c r="AZ150" i="1"/>
  <c r="E5" i="15"/>
  <c r="E13" i="15" s="1"/>
  <c r="BA150" i="1"/>
  <c r="F5" i="15"/>
  <c r="F13" i="15" s="1"/>
  <c r="AY150" i="1"/>
  <c r="D5" i="15"/>
  <c r="D13" i="15" s="1"/>
  <c r="BH17" i="1"/>
  <c r="F27" i="15"/>
  <c r="C9" i="7"/>
  <c r="G5" i="15"/>
  <c r="G13" i="15" s="1"/>
  <c r="BB150" i="1"/>
  <c r="BH18" i="1"/>
  <c r="F31" i="15"/>
  <c r="C5" i="15"/>
  <c r="AX150" i="1"/>
  <c r="BG143" i="1"/>
  <c r="C36" i="15" s="1" a="1"/>
  <c r="BH19" i="1"/>
  <c r="F33" i="15"/>
  <c r="BD150" i="1"/>
  <c r="J5" i="15"/>
  <c r="J13" i="15" s="1"/>
  <c r="K5" i="15"/>
  <c r="K13" i="15" s="1"/>
  <c r="BE150" i="1"/>
  <c r="BC150" i="1"/>
  <c r="I5" i="15"/>
  <c r="J18" i="15" l="1"/>
  <c r="K18" i="15"/>
  <c r="J36" i="15"/>
  <c r="J37" i="15" s="1"/>
  <c r="C36" i="15"/>
  <c r="C37" i="15" s="1"/>
  <c r="H36" i="15"/>
  <c r="H37" i="15" s="1"/>
  <c r="K36" i="15"/>
  <c r="K37" i="15" s="1"/>
  <c r="I36" i="15"/>
  <c r="I37" i="15" s="1"/>
  <c r="G36" i="15"/>
  <c r="G37" i="15" s="1"/>
  <c r="E36" i="15"/>
  <c r="E37" i="15" s="1"/>
  <c r="D36" i="15"/>
  <c r="D37" i="15" s="1"/>
  <c r="L33" i="15"/>
  <c r="H5" i="15"/>
  <c r="C13" i="15"/>
  <c r="C16" i="7"/>
  <c r="C17" i="7" s="1"/>
  <c r="J9" i="7"/>
  <c r="L27" i="15"/>
  <c r="F34" i="15"/>
  <c r="F44" i="15" s="1"/>
  <c r="L44" i="15" s="1"/>
  <c r="BH143" i="1"/>
  <c r="BG150" i="1"/>
  <c r="F36" i="15"/>
  <c r="I13" i="15"/>
  <c r="L5" i="15"/>
  <c r="L13" i="15" s="1"/>
  <c r="L18" i="15" s="1"/>
  <c r="L31" i="15"/>
  <c r="J6" i="44" l="1"/>
  <c r="K6" i="44"/>
  <c r="I18" i="15"/>
  <c r="I6" i="44" s="1"/>
  <c r="BH150" i="1"/>
  <c r="L36" i="15"/>
  <c r="F37" i="15"/>
  <c r="F45" i="15"/>
  <c r="L45" i="15" s="1"/>
  <c r="F43" i="15"/>
  <c r="L43" i="15" s="1"/>
  <c r="F42" i="15"/>
  <c r="L42" i="15" s="1"/>
  <c r="F41" i="15"/>
  <c r="L41" i="15" s="1"/>
  <c r="J19" i="7"/>
  <c r="L9" i="7"/>
  <c r="J16" i="7"/>
  <c r="J17" i="7" s="1"/>
  <c r="K9" i="7"/>
  <c r="K16" i="7" s="1"/>
  <c r="M5" i="15"/>
  <c r="M13" i="15" s="1"/>
  <c r="H13" i="15"/>
  <c r="L34" i="15"/>
  <c r="F46" i="15"/>
  <c r="L46" i="15" s="1"/>
  <c r="P164" i="1"/>
  <c r="AR164" i="1"/>
  <c r="Q164" i="1"/>
  <c r="AV164" i="1"/>
  <c r="N164" i="1"/>
  <c r="AO164" i="1"/>
  <c r="O164" i="1"/>
  <c r="R164" i="1"/>
  <c r="AQ164" i="1"/>
  <c r="S164" i="1"/>
  <c r="AU164" i="1"/>
  <c r="T164" i="1"/>
  <c r="AP164" i="1"/>
  <c r="AS164" i="1"/>
  <c r="AT164" i="1"/>
  <c r="U164" i="1"/>
  <c r="AG164" i="1"/>
  <c r="AF164" i="1"/>
  <c r="AL164" i="1"/>
  <c r="AK164" i="1"/>
  <c r="AI164" i="1"/>
  <c r="AH164" i="1"/>
  <c r="AM164" i="1"/>
  <c r="AJ164" i="1"/>
  <c r="W164" i="1"/>
  <c r="AD164" i="1"/>
  <c r="X164" i="1"/>
  <c r="Z164" i="1"/>
  <c r="AC164" i="1"/>
  <c r="AB164" i="1"/>
  <c r="Y164" i="1"/>
  <c r="AA164" i="1"/>
  <c r="F40" i="15"/>
  <c r="L6" i="44" l="1"/>
  <c r="L40" i="15"/>
  <c r="F47" i="15"/>
  <c r="D38" i="13"/>
  <c r="AZ164" i="1"/>
  <c r="F15" i="13" s="1"/>
  <c r="L16" i="7"/>
  <c r="L19" i="7"/>
  <c r="H38" i="13"/>
  <c r="BE164" i="1"/>
  <c r="L15" i="13" s="1"/>
  <c r="BB164" i="1"/>
  <c r="H15" i="13" s="1"/>
  <c r="U170" i="1"/>
  <c r="T170" i="1"/>
  <c r="Q170" i="1"/>
  <c r="AU170" i="1"/>
  <c r="AU171" i="1" s="1"/>
  <c r="S170" i="1"/>
  <c r="AP170" i="1"/>
  <c r="AP171" i="1" s="1"/>
  <c r="AO170" i="1"/>
  <c r="AO171" i="1" s="1"/>
  <c r="AT170" i="1"/>
  <c r="AT171" i="1" s="1"/>
  <c r="P170" i="1"/>
  <c r="R170" i="1"/>
  <c r="AR170" i="1"/>
  <c r="AR171" i="1" s="1"/>
  <c r="O170" i="1"/>
  <c r="AS170" i="1"/>
  <c r="AS171" i="1" s="1"/>
  <c r="N170" i="1"/>
  <c r="AV170" i="1"/>
  <c r="AV171" i="1" s="1"/>
  <c r="AQ170" i="1"/>
  <c r="AQ171" i="1" s="1"/>
  <c r="AL170" i="1"/>
  <c r="AL171" i="1" s="1"/>
  <c r="AM170" i="1"/>
  <c r="AM171" i="1" s="1"/>
  <c r="AJ170" i="1"/>
  <c r="AJ171" i="1" s="1"/>
  <c r="AG170" i="1"/>
  <c r="AG171" i="1" s="1"/>
  <c r="AH170" i="1"/>
  <c r="AH171" i="1" s="1"/>
  <c r="AI170" i="1"/>
  <c r="AI171" i="1" s="1"/>
  <c r="AF170" i="1"/>
  <c r="AF171" i="1" s="1"/>
  <c r="AK170" i="1"/>
  <c r="AK171" i="1" s="1"/>
  <c r="AA170" i="1"/>
  <c r="Y170" i="1"/>
  <c r="Z170" i="1"/>
  <c r="X170" i="1"/>
  <c r="AC170" i="1"/>
  <c r="AC171" i="1" s="1"/>
  <c r="W170" i="1"/>
  <c r="AB170" i="1"/>
  <c r="AB171" i="1" s="1"/>
  <c r="AD170" i="1"/>
  <c r="AD171" i="1" s="1"/>
  <c r="AC161" i="1"/>
  <c r="AJ161" i="1"/>
  <c r="AH161" i="1"/>
  <c r="AT161" i="1"/>
  <c r="AV161" i="1"/>
  <c r="AU161" i="1"/>
  <c r="AO161" i="1"/>
  <c r="AQ161" i="1"/>
  <c r="AF161" i="1"/>
  <c r="AL161" i="1"/>
  <c r="AS161" i="1"/>
  <c r="AG161" i="1"/>
  <c r="AA161" i="1"/>
  <c r="P161" i="1"/>
  <c r="AM161" i="1"/>
  <c r="AR161" i="1"/>
  <c r="AP161" i="1"/>
  <c r="AI161" i="1"/>
  <c r="Z161" i="1"/>
  <c r="AD161" i="1"/>
  <c r="O161" i="1"/>
  <c r="Y161" i="1"/>
  <c r="Q161" i="1"/>
  <c r="AK161" i="1"/>
  <c r="U161" i="1"/>
  <c r="T161" i="1"/>
  <c r="R161" i="1"/>
  <c r="W161" i="1"/>
  <c r="S161" i="1"/>
  <c r="AB161" i="1"/>
  <c r="N161" i="1"/>
  <c r="X161" i="1"/>
  <c r="F38" i="13"/>
  <c r="E38" i="13"/>
  <c r="AY164" i="1"/>
  <c r="E15" i="13" s="1"/>
  <c r="BA164" i="1"/>
  <c r="G15" i="13" s="1"/>
  <c r="M34" i="15"/>
  <c r="L37" i="15"/>
  <c r="AG165" i="1"/>
  <c r="AG166" i="1" s="1"/>
  <c r="AP165" i="1"/>
  <c r="AP166" i="1" s="1"/>
  <c r="AO165" i="1"/>
  <c r="AO166" i="1" s="1"/>
  <c r="AJ165" i="1"/>
  <c r="AJ166" i="1" s="1"/>
  <c r="AB165" i="1"/>
  <c r="AB166" i="1" s="1"/>
  <c r="AU165" i="1"/>
  <c r="AU166" i="1" s="1"/>
  <c r="AQ165" i="1"/>
  <c r="AQ166" i="1" s="1"/>
  <c r="AI165" i="1"/>
  <c r="AI166" i="1" s="1"/>
  <c r="AC165" i="1"/>
  <c r="AC166" i="1" s="1"/>
  <c r="AH165" i="1"/>
  <c r="AH166" i="1" s="1"/>
  <c r="AM165" i="1"/>
  <c r="AM166" i="1" s="1"/>
  <c r="AL165" i="1"/>
  <c r="AL166" i="1" s="1"/>
  <c r="Q165" i="1"/>
  <c r="AF165" i="1"/>
  <c r="AF166" i="1" s="1"/>
  <c r="AR165" i="1"/>
  <c r="AR166" i="1" s="1"/>
  <c r="AT165" i="1"/>
  <c r="AT166" i="1" s="1"/>
  <c r="AK165" i="1"/>
  <c r="AK166" i="1" s="1"/>
  <c r="AD165" i="1"/>
  <c r="AD166" i="1" s="1"/>
  <c r="O165" i="1"/>
  <c r="S165" i="1"/>
  <c r="X165" i="1"/>
  <c r="E39" i="13" s="1"/>
  <c r="Y165" i="1"/>
  <c r="F39" i="13" s="1"/>
  <c r="R165" i="1"/>
  <c r="T165" i="1"/>
  <c r="T166" i="1" s="1"/>
  <c r="AS165" i="1"/>
  <c r="AS166" i="1" s="1"/>
  <c r="AV165" i="1"/>
  <c r="AV166" i="1" s="1"/>
  <c r="N165" i="1"/>
  <c r="U165" i="1"/>
  <c r="U166" i="1" s="1"/>
  <c r="P165" i="1"/>
  <c r="P166" i="1" s="1"/>
  <c r="W165" i="1"/>
  <c r="D39" i="13" s="1"/>
  <c r="AA165" i="1"/>
  <c r="Z165" i="1"/>
  <c r="G39" i="13" s="1"/>
  <c r="AX164" i="1"/>
  <c r="AF160" i="1"/>
  <c r="AG160" i="1"/>
  <c r="AC160" i="1"/>
  <c r="T160" i="1"/>
  <c r="AH160" i="1"/>
  <c r="R160" i="1"/>
  <c r="AK160" i="1"/>
  <c r="W160" i="1"/>
  <c r="S160" i="1"/>
  <c r="Y160" i="1"/>
  <c r="AB160" i="1"/>
  <c r="X160" i="1"/>
  <c r="AS160" i="1"/>
  <c r="AP160" i="1"/>
  <c r="Q160" i="1"/>
  <c r="Z160" i="1"/>
  <c r="AA160" i="1"/>
  <c r="AO160" i="1"/>
  <c r="AU160" i="1"/>
  <c r="AQ160" i="1"/>
  <c r="O160" i="1"/>
  <c r="AM160" i="1"/>
  <c r="AR160" i="1"/>
  <c r="N160" i="1"/>
  <c r="U160" i="1"/>
  <c r="AT160" i="1"/>
  <c r="AJ160" i="1"/>
  <c r="AI160" i="1"/>
  <c r="AV160" i="1"/>
  <c r="AL160" i="1"/>
  <c r="P160" i="1"/>
  <c r="AD160" i="1"/>
  <c r="G38" i="13"/>
  <c r="BD164" i="1"/>
  <c r="K15" i="13" s="1"/>
  <c r="BC164" i="1"/>
  <c r="J15" i="13" s="1"/>
  <c r="AI157" i="1"/>
  <c r="AC157" i="1"/>
  <c r="AT157" i="1"/>
  <c r="AJ157" i="1"/>
  <c r="AQ157" i="1"/>
  <c r="AK157" i="1"/>
  <c r="AO157" i="1"/>
  <c r="AG157" i="1"/>
  <c r="AM157" i="1"/>
  <c r="AP157" i="1"/>
  <c r="AB157" i="1"/>
  <c r="AR157" i="1"/>
  <c r="AU157" i="1"/>
  <c r="X157" i="1"/>
  <c r="W157" i="1"/>
  <c r="Y157" i="1"/>
  <c r="P157" i="1"/>
  <c r="U157" i="1"/>
  <c r="AS157" i="1"/>
  <c r="AV157" i="1"/>
  <c r="AD157" i="1"/>
  <c r="AH157" i="1"/>
  <c r="N157" i="1"/>
  <c r="O157" i="1"/>
  <c r="R157" i="1"/>
  <c r="T157" i="1"/>
  <c r="S157" i="1"/>
  <c r="AF157" i="1"/>
  <c r="Q157" i="1"/>
  <c r="Z157" i="1"/>
  <c r="AL157" i="1"/>
  <c r="AA157" i="1"/>
  <c r="H31" i="13" s="1"/>
  <c r="E35" i="13" l="1"/>
  <c r="AR162" i="1"/>
  <c r="AK162" i="1"/>
  <c r="AD162" i="1"/>
  <c r="AQ162" i="1"/>
  <c r="AY157" i="1"/>
  <c r="E8" i="13" s="1"/>
  <c r="AI162" i="1"/>
  <c r="AJ162" i="1"/>
  <c r="AU162" i="1"/>
  <c r="AB162" i="1"/>
  <c r="BC157" i="1"/>
  <c r="J8" i="13" s="1"/>
  <c r="J54" i="13" s="1"/>
  <c r="AL162" i="1"/>
  <c r="BC161" i="1"/>
  <c r="J12" i="13" s="1"/>
  <c r="J58" i="13" s="1"/>
  <c r="BE161" i="1"/>
  <c r="L12" i="13" s="1"/>
  <c r="L58" i="13" s="1"/>
  <c r="AY161" i="1"/>
  <c r="E12" i="13" s="1"/>
  <c r="H35" i="13"/>
  <c r="BC165" i="1"/>
  <c r="J16" i="13" s="1"/>
  <c r="J62" i="13" s="1"/>
  <c r="E40" i="13"/>
  <c r="G40" i="13"/>
  <c r="AS162" i="1"/>
  <c r="AH162" i="1"/>
  <c r="Y166" i="1"/>
  <c r="AZ166" i="1" s="1"/>
  <c r="W166" i="1"/>
  <c r="G31" i="13"/>
  <c r="F31" i="13"/>
  <c r="S166" i="1"/>
  <c r="BC166" i="1" s="1"/>
  <c r="Z166" i="1"/>
  <c r="AM162" i="1"/>
  <c r="AO162" i="1"/>
  <c r="H39" i="13"/>
  <c r="H40" i="13" s="1"/>
  <c r="AX165" i="1"/>
  <c r="AY165" i="1"/>
  <c r="E16" i="13" s="1"/>
  <c r="E62" i="13" s="1"/>
  <c r="F35" i="13"/>
  <c r="BE166" i="1"/>
  <c r="AX160" i="1"/>
  <c r="N162" i="1"/>
  <c r="Z162" i="1"/>
  <c r="G34" i="13"/>
  <c r="W162" i="1"/>
  <c r="D34" i="13"/>
  <c r="BB165" i="1"/>
  <c r="H16" i="13" s="1"/>
  <c r="E61" i="13"/>
  <c r="G44" i="13"/>
  <c r="G45" i="13" s="1"/>
  <c r="Z171" i="1"/>
  <c r="Q171" i="1"/>
  <c r="BA170" i="1"/>
  <c r="F61" i="13"/>
  <c r="AC162" i="1"/>
  <c r="N166" i="1"/>
  <c r="D44" i="13"/>
  <c r="W171" i="1"/>
  <c r="AX170" i="1"/>
  <c r="N171" i="1"/>
  <c r="T171" i="1"/>
  <c r="BD170" i="1"/>
  <c r="L61" i="13"/>
  <c r="AA166" i="1"/>
  <c r="I38" i="13"/>
  <c r="D40" i="13"/>
  <c r="BD157" i="1"/>
  <c r="K8" i="13" s="1"/>
  <c r="K54" i="13" s="1"/>
  <c r="BE157" i="1"/>
  <c r="L8" i="13" s="1"/>
  <c r="L54" i="13" s="1"/>
  <c r="E31" i="13"/>
  <c r="E54" i="13" s="1"/>
  <c r="AT162" i="1"/>
  <c r="AP162" i="1"/>
  <c r="Y162" i="1"/>
  <c r="F34" i="13"/>
  <c r="R162" i="1"/>
  <c r="BB160" i="1"/>
  <c r="H11" i="13" s="1"/>
  <c r="AG162" i="1"/>
  <c r="AZ165" i="1"/>
  <c r="F16" i="13" s="1"/>
  <c r="F62" i="13" s="1"/>
  <c r="BA165" i="1"/>
  <c r="G16" i="13" s="1"/>
  <c r="G62" i="13" s="1"/>
  <c r="Q166" i="1"/>
  <c r="X166" i="1"/>
  <c r="AX161" i="1"/>
  <c r="BB161" i="1"/>
  <c r="H12" i="13" s="1"/>
  <c r="BA161" i="1"/>
  <c r="G12" i="13" s="1"/>
  <c r="G35" i="13"/>
  <c r="AA171" i="1"/>
  <c r="H44" i="13"/>
  <c r="H45" i="13" s="1"/>
  <c r="P171" i="1"/>
  <c r="AZ170" i="1"/>
  <c r="S171" i="1"/>
  <c r="BC170" i="1"/>
  <c r="U171" i="1"/>
  <c r="BE170" i="1"/>
  <c r="M15" i="13"/>
  <c r="J61" i="13"/>
  <c r="BD166" i="1"/>
  <c r="X162" i="1"/>
  <c r="E34" i="13"/>
  <c r="BD160" i="1"/>
  <c r="K11" i="13" s="1"/>
  <c r="T162" i="1"/>
  <c r="D15" i="13"/>
  <c r="BG164" i="1"/>
  <c r="D16" i="13"/>
  <c r="R166" i="1"/>
  <c r="AX157" i="1"/>
  <c r="D31" i="13"/>
  <c r="P162" i="1"/>
  <c r="AZ160" i="1"/>
  <c r="F11" i="13" s="1"/>
  <c r="BA160" i="1"/>
  <c r="G11" i="13" s="1"/>
  <c r="Q162" i="1"/>
  <c r="G61" i="13"/>
  <c r="D35" i="13"/>
  <c r="Y171" i="1"/>
  <c r="F44" i="13"/>
  <c r="F45" i="13" s="1"/>
  <c r="R171" i="1"/>
  <c r="BB170" i="1"/>
  <c r="BA157" i="1"/>
  <c r="G8" i="13" s="1"/>
  <c r="BB157" i="1"/>
  <c r="H8" i="13" s="1"/>
  <c r="AZ157" i="1"/>
  <c r="F8" i="13" s="1"/>
  <c r="K61" i="13"/>
  <c r="AV162" i="1"/>
  <c r="U162" i="1"/>
  <c r="BE160" i="1"/>
  <c r="L11" i="13" s="1"/>
  <c r="O162" i="1"/>
  <c r="AY160" i="1"/>
  <c r="E11" i="13" s="1"/>
  <c r="AA162" i="1"/>
  <c r="H34" i="13"/>
  <c r="BC160" i="1"/>
  <c r="J11" i="13" s="1"/>
  <c r="S162" i="1"/>
  <c r="AF162" i="1"/>
  <c r="BE165" i="1"/>
  <c r="L16" i="13" s="1"/>
  <c r="L62" i="13" s="1"/>
  <c r="BD165" i="1"/>
  <c r="K16" i="13" s="1"/>
  <c r="K62" i="13" s="1"/>
  <c r="O166" i="1"/>
  <c r="F40" i="13"/>
  <c r="BD161" i="1"/>
  <c r="K12" i="13" s="1"/>
  <c r="K58" i="13" s="1"/>
  <c r="AZ161" i="1"/>
  <c r="F12" i="13" s="1"/>
  <c r="E44" i="13"/>
  <c r="E45" i="13" s="1"/>
  <c r="X171" i="1"/>
  <c r="O171" i="1"/>
  <c r="AY170" i="1"/>
  <c r="H61" i="13"/>
  <c r="L47" i="15"/>
  <c r="AR156" i="1"/>
  <c r="AR158" i="1" s="1"/>
  <c r="AP156" i="1"/>
  <c r="AP158" i="1" s="1"/>
  <c r="AU156" i="1"/>
  <c r="AU158" i="1" s="1"/>
  <c r="AV156" i="1"/>
  <c r="AV158" i="1" s="1"/>
  <c r="AS156" i="1"/>
  <c r="AS158" i="1" s="1"/>
  <c r="AQ156" i="1"/>
  <c r="AQ158" i="1" s="1"/>
  <c r="AT156" i="1"/>
  <c r="AT158" i="1" s="1"/>
  <c r="AO156" i="1"/>
  <c r="AO158" i="1" s="1"/>
  <c r="T156" i="1"/>
  <c r="R156" i="1"/>
  <c r="O156" i="1"/>
  <c r="P156" i="1"/>
  <c r="Q156" i="1"/>
  <c r="N156" i="1"/>
  <c r="S156" i="1"/>
  <c r="U156" i="1"/>
  <c r="AA156" i="1"/>
  <c r="AI156" i="1"/>
  <c r="AI158" i="1" s="1"/>
  <c r="X156" i="1"/>
  <c r="AB156" i="1"/>
  <c r="AB158" i="1" s="1"/>
  <c r="AB172" i="1" s="1"/>
  <c r="AB173" i="1" s="1"/>
  <c r="AK156" i="1"/>
  <c r="AK158" i="1" s="1"/>
  <c r="AK172" i="1" s="1"/>
  <c r="AK173" i="1" s="1"/>
  <c r="AM156" i="1"/>
  <c r="AM158" i="1" s="1"/>
  <c r="AC156" i="1"/>
  <c r="AC158" i="1" s="1"/>
  <c r="W156" i="1"/>
  <c r="AF156" i="1"/>
  <c r="AF158" i="1" s="1"/>
  <c r="AJ156" i="1"/>
  <c r="AJ158" i="1" s="1"/>
  <c r="Y156" i="1"/>
  <c r="AD156" i="1"/>
  <c r="AD158" i="1" s="1"/>
  <c r="AG156" i="1"/>
  <c r="AG158" i="1" s="1"/>
  <c r="AL156" i="1"/>
  <c r="AL158" i="1" s="1"/>
  <c r="AL172" i="1" s="1"/>
  <c r="AL173" i="1" s="1"/>
  <c r="Z156" i="1"/>
  <c r="AH156" i="1"/>
  <c r="AH158" i="1" s="1"/>
  <c r="E36" i="13" l="1"/>
  <c r="E58" i="13"/>
  <c r="D64" i="12" s="1"/>
  <c r="D78" i="12" s="1"/>
  <c r="AR172" i="1"/>
  <c r="AR173" i="1" s="1"/>
  <c r="AD172" i="1"/>
  <c r="AD173" i="1" s="1"/>
  <c r="AQ172" i="1"/>
  <c r="AQ173" i="1" s="1"/>
  <c r="AI172" i="1"/>
  <c r="AI173" i="1" s="1"/>
  <c r="BA166" i="1"/>
  <c r="AS172" i="1"/>
  <c r="AS173" i="1" s="1"/>
  <c r="H36" i="13"/>
  <c r="AV172" i="1"/>
  <c r="AV173" i="1" s="1"/>
  <c r="H58" i="13"/>
  <c r="AG172" i="1"/>
  <c r="AG173" i="1" s="1"/>
  <c r="J17" i="13"/>
  <c r="AU172" i="1"/>
  <c r="AU173" i="1" s="1"/>
  <c r="E17" i="13"/>
  <c r="AH172" i="1"/>
  <c r="AH173" i="1" s="1"/>
  <c r="AO172" i="1"/>
  <c r="AO173" i="1" s="1"/>
  <c r="AJ172" i="1"/>
  <c r="AJ173" i="1" s="1"/>
  <c r="I35" i="13"/>
  <c r="I39" i="13"/>
  <c r="I40" i="13" s="1"/>
  <c r="H62" i="13"/>
  <c r="H63" i="13" s="1"/>
  <c r="AP172" i="1"/>
  <c r="AP173" i="1" s="1"/>
  <c r="BB166" i="1"/>
  <c r="AC172" i="1"/>
  <c r="AC173" i="1" s="1"/>
  <c r="BE162" i="1"/>
  <c r="AZ162" i="1"/>
  <c r="AX166" i="1"/>
  <c r="AM172" i="1"/>
  <c r="AM173" i="1" s="1"/>
  <c r="F58" i="13"/>
  <c r="G17" i="13"/>
  <c r="M58" i="13"/>
  <c r="BD162" i="1"/>
  <c r="E63" i="13"/>
  <c r="D10" i="4" s="1"/>
  <c r="D50" i="12"/>
  <c r="L63" i="13"/>
  <c r="AT172" i="1"/>
  <c r="AT173" i="1" s="1"/>
  <c r="F36" i="13"/>
  <c r="AF172" i="1"/>
  <c r="AF173" i="1" s="1"/>
  <c r="AY162" i="1"/>
  <c r="I31" i="13"/>
  <c r="F63" i="13"/>
  <c r="E10" i="4" s="1"/>
  <c r="Z158" i="1"/>
  <c r="Z172" i="1" s="1"/>
  <c r="Z173" i="1" s="1"/>
  <c r="G30" i="13"/>
  <c r="G32" i="13" s="1"/>
  <c r="F30" i="13"/>
  <c r="F32" i="13" s="1"/>
  <c r="Y158" i="1"/>
  <c r="Y172" i="1" s="1"/>
  <c r="Y173" i="1" s="1"/>
  <c r="E30" i="13"/>
  <c r="E32" i="13" s="1"/>
  <c r="X158" i="1"/>
  <c r="X172" i="1" s="1"/>
  <c r="X173" i="1" s="1"/>
  <c r="S158" i="1"/>
  <c r="BC156" i="1"/>
  <c r="J7" i="13" s="1"/>
  <c r="O158" i="1"/>
  <c r="AY156" i="1"/>
  <c r="E7" i="13" s="1"/>
  <c r="J13" i="13"/>
  <c r="J57" i="13"/>
  <c r="M11" i="13"/>
  <c r="K63" i="13"/>
  <c r="G50" i="12"/>
  <c r="H54" i="13"/>
  <c r="M61" i="13"/>
  <c r="J63" i="13"/>
  <c r="BC171" i="1"/>
  <c r="J21" i="13"/>
  <c r="BB162" i="1"/>
  <c r="M8" i="13"/>
  <c r="BA171" i="1"/>
  <c r="G21" i="13"/>
  <c r="D11" i="13"/>
  <c r="BG160" i="1"/>
  <c r="N158" i="1"/>
  <c r="AX156" i="1"/>
  <c r="R158" i="1"/>
  <c r="BB156" i="1"/>
  <c r="H7" i="13" s="1"/>
  <c r="H17" i="13"/>
  <c r="AY166" i="1"/>
  <c r="L13" i="13"/>
  <c r="L57" i="13"/>
  <c r="L59" i="13" s="1"/>
  <c r="K17" i="13"/>
  <c r="G54" i="13"/>
  <c r="F50" i="12"/>
  <c r="BA162" i="1"/>
  <c r="M12" i="13"/>
  <c r="I15" i="13"/>
  <c r="D61" i="13"/>
  <c r="D17" i="13"/>
  <c r="BG161" i="1"/>
  <c r="D12" i="13"/>
  <c r="L17" i="13"/>
  <c r="AX171" i="1"/>
  <c r="BG170" i="1"/>
  <c r="BG171" i="1" s="1"/>
  <c r="D21" i="13"/>
  <c r="F17" i="13"/>
  <c r="G36" i="13"/>
  <c r="H30" i="13"/>
  <c r="H32" i="13" s="1"/>
  <c r="AA158" i="1"/>
  <c r="AA172" i="1" s="1"/>
  <c r="AA173" i="1" s="1"/>
  <c r="BA156" i="1"/>
  <c r="G7" i="13" s="1"/>
  <c r="Q158" i="1"/>
  <c r="T158" i="1"/>
  <c r="BD156" i="1"/>
  <c r="K7" i="13" s="1"/>
  <c r="AY171" i="1"/>
  <c r="E21" i="13"/>
  <c r="M62" i="13"/>
  <c r="BB171" i="1"/>
  <c r="H21" i="13"/>
  <c r="G13" i="13"/>
  <c r="G57" i="13"/>
  <c r="BG157" i="1"/>
  <c r="D8" i="13"/>
  <c r="I16" i="13"/>
  <c r="D62" i="13"/>
  <c r="L21" i="13"/>
  <c r="BE171" i="1"/>
  <c r="AZ171" i="1"/>
  <c r="F21" i="13"/>
  <c r="K21" i="13"/>
  <c r="BD171" i="1"/>
  <c r="W158" i="1"/>
  <c r="W172" i="1" s="1"/>
  <c r="W173" i="1" s="1"/>
  <c r="D30" i="13"/>
  <c r="BE156" i="1"/>
  <c r="L7" i="13" s="1"/>
  <c r="U158" i="1"/>
  <c r="AZ156" i="1"/>
  <c r="F7" i="13" s="1"/>
  <c r="P158" i="1"/>
  <c r="M16" i="13"/>
  <c r="M17" i="13" s="1"/>
  <c r="BC162" i="1"/>
  <c r="E57" i="13"/>
  <c r="E13" i="13"/>
  <c r="F54" i="13"/>
  <c r="E50" i="12"/>
  <c r="G63" i="13"/>
  <c r="F57" i="13"/>
  <c r="F13" i="13"/>
  <c r="BG165" i="1"/>
  <c r="BG166" i="1" s="1"/>
  <c r="K13" i="13"/>
  <c r="K57" i="13"/>
  <c r="K59" i="13" s="1"/>
  <c r="G58" i="13"/>
  <c r="H13" i="13"/>
  <c r="H57" i="13"/>
  <c r="I44" i="13"/>
  <c r="I45" i="13" s="1"/>
  <c r="D45" i="13"/>
  <c r="M54" i="13"/>
  <c r="D36" i="13"/>
  <c r="I34" i="13"/>
  <c r="AX162" i="1"/>
  <c r="E59" i="13" l="1"/>
  <c r="D66" i="6" s="1"/>
  <c r="E46" i="13"/>
  <c r="D15" i="15" s="1"/>
  <c r="G10" i="4"/>
  <c r="G67" i="6"/>
  <c r="H59" i="13"/>
  <c r="G7" i="4" s="1"/>
  <c r="H46" i="13"/>
  <c r="G15" i="15" s="1"/>
  <c r="D67" i="6"/>
  <c r="I36" i="13"/>
  <c r="I62" i="13"/>
  <c r="F59" i="13"/>
  <c r="E66" i="6" s="1"/>
  <c r="I17" i="13"/>
  <c r="G64" i="12"/>
  <c r="G78" i="12" s="1"/>
  <c r="F64" i="12"/>
  <c r="F78" i="12" s="1"/>
  <c r="E67" i="6"/>
  <c r="E64" i="12"/>
  <c r="E78" i="12" s="1"/>
  <c r="F46" i="13"/>
  <c r="E53" i="12" s="1"/>
  <c r="M63" i="13"/>
  <c r="M13" i="13"/>
  <c r="P172" i="1"/>
  <c r="P173" i="1" s="1"/>
  <c r="AZ158" i="1"/>
  <c r="AZ172" i="1" s="1"/>
  <c r="AZ173" i="1" s="1"/>
  <c r="BB158" i="1"/>
  <c r="BB172" i="1" s="1"/>
  <c r="BB173" i="1" s="1"/>
  <c r="R172" i="1"/>
  <c r="R173" i="1" s="1"/>
  <c r="I11" i="13"/>
  <c r="D13" i="13"/>
  <c r="D57" i="13"/>
  <c r="M7" i="13"/>
  <c r="M9" i="13" s="1"/>
  <c r="J9" i="13"/>
  <c r="J53" i="13"/>
  <c r="G66" i="6"/>
  <c r="L22" i="13"/>
  <c r="L67" i="13"/>
  <c r="L68" i="13" s="1"/>
  <c r="BG156" i="1"/>
  <c r="BG158" i="1" s="1"/>
  <c r="D7" i="13"/>
  <c r="J22" i="13"/>
  <c r="J67" i="13"/>
  <c r="M21" i="13"/>
  <c r="M22" i="13" s="1"/>
  <c r="S172" i="1"/>
  <c r="S173" i="1" s="1"/>
  <c r="BC158" i="1"/>
  <c r="BC172" i="1" s="1"/>
  <c r="BC173" i="1" s="1"/>
  <c r="F67" i="13"/>
  <c r="F22" i="13"/>
  <c r="E51" i="12" s="1"/>
  <c r="G59" i="13"/>
  <c r="BD158" i="1"/>
  <c r="BD172" i="1" s="1"/>
  <c r="BD173" i="1" s="1"/>
  <c r="T172" i="1"/>
  <c r="T173" i="1" s="1"/>
  <c r="N172" i="1"/>
  <c r="N173" i="1" s="1"/>
  <c r="AX158" i="1"/>
  <c r="AX172" i="1" s="1"/>
  <c r="AX173" i="1" s="1"/>
  <c r="J59" i="13"/>
  <c r="M57" i="13"/>
  <c r="M59" i="13" s="1"/>
  <c r="E9" i="13"/>
  <c r="D48" i="12"/>
  <c r="E53" i="13"/>
  <c r="G46" i="13"/>
  <c r="D32" i="13"/>
  <c r="D46" i="13" s="1"/>
  <c r="I30" i="13"/>
  <c r="I32" i="13" s="1"/>
  <c r="I8" i="13"/>
  <c r="C50" i="12"/>
  <c r="H50" i="12" s="1"/>
  <c r="D54" i="13"/>
  <c r="H22" i="13"/>
  <c r="G51" i="12" s="1"/>
  <c r="H67" i="13"/>
  <c r="F48" i="12"/>
  <c r="G9" i="13"/>
  <c r="G53" i="13"/>
  <c r="I12" i="13"/>
  <c r="D58" i="13"/>
  <c r="I58" i="13" s="1"/>
  <c r="I61" i="13"/>
  <c r="D63" i="13"/>
  <c r="F10" i="4"/>
  <c r="F67" i="6"/>
  <c r="F9" i="13"/>
  <c r="E48" i="12"/>
  <c r="F53" i="13"/>
  <c r="K67" i="13"/>
  <c r="K68" i="13" s="1"/>
  <c r="K22" i="13"/>
  <c r="K53" i="13"/>
  <c r="K55" i="13" s="1"/>
  <c r="K9" i="13"/>
  <c r="G67" i="13"/>
  <c r="G22" i="13"/>
  <c r="F51" i="12" s="1"/>
  <c r="BE158" i="1"/>
  <c r="BE172" i="1" s="1"/>
  <c r="BE173" i="1" s="1"/>
  <c r="U172" i="1"/>
  <c r="U173" i="1" s="1"/>
  <c r="L9" i="13"/>
  <c r="L53" i="13"/>
  <c r="L55" i="13" s="1"/>
  <c r="E22" i="13"/>
  <c r="D51" i="12" s="1"/>
  <c r="E67" i="13"/>
  <c r="Q172" i="1"/>
  <c r="Q173" i="1" s="1"/>
  <c r="BA158" i="1"/>
  <c r="BA172" i="1" s="1"/>
  <c r="BA173" i="1" s="1"/>
  <c r="I21" i="13"/>
  <c r="I22" i="13" s="1"/>
  <c r="D67" i="13"/>
  <c r="D22" i="13"/>
  <c r="C51" i="12" s="1"/>
  <c r="H9" i="13"/>
  <c r="G48" i="12"/>
  <c r="H53" i="13"/>
  <c r="BG162" i="1"/>
  <c r="AY158" i="1"/>
  <c r="AY172" i="1" s="1"/>
  <c r="AY173" i="1" s="1"/>
  <c r="O172" i="1"/>
  <c r="O173" i="1" s="1"/>
  <c r="D53" i="12"/>
  <c r="E47" i="13" l="1"/>
  <c r="D7" i="4"/>
  <c r="G53" i="12"/>
  <c r="I46" i="13"/>
  <c r="H47" i="13"/>
  <c r="E7" i="4"/>
  <c r="L69" i="13"/>
  <c r="K19" i="15" s="1"/>
  <c r="F23" i="13"/>
  <c r="I63" i="13"/>
  <c r="H23" i="13"/>
  <c r="L23" i="13"/>
  <c r="L24" i="13" s="1"/>
  <c r="F47" i="13"/>
  <c r="E15" i="15"/>
  <c r="I13" i="13"/>
  <c r="G23" i="13"/>
  <c r="H51" i="12"/>
  <c r="M23" i="13"/>
  <c r="I54" i="13"/>
  <c r="C64" i="12"/>
  <c r="E55" i="13"/>
  <c r="D62" i="12"/>
  <c r="J68" i="13"/>
  <c r="M67" i="13"/>
  <c r="M68" i="13" s="1"/>
  <c r="I57" i="13"/>
  <c r="I59" i="13" s="1"/>
  <c r="D59" i="13"/>
  <c r="G62" i="12"/>
  <c r="H55" i="13"/>
  <c r="C13" i="4"/>
  <c r="D68" i="13"/>
  <c r="C65" i="12" s="1"/>
  <c r="I67" i="13"/>
  <c r="I68" i="13" s="1"/>
  <c r="E68" i="13"/>
  <c r="D65" i="12" s="1"/>
  <c r="D79" i="12" s="1"/>
  <c r="D13" i="4"/>
  <c r="D38" i="4" s="1"/>
  <c r="D62" i="4" s="1"/>
  <c r="K23" i="13"/>
  <c r="K24" i="13" s="1"/>
  <c r="F55" i="13"/>
  <c r="E62" i="12"/>
  <c r="G13" i="4"/>
  <c r="G38" i="4" s="1"/>
  <c r="G62" i="4" s="1"/>
  <c r="H68" i="13"/>
  <c r="G65" i="12" s="1"/>
  <c r="G79" i="12" s="1"/>
  <c r="E23" i="13"/>
  <c r="E24" i="13" s="1"/>
  <c r="E13" i="4"/>
  <c r="E38" i="4" s="1"/>
  <c r="E62" i="4" s="1"/>
  <c r="F68" i="13"/>
  <c r="E65" i="12" s="1"/>
  <c r="E79" i="12" s="1"/>
  <c r="I7" i="13"/>
  <c r="I9" i="13" s="1"/>
  <c r="C48" i="12"/>
  <c r="D9" i="13"/>
  <c r="D23" i="13" s="1"/>
  <c r="D24" i="13" s="1"/>
  <c r="D53" i="13"/>
  <c r="J55" i="13"/>
  <c r="M53" i="13"/>
  <c r="M55" i="13" s="1"/>
  <c r="L70" i="13"/>
  <c r="F13" i="4"/>
  <c r="F38" i="4" s="1"/>
  <c r="F62" i="4" s="1"/>
  <c r="G68" i="13"/>
  <c r="F65" i="12" s="1"/>
  <c r="F79" i="12" s="1"/>
  <c r="C15" i="15"/>
  <c r="C53" i="12"/>
  <c r="D47" i="13"/>
  <c r="F7" i="4"/>
  <c r="F66" i="6"/>
  <c r="K69" i="13"/>
  <c r="C10" i="4"/>
  <c r="H10" i="4" s="1"/>
  <c r="C67" i="6"/>
  <c r="F62" i="12"/>
  <c r="G55" i="13"/>
  <c r="G47" i="13"/>
  <c r="F53" i="12"/>
  <c r="F15" i="15"/>
  <c r="BG172" i="1"/>
  <c r="BG173" i="1" s="1"/>
  <c r="J23" i="13"/>
  <c r="J24" i="13" s="1"/>
  <c r="M69" i="13" l="1"/>
  <c r="L19" i="15" s="1"/>
  <c r="F24" i="13"/>
  <c r="G24" i="13"/>
  <c r="I23" i="13"/>
  <c r="I48" i="13" s="1"/>
  <c r="H24" i="13"/>
  <c r="J69" i="13"/>
  <c r="J70" i="13" s="1"/>
  <c r="G69" i="13"/>
  <c r="G70" i="13" s="1"/>
  <c r="F65" i="6"/>
  <c r="F6" i="4"/>
  <c r="F14" i="4" s="1"/>
  <c r="D72" i="12"/>
  <c r="D76" i="12"/>
  <c r="F76" i="12"/>
  <c r="F72" i="12"/>
  <c r="I47" i="13"/>
  <c r="E72" i="12"/>
  <c r="E76" i="12"/>
  <c r="G6" i="4"/>
  <c r="G14" i="4" s="1"/>
  <c r="G65" i="6"/>
  <c r="H69" i="13"/>
  <c r="H70" i="13" s="1"/>
  <c r="D6" i="4"/>
  <c r="D14" i="4" s="1"/>
  <c r="E69" i="13"/>
  <c r="E70" i="13" s="1"/>
  <c r="D65" i="6"/>
  <c r="H67" i="6"/>
  <c r="H53" i="12"/>
  <c r="H48" i="12"/>
  <c r="E6" i="4"/>
  <c r="E14" i="4" s="1"/>
  <c r="E65" i="6"/>
  <c r="F69" i="13"/>
  <c r="F70" i="13" s="1"/>
  <c r="G72" i="12"/>
  <c r="G76" i="12"/>
  <c r="H64" i="12"/>
  <c r="C78" i="12"/>
  <c r="H78" i="12" s="1"/>
  <c r="C62" i="12"/>
  <c r="I53" i="13"/>
  <c r="I55" i="13" s="1"/>
  <c r="I69" i="13" s="1"/>
  <c r="D55" i="13"/>
  <c r="C38" i="4"/>
  <c r="H13" i="4"/>
  <c r="K70" i="13"/>
  <c r="J19" i="15"/>
  <c r="H15" i="15"/>
  <c r="H65" i="12"/>
  <c r="C79" i="12"/>
  <c r="H79" i="12" s="1"/>
  <c r="C66" i="6"/>
  <c r="C7" i="4"/>
  <c r="H7" i="4" s="1"/>
  <c r="M24" i="13" l="1"/>
  <c r="I19" i="15"/>
  <c r="E15" i="4"/>
  <c r="D15" i="4"/>
  <c r="M70" i="13"/>
  <c r="G15" i="4"/>
  <c r="F68" i="6"/>
  <c r="M15" i="15"/>
  <c r="H62" i="12"/>
  <c r="C76" i="12"/>
  <c r="C72" i="12"/>
  <c r="H66" i="6"/>
  <c r="H38" i="4"/>
  <c r="C62" i="4"/>
  <c r="C6" i="4"/>
  <c r="D69" i="13"/>
  <c r="D70" i="13" s="1"/>
  <c r="I70" i="13" s="1"/>
  <c r="C65" i="6"/>
  <c r="D68" i="6"/>
  <c r="G68" i="6"/>
  <c r="F15" i="4"/>
  <c r="E68" i="6"/>
  <c r="H62" i="4" l="1"/>
  <c r="C68" i="6"/>
  <c r="H65" i="6"/>
  <c r="H68" i="6" s="1"/>
  <c r="H69" i="6" s="1"/>
  <c r="H72" i="12"/>
  <c r="F69" i="6"/>
  <c r="F71" i="6"/>
  <c r="F73" i="6" s="1"/>
  <c r="F75" i="6" s="1"/>
  <c r="F81" i="6" s="1"/>
  <c r="D69" i="6"/>
  <c r="D71" i="6"/>
  <c r="D73" i="6" s="1"/>
  <c r="D75" i="6" s="1"/>
  <c r="D81" i="6" s="1"/>
  <c r="H6" i="4"/>
  <c r="H14" i="4" s="1"/>
  <c r="H15" i="4" s="1"/>
  <c r="C14" i="4"/>
  <c r="C15" i="4" s="1"/>
  <c r="E69" i="6"/>
  <c r="E71" i="6"/>
  <c r="E73" i="6" s="1"/>
  <c r="E75" i="6" s="1"/>
  <c r="E81" i="6" s="1"/>
  <c r="G69" i="6"/>
  <c r="G71" i="6"/>
  <c r="G73" i="6" s="1"/>
  <c r="G75" i="6" s="1"/>
  <c r="G81" i="6" s="1"/>
  <c r="H76" i="12"/>
  <c r="F79" i="6" l="1"/>
  <c r="F93" i="6" s="1"/>
  <c r="G80" i="6"/>
  <c r="G94" i="6" s="1"/>
  <c r="D79" i="6"/>
  <c r="D18" i="4" s="1"/>
  <c r="D80" i="6"/>
  <c r="D94" i="6" s="1"/>
  <c r="F80" i="6"/>
  <c r="E80" i="6"/>
  <c r="E19" i="4" s="1"/>
  <c r="E32" i="4" s="1"/>
  <c r="E56" i="4" s="1"/>
  <c r="C69" i="6"/>
  <c r="C71" i="6"/>
  <c r="G95" i="6"/>
  <c r="G22" i="4"/>
  <c r="G35" i="4" s="1"/>
  <c r="G59" i="4" s="1"/>
  <c r="E95" i="6"/>
  <c r="E22" i="4"/>
  <c r="E35" i="4" s="1"/>
  <c r="E59" i="4" s="1"/>
  <c r="D95" i="6"/>
  <c r="D22" i="4"/>
  <c r="D35" i="4" s="1"/>
  <c r="D59" i="4" s="1"/>
  <c r="F22" i="4"/>
  <c r="F35" i="4" s="1"/>
  <c r="F59" i="4" s="1"/>
  <c r="F95" i="6"/>
  <c r="G16" i="15"/>
  <c r="G18" i="15" s="1"/>
  <c r="G66" i="12"/>
  <c r="G88" i="6"/>
  <c r="G89" i="6" s="1"/>
  <c r="G90" i="6" s="1"/>
  <c r="G52" i="12"/>
  <c r="G54" i="12" s="1"/>
  <c r="G56" i="12" s="1"/>
  <c r="G57" i="12" s="1"/>
  <c r="G79" i="6"/>
  <c r="E52" i="12"/>
  <c r="E54" i="12" s="1"/>
  <c r="E56" i="12" s="1"/>
  <c r="E57" i="12" s="1"/>
  <c r="E66" i="12"/>
  <c r="E16" i="15"/>
  <c r="E18" i="15" s="1"/>
  <c r="E88" i="6"/>
  <c r="E89" i="6" s="1"/>
  <c r="E90" i="6" s="1"/>
  <c r="E79" i="6"/>
  <c r="D66" i="12"/>
  <c r="D16" i="15"/>
  <c r="D18" i="15" s="1"/>
  <c r="D52" i="12"/>
  <c r="D54" i="12" s="1"/>
  <c r="D56" i="12" s="1"/>
  <c r="D57" i="12" s="1"/>
  <c r="D88" i="6"/>
  <c r="D89" i="6" s="1"/>
  <c r="D90" i="6" s="1"/>
  <c r="F88" i="6"/>
  <c r="F89" i="6" s="1"/>
  <c r="F90" i="6" s="1"/>
  <c r="F66" i="12"/>
  <c r="F52" i="12"/>
  <c r="F54" i="12" s="1"/>
  <c r="F56" i="12" s="1"/>
  <c r="F57" i="12" s="1"/>
  <c r="F16" i="15"/>
  <c r="F18" i="15" s="1"/>
  <c r="F18" i="4" l="1"/>
  <c r="F31" i="4" s="1"/>
  <c r="F82" i="6"/>
  <c r="F83" i="6" s="1"/>
  <c r="F94" i="6"/>
  <c r="F96" i="6" s="1"/>
  <c r="F100" i="6" s="1"/>
  <c r="F101" i="6" s="1"/>
  <c r="G19" i="4"/>
  <c r="G32" i="4" s="1"/>
  <c r="G56" i="4" s="1"/>
  <c r="F19" i="4"/>
  <c r="F32" i="4" s="1"/>
  <c r="F56" i="4" s="1"/>
  <c r="D19" i="4"/>
  <c r="D32" i="4" s="1"/>
  <c r="D56" i="4" s="1"/>
  <c r="D82" i="6"/>
  <c r="D83" i="6" s="1"/>
  <c r="D93" i="6"/>
  <c r="D96" i="6" s="1"/>
  <c r="D100" i="6" s="1"/>
  <c r="D101" i="6" s="1"/>
  <c r="E94" i="6"/>
  <c r="G82" i="6"/>
  <c r="G83" i="6" s="1"/>
  <c r="G93" i="6"/>
  <c r="G96" i="6" s="1"/>
  <c r="G100" i="6" s="1"/>
  <c r="G101" i="6" s="1"/>
  <c r="G18" i="4"/>
  <c r="F80" i="12"/>
  <c r="F82" i="12" s="1"/>
  <c r="F84" i="12" s="1"/>
  <c r="F68" i="12"/>
  <c r="F70" i="12" s="1"/>
  <c r="F71" i="12" s="1"/>
  <c r="D6" i="44"/>
  <c r="E6" i="44"/>
  <c r="D80" i="12"/>
  <c r="D82" i="12" s="1"/>
  <c r="D84" i="12" s="1"/>
  <c r="D68" i="12"/>
  <c r="D70" i="12" s="1"/>
  <c r="D71" i="12" s="1"/>
  <c r="E80" i="12"/>
  <c r="E82" i="12" s="1"/>
  <c r="E84" i="12" s="1"/>
  <c r="E68" i="12"/>
  <c r="E70" i="12" s="1"/>
  <c r="E71" i="12" s="1"/>
  <c r="G6" i="44"/>
  <c r="F6" i="44"/>
  <c r="E82" i="6"/>
  <c r="E83" i="6" s="1"/>
  <c r="E93" i="6"/>
  <c r="E18" i="4"/>
  <c r="G80" i="12"/>
  <c r="G82" i="12" s="1"/>
  <c r="G84" i="12" s="1"/>
  <c r="G68" i="12"/>
  <c r="G70" i="12" s="1"/>
  <c r="G71" i="12" s="1"/>
  <c r="H71" i="6"/>
  <c r="H73" i="6" s="1"/>
  <c r="C73" i="6"/>
  <c r="C75" i="6" s="1"/>
  <c r="D31" i="4"/>
  <c r="D26" i="4" l="1"/>
  <c r="D27" i="4" s="1"/>
  <c r="F26" i="4"/>
  <c r="E96" i="6"/>
  <c r="E100" i="6" s="1"/>
  <c r="E101" i="6" s="1"/>
  <c r="D85" i="12"/>
  <c r="G85" i="12"/>
  <c r="E31" i="4"/>
  <c r="E26" i="4"/>
  <c r="E85" i="12"/>
  <c r="F85" i="12"/>
  <c r="D55" i="4"/>
  <c r="D39" i="4"/>
  <c r="D40" i="4" s="1"/>
  <c r="F39" i="4"/>
  <c r="F40" i="4" s="1"/>
  <c r="F55" i="4"/>
  <c r="G31" i="4"/>
  <c r="G26" i="4"/>
  <c r="C52" i="12"/>
  <c r="H75" i="6"/>
  <c r="C66" i="12"/>
  <c r="C88" i="6"/>
  <c r="C16" i="15"/>
  <c r="C79" i="6"/>
  <c r="C81" i="6"/>
  <c r="C80" i="6"/>
  <c r="D63" i="4" l="1"/>
  <c r="F63" i="4"/>
  <c r="D19" i="15"/>
  <c r="F27" i="4"/>
  <c r="F19" i="15"/>
  <c r="C82" i="6"/>
  <c r="C83" i="6" s="1"/>
  <c r="C93" i="6"/>
  <c r="C18" i="4"/>
  <c r="H79" i="6"/>
  <c r="H16" i="15"/>
  <c r="C18" i="15"/>
  <c r="H52" i="12"/>
  <c r="H54" i="12" s="1"/>
  <c r="H56" i="12" s="1"/>
  <c r="H57" i="12" s="1"/>
  <c r="C54" i="12"/>
  <c r="C56" i="12" s="1"/>
  <c r="C57" i="12" s="1"/>
  <c r="E27" i="4"/>
  <c r="E19" i="15"/>
  <c r="C19" i="4"/>
  <c r="H80" i="6"/>
  <c r="C94" i="6"/>
  <c r="H94" i="6" s="1"/>
  <c r="H88" i="6"/>
  <c r="H89" i="6" s="1"/>
  <c r="H90" i="6" s="1"/>
  <c r="C89" i="6"/>
  <c r="C90" i="6" s="1"/>
  <c r="G27" i="4"/>
  <c r="G19" i="15"/>
  <c r="E39" i="4"/>
  <c r="E40" i="4" s="1"/>
  <c r="E55" i="4"/>
  <c r="H81" i="6"/>
  <c r="C22" i="4"/>
  <c r="C95" i="6"/>
  <c r="H95" i="6" s="1"/>
  <c r="H66" i="12"/>
  <c r="H68" i="12" s="1"/>
  <c r="H70" i="12" s="1"/>
  <c r="C80" i="12"/>
  <c r="C68" i="12"/>
  <c r="C70" i="12" s="1"/>
  <c r="G39" i="4"/>
  <c r="G40" i="4" s="1"/>
  <c r="G55" i="4"/>
  <c r="F64" i="4" l="1"/>
  <c r="D64" i="4"/>
  <c r="G63" i="4"/>
  <c r="E63" i="4"/>
  <c r="H71" i="12"/>
  <c r="H80" i="12"/>
  <c r="H82" i="12" s="1"/>
  <c r="H84" i="12" s="1"/>
  <c r="H85" i="12" s="1"/>
  <c r="C82" i="12"/>
  <c r="C84" i="12" s="1"/>
  <c r="C85" i="12" s="1"/>
  <c r="H82" i="6"/>
  <c r="H83" i="6" s="1"/>
  <c r="H19" i="4"/>
  <c r="C32" i="4"/>
  <c r="C31" i="4"/>
  <c r="H18" i="4"/>
  <c r="C26" i="4"/>
  <c r="C27" i="4" s="1"/>
  <c r="C6" i="44"/>
  <c r="H6" i="44" s="1"/>
  <c r="H93" i="6"/>
  <c r="H96" i="6" s="1"/>
  <c r="H100" i="6" s="1"/>
  <c r="H101" i="6" s="1"/>
  <c r="C96" i="6"/>
  <c r="C100" i="6" s="1"/>
  <c r="C101" i="6" s="1"/>
  <c r="C71" i="12"/>
  <c r="C35" i="4"/>
  <c r="H22" i="4"/>
  <c r="M16" i="15"/>
  <c r="H18" i="15"/>
  <c r="E64" i="4" l="1"/>
  <c r="G64" i="4"/>
  <c r="C19" i="15"/>
  <c r="M18" i="15"/>
  <c r="H32" i="4"/>
  <c r="C56" i="4"/>
  <c r="H35" i="4"/>
  <c r="C59" i="4"/>
  <c r="H26" i="4"/>
  <c r="C39" i="4"/>
  <c r="C40" i="4" s="1"/>
  <c r="C55" i="4"/>
  <c r="H31" i="4"/>
  <c r="H56" i="4" l="1"/>
  <c r="H59" i="4"/>
  <c r="H39" i="4"/>
  <c r="H40" i="4" s="1"/>
  <c r="C63" i="4"/>
  <c r="H55" i="4"/>
  <c r="H27" i="4"/>
  <c r="I26" i="4"/>
  <c r="H19" i="15"/>
  <c r="C64" i="4" l="1"/>
  <c r="H63" i="4"/>
  <c r="I63" i="4" l="1"/>
  <c r="H64" i="4"/>
</calcChain>
</file>

<file path=xl/comments1.xml><?xml version="1.0" encoding="utf-8"?>
<comments xmlns="http://schemas.openxmlformats.org/spreadsheetml/2006/main">
  <authors>
    <author>Steven Martin</author>
  </authors>
  <commentList>
    <comment ref="G39" authorId="0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Average unit rate across all cable types</t>
        </r>
      </text>
    </comment>
  </commentList>
</comments>
</file>

<file path=xl/comments2.xml><?xml version="1.0" encoding="utf-8"?>
<comments xmlns="http://schemas.openxmlformats.org/spreadsheetml/2006/main">
  <authors>
    <author>Steven Martin</author>
  </authors>
  <commentList>
    <comment ref="G39" authorId="0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Average unit rate across all cable types</t>
        </r>
      </text>
    </comment>
  </commentList>
</comments>
</file>

<file path=xl/comments3.xml><?xml version="1.0" encoding="utf-8"?>
<comments xmlns="http://schemas.openxmlformats.org/spreadsheetml/2006/main">
  <authors>
    <author>Steven Martin</author>
  </authors>
  <commentList>
    <comment ref="G38" authorId="0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Average unit rate across all cable types</t>
        </r>
      </text>
    </comment>
  </commentList>
</comments>
</file>

<file path=xl/comments4.xml><?xml version="1.0" encoding="utf-8"?>
<comments xmlns="http://schemas.openxmlformats.org/spreadsheetml/2006/main">
  <authors>
    <author>Steven Martin</author>
  </authors>
  <commentList>
    <comment ref="G38" authorId="0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Average unit rate across all cable types</t>
        </r>
      </text>
    </comment>
  </commentList>
</comments>
</file>

<file path=xl/comments5.xml><?xml version="1.0" encoding="utf-8"?>
<comments xmlns="http://schemas.openxmlformats.org/spreadsheetml/2006/main">
  <authors>
    <author>Steven Martin</author>
  </authors>
  <commentList>
    <comment ref="G38" authorId="0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Average unit rate across all cable types</t>
        </r>
      </text>
    </comment>
  </commentList>
</comments>
</file>

<file path=xl/comments6.xml><?xml version="1.0" encoding="utf-8"?>
<comments xmlns="http://schemas.openxmlformats.org/spreadsheetml/2006/main">
  <authors>
    <author>Steven Martin</author>
  </authors>
  <commentList>
    <comment ref="G38" authorId="0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Average unit rate across all cable types</t>
        </r>
      </text>
    </comment>
  </commentList>
</comments>
</file>

<file path=xl/comments7.xml><?xml version="1.0" encoding="utf-8"?>
<comments xmlns="http://schemas.openxmlformats.org/spreadsheetml/2006/main">
  <authors>
    <author>Steven Martin</author>
  </authors>
  <commentList>
    <comment ref="G39" authorId="0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Average unit rate across all cable types</t>
        </r>
      </text>
    </comment>
  </commentList>
</comments>
</file>

<file path=xl/comments8.xml><?xml version="1.0" encoding="utf-8"?>
<comments xmlns="http://schemas.openxmlformats.org/spreadsheetml/2006/main">
  <authors>
    <author>Steven Martin</author>
  </authors>
  <commentList>
    <comment ref="G39" authorId="0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Average unit rate across all cable types</t>
        </r>
      </text>
    </comment>
  </commentList>
</comments>
</file>

<file path=xl/comments9.xml><?xml version="1.0" encoding="utf-8"?>
<comments xmlns="http://schemas.openxmlformats.org/spreadsheetml/2006/main">
  <authors>
    <author>Steven Martin</author>
  </authors>
  <commentList>
    <comment ref="G37" authorId="0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Average unit rate across all cable types</t>
        </r>
      </text>
    </comment>
  </commentList>
</comments>
</file>

<file path=xl/sharedStrings.xml><?xml version="1.0" encoding="utf-8"?>
<sst xmlns="http://schemas.openxmlformats.org/spreadsheetml/2006/main" count="4026" uniqueCount="648">
  <si>
    <t>Direct Material cost</t>
  </si>
  <si>
    <t>Direct Labour cost</t>
  </si>
  <si>
    <t>Direct Contract cost</t>
  </si>
  <si>
    <t>Direct Other cost</t>
  </si>
  <si>
    <t>Total Direct cost</t>
  </si>
  <si>
    <t>Total Direct</t>
  </si>
  <si>
    <t>Total</t>
  </si>
  <si>
    <t>Design</t>
  </si>
  <si>
    <t>Surge Arrestors</t>
  </si>
  <si>
    <t>ACR upgrades</t>
  </si>
  <si>
    <t>Finish Dt</t>
  </si>
  <si>
    <t>Zone Sub</t>
  </si>
  <si>
    <t>Start Contruction</t>
  </si>
  <si>
    <t>TOTAL</t>
  </si>
  <si>
    <t>CHECK</t>
  </si>
  <si>
    <t>Units</t>
  </si>
  <si>
    <t>HV Customers</t>
  </si>
  <si>
    <t>Network Balancing</t>
  </si>
  <si>
    <t>Subtransmission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</si>
  <si>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</si>
  <si>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</si>
  <si>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</si>
  <si>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</si>
  <si>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</si>
  <si>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</si>
  <si>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Forecast Capital Expenditure – As Incurred ($m Real 2015)</t>
  </si>
  <si>
    <t>Direct + Ohs</t>
  </si>
  <si>
    <t>RAB Class</t>
  </si>
  <si>
    <t>Labour escalation</t>
  </si>
  <si>
    <t>Forecast Operating &amp; Maintenance ($m Real 2015)</t>
  </si>
  <si>
    <t>Annual Testing</t>
  </si>
  <si>
    <t>Training &amp; Change Management</t>
  </si>
  <si>
    <t>Regulation &amp; Code Changes</t>
  </si>
  <si>
    <t>Fixed</t>
  </si>
  <si>
    <t>Table 5.4 AER Final Determination - Derivation of capitalised overheads ($'000s real $2015)</t>
  </si>
  <si>
    <t>Fixed/variable split</t>
  </si>
  <si>
    <t>Variable</t>
  </si>
  <si>
    <t>Fixed/variable component</t>
  </si>
  <si>
    <t>AusNet Revised Proposal Fixed</t>
  </si>
  <si>
    <t>AusNet Revised Proposal Variable</t>
  </si>
  <si>
    <t>AER Final Determination direct cost reduction</t>
  </si>
  <si>
    <t>AER Final Determination variable component</t>
  </si>
  <si>
    <t>Augmentation</t>
  </si>
  <si>
    <t>Connections</t>
  </si>
  <si>
    <t>Replacement</t>
  </si>
  <si>
    <t>Zone substation</t>
  </si>
  <si>
    <t>Compatible Equipment</t>
  </si>
  <si>
    <t xml:space="preserve">Distribution Code </t>
  </si>
  <si>
    <t>Labour / Non Labour splits</t>
  </si>
  <si>
    <t>Labour</t>
  </si>
  <si>
    <t>Non Labour</t>
  </si>
  <si>
    <t>Total Opex - real $2016</t>
  </si>
  <si>
    <t>Direct before labour escalation, $2016</t>
  </si>
  <si>
    <t>Capitalised Overheads Calculation</t>
  </si>
  <si>
    <t>PTRM Inputs</t>
  </si>
  <si>
    <t>Check</t>
  </si>
  <si>
    <t>(source: AER Final Decision Capex Model - Confidential)</t>
  </si>
  <si>
    <t>Contingent Project - including labour escalation</t>
  </si>
  <si>
    <t>Contingent Project - including labour escalation, excluding debt raising costs</t>
  </si>
  <si>
    <t>Thousands</t>
  </si>
  <si>
    <t>Other</t>
  </si>
  <si>
    <t>2. Inputs</t>
  </si>
  <si>
    <t>Direct Capital Cost Composition</t>
  </si>
  <si>
    <t>Capex Summary by Zone Substation</t>
  </si>
  <si>
    <t>Total Direct P50, before escalation adjustments</t>
  </si>
  <si>
    <t>Table 2.1 - AusNet Services - AER Final Determination - Standard Control Capex ($'000s real $2015)</t>
  </si>
  <si>
    <t>Non-Network</t>
  </si>
  <si>
    <t>Capitalised overheads</t>
  </si>
  <si>
    <t>Escalation adjustment</t>
  </si>
  <si>
    <t>TOTAL GROSS CAPEX (includes capcons)</t>
  </si>
  <si>
    <t>capcons</t>
  </si>
  <si>
    <t>NET CAPEX (excludes capcons)</t>
  </si>
  <si>
    <t>Capex by Purpose - EDPR Final decision &amp; Contingent Project</t>
  </si>
  <si>
    <t>Capex By Purpose</t>
  </si>
  <si>
    <t>Capex Summary By Zone Substation</t>
  </si>
  <si>
    <t>(Escalation adjustments applied to catgories)</t>
  </si>
  <si>
    <t>Fixed Overheads</t>
  </si>
  <si>
    <t>Variable Overheads</t>
  </si>
  <si>
    <t>Total Approved Capitalised Overhead (before escalation adj's)</t>
  </si>
  <si>
    <t>(Decision Escalation adjustments applied to categories)</t>
  </si>
  <si>
    <t>Operating &amp; Maintenance Costs</t>
  </si>
  <si>
    <t>Total Approved Capitalised Overhead (incl. escalation adj's)</t>
  </si>
  <si>
    <t>Opex Inputs</t>
  </si>
  <si>
    <t>Escalators</t>
  </si>
  <si>
    <t>Expenditure Class</t>
  </si>
  <si>
    <t>Real escalation value (%)</t>
  </si>
  <si>
    <t>Cost Drivers</t>
  </si>
  <si>
    <t>Labour escalators</t>
  </si>
  <si>
    <t>Electricity Gas Water and Waste Services Wage Price Index (Internal labour)</t>
  </si>
  <si>
    <t>Construction Wage Price Index (External labour)</t>
  </si>
  <si>
    <t>Forecast Wage Price Growth</t>
  </si>
  <si>
    <t>Actual Wage Price Growth</t>
  </si>
  <si>
    <t>EGWWS WPI (Vic) real rate of change</t>
  </si>
  <si>
    <t>(source: AER information request #049 - AusNet Services - Real escalation input cost indices, 8th March 2016)</t>
  </si>
  <si>
    <t>Construction WPI (Aus) real rate of change</t>
  </si>
  <si>
    <t>Decision Inflation</t>
  </si>
  <si>
    <t>CPI</t>
  </si>
  <si>
    <t>Labour index for Capital costs</t>
  </si>
  <si>
    <t>Labour index for Operating &amp; Maintenance costs</t>
  </si>
  <si>
    <t>(source: ABS WPI industry data adjusted for actual inflation)</t>
  </si>
  <si>
    <t>Costs Summary by Category</t>
  </si>
  <si>
    <t>Summary by Category</t>
  </si>
  <si>
    <t>Subtotal</t>
  </si>
  <si>
    <t>Grand Total</t>
  </si>
  <si>
    <t>WPI - EGWWS (Vic)</t>
  </si>
  <si>
    <t>(source: EDPR Final Decision Opex model - rate of change)</t>
  </si>
  <si>
    <t>Live line equipment purchases</t>
  </si>
  <si>
    <t>Total Gross Direct</t>
  </si>
  <si>
    <t>Alternative technologies and vendors</t>
  </si>
  <si>
    <t>Fault response &amp; analysis</t>
  </si>
  <si>
    <t>Operating, maintenance and testing instructions</t>
  </si>
  <si>
    <t>Routine maintenance of zone substation assets</t>
  </si>
  <si>
    <t>3. Aggregations &amp; Allocations</t>
  </si>
  <si>
    <t>Net increase in Network Capex incl. escalation adj's - All Groups</t>
  </si>
  <si>
    <t>Chk</t>
  </si>
  <si>
    <t>(before labour escalation adjustments)</t>
  </si>
  <si>
    <t>HV Customer Isolations</t>
  </si>
  <si>
    <t>Voltage Regulators</t>
  </si>
  <si>
    <t>ACR replacements</t>
  </si>
  <si>
    <t>Surge Arrestor Replacements</t>
  </si>
  <si>
    <t>Work at Zone Substations</t>
  </si>
  <si>
    <t>DFA schemes (stage 2)</t>
  </si>
  <si>
    <t>Other Program costs</t>
  </si>
  <si>
    <t>Program management office</t>
  </si>
  <si>
    <t>Other program costs</t>
  </si>
  <si>
    <t>Total exc Dist Code &amp; Other</t>
  </si>
  <si>
    <t>Program management office costs</t>
  </si>
  <si>
    <t>Amended Network Capex - Direct ($'000s real $2015)</t>
  </si>
  <si>
    <t>Total Forecast Direct - Incremental</t>
  </si>
  <si>
    <t>Total Forecast Overheads - Incremental</t>
  </si>
  <si>
    <t>Total Forecast Capex - Incremental</t>
  </si>
  <si>
    <t>Total Forecast Amended Capex</t>
  </si>
  <si>
    <t>Total Approved Capex</t>
  </si>
  <si>
    <t>Total Opex - $Nominal</t>
  </si>
  <si>
    <t>Direct Summary by Category - incl. Labour escalation</t>
  </si>
  <si>
    <t>Materials</t>
  </si>
  <si>
    <t>Contracts - Design</t>
  </si>
  <si>
    <t>Contracts - Construct</t>
  </si>
  <si>
    <t>Total Direct P50</t>
  </si>
  <si>
    <t>Sites</t>
  </si>
  <si>
    <t>Average units per site</t>
  </si>
  <si>
    <t>Other Program costs*</t>
  </si>
  <si>
    <t>Non-Network Other</t>
  </si>
  <si>
    <t>Non-Network IT</t>
  </si>
  <si>
    <t>source: Program capex costs estimate - AusNet Services</t>
  </si>
  <si>
    <t>Total Variable Component</t>
  </si>
  <si>
    <t>Capitalised Overheads : $ End 2015</t>
  </si>
  <si>
    <t>Network OH's</t>
  </si>
  <si>
    <t>IT OH's</t>
  </si>
  <si>
    <t>Net Increase in Variable Network OH's ($'000s real $2015)</t>
  </si>
  <si>
    <t>Variable Network OH's</t>
  </si>
  <si>
    <t>Variable IT OH's</t>
  </si>
  <si>
    <t xml:space="preserve">Total Overheads, incl. escalation adjustments </t>
  </si>
  <si>
    <t>Incremental Network Overheads by Asset Class  ($'000s real $2015)</t>
  </si>
  <si>
    <t>Total Incremental Network Capex</t>
  </si>
  <si>
    <t>Total Proposed Amended Overheads - EDPR Approved OH's &amp; Contingent Project OH's incl. escalation adj's ($'000s real $2015)</t>
  </si>
  <si>
    <t>DM16</t>
  </si>
  <si>
    <t>DM17</t>
  </si>
  <si>
    <t>DM18</t>
  </si>
  <si>
    <t>DM19</t>
  </si>
  <si>
    <t>DM20</t>
  </si>
  <si>
    <t>DL16</t>
  </si>
  <si>
    <t>DL17</t>
  </si>
  <si>
    <t>DL18</t>
  </si>
  <si>
    <t>DL19</t>
  </si>
  <si>
    <t>DL20</t>
  </si>
  <si>
    <t>DC16</t>
  </si>
  <si>
    <t>DC17</t>
  </si>
  <si>
    <t>DC18</t>
  </si>
  <si>
    <t>DC19</t>
  </si>
  <si>
    <t>DC20</t>
  </si>
  <si>
    <t>DO16</t>
  </si>
  <si>
    <t>DO17</t>
  </si>
  <si>
    <t>DO18</t>
  </si>
  <si>
    <t>DO19</t>
  </si>
  <si>
    <t>DO20</t>
  </si>
  <si>
    <t>Distribution system assetsAugmentation</t>
  </si>
  <si>
    <t>Distribution system assetsReplacement</t>
  </si>
  <si>
    <t>SubtransmissionAugmentation</t>
  </si>
  <si>
    <t>SCADA/Network controlReplacement</t>
  </si>
  <si>
    <t>SCADA/Network controlAugmentation</t>
  </si>
  <si>
    <t>SubtransmissionReplacement</t>
  </si>
  <si>
    <t>IT</t>
  </si>
  <si>
    <t>Total Approved Network Overheads</t>
  </si>
  <si>
    <t>Network Overheads by Asset Class</t>
  </si>
  <si>
    <t>Network overheads by Asset Class ($2015)</t>
  </si>
  <si>
    <t>AER Final Determination variable component ($2015)</t>
  </si>
  <si>
    <t xml:space="preserve">Total Direct P50 </t>
  </si>
  <si>
    <t>Average</t>
  </si>
  <si>
    <t>Total Overheads (before escalation adj's)</t>
  </si>
  <si>
    <t>AER Final Decision Network Capex including escalation adj's ($'000s real $2015)</t>
  </si>
  <si>
    <t>Contingent Project - Incremental Network Capex by Asset Class, including escalation adj's ($'000s real $2015)</t>
  </si>
  <si>
    <t>Total Network Overheads, including escalation adj's</t>
  </si>
  <si>
    <t>RAB Class/Expenditure Type</t>
  </si>
  <si>
    <t>Zone Substations</t>
  </si>
  <si>
    <t>Land</t>
  </si>
  <si>
    <t>OtherNon-Network</t>
  </si>
  <si>
    <t>ITNon-Network</t>
  </si>
  <si>
    <t>LandNon-Network</t>
  </si>
  <si>
    <t>(Excluding Other program costs and excludes labour escalation adjustments)</t>
  </si>
  <si>
    <t>Direct Summary by RAB Class and Expenditure Category</t>
  </si>
  <si>
    <t>Incremental Capitalised Overheads</t>
  </si>
  <si>
    <t>Other Summary Tables</t>
  </si>
  <si>
    <t>Incremental Capitalised Overhead</t>
  </si>
  <si>
    <t>Escalation adjustments</t>
  </si>
  <si>
    <t>Total Capital Expenditure</t>
  </si>
  <si>
    <t>Total Direct Cost (before escalation adjustments)</t>
  </si>
  <si>
    <t>Internal Labour rates</t>
  </si>
  <si>
    <t xml:space="preserve">Installation of neutral bus </t>
  </si>
  <si>
    <t xml:space="preserve">Neutral Bus </t>
  </si>
  <si>
    <t xml:space="preserve">Installation of neutral bus controller </t>
  </si>
  <si>
    <t xml:space="preserve">Interface, control panel and inverter </t>
  </si>
  <si>
    <t xml:space="preserve">REFCL control room </t>
  </si>
  <si>
    <t>Installation of the REFCL control room only - no protection panels</t>
  </si>
  <si>
    <t>Unit</t>
  </si>
  <si>
    <t>Category</t>
  </si>
  <si>
    <t>Description</t>
  </si>
  <si>
    <t>Compatible Equipment Unit Rates</t>
  </si>
  <si>
    <t>Zone Substation works Unit Rates</t>
  </si>
  <si>
    <t>Rate ($k)</t>
  </si>
  <si>
    <t>Forecast Operating &amp; Maintenance ($000's, Nominal), using Decision inflation</t>
  </si>
  <si>
    <t xml:space="preserve">ACR upgrade </t>
  </si>
  <si>
    <t xml:space="preserve">Replace control box on ACR </t>
  </si>
  <si>
    <t xml:space="preserve">ACR replacement </t>
  </si>
  <si>
    <t xml:space="preserve">Replace pole-mounted ACR </t>
  </si>
  <si>
    <t xml:space="preserve">Voltage regulator upgrade </t>
  </si>
  <si>
    <t xml:space="preserve">Replace control box on voltage regulator </t>
  </si>
  <si>
    <t xml:space="preserve">Voltage regulator replacement </t>
  </si>
  <si>
    <t xml:space="preserve">Replace voltage regulator </t>
  </si>
  <si>
    <t xml:space="preserve">Design </t>
  </si>
  <si>
    <t>Design activities to determine network balancing requirements, validate balancing and record balancing information – per feeder</t>
  </si>
  <si>
    <t xml:space="preserve">Third conductor installation </t>
  </si>
  <si>
    <t xml:space="preserve">Install 3rd conductor – per span </t>
  </si>
  <si>
    <t>Balancing capacitors</t>
  </si>
  <si>
    <t xml:space="preserve">Inherent works </t>
  </si>
  <si>
    <t xml:space="preserve">Unbonding cable </t>
  </si>
  <si>
    <t xml:space="preserve">Unbounding cable at either end – per location </t>
  </si>
  <si>
    <t xml:space="preserve">Phase rotation </t>
  </si>
  <si>
    <t xml:space="preserve">Rotate phases – per rotation </t>
  </si>
  <si>
    <t>Install balancing capacitors (single or three phase) – per installation</t>
  </si>
  <si>
    <t>Network Balancing Unit Rates</t>
  </si>
  <si>
    <t>- per unit</t>
  </si>
  <si>
    <t xml:space="preserve">Surge arrestor </t>
  </si>
  <si>
    <t>Line Hardening Unit Rates</t>
  </si>
  <si>
    <t>Code Compliance Unit Rates</t>
  </si>
  <si>
    <t>Code compliance</t>
  </si>
  <si>
    <t>Reliability maintained Unit Rates</t>
  </si>
  <si>
    <t xml:space="preserve">Remote control switch </t>
  </si>
  <si>
    <t>Classification</t>
  </si>
  <si>
    <t>Capex</t>
  </si>
  <si>
    <t>Mid-span Isolator units</t>
  </si>
  <si>
    <t>Rigid Hoppers</t>
  </si>
  <si>
    <t>Line cut-out tools</t>
  </si>
  <si>
    <t xml:space="preserve">New Line Hoses </t>
  </si>
  <si>
    <t>Opex</t>
  </si>
  <si>
    <t>Regulation &amp; Network Strategy team</t>
  </si>
  <si>
    <t>Project Manager</t>
  </si>
  <si>
    <t>Legal team</t>
  </si>
  <si>
    <t>Live Line Equipment Purchases Unit Rates</t>
  </si>
  <si>
    <t>Operational Staff Labour Rate (Tester/Controller/Operator/Applicant, etc)</t>
  </si>
  <si>
    <t>Engineering &amp; Professional Services Labour Rate</t>
  </si>
  <si>
    <t>Zone Substation works</t>
  </si>
  <si>
    <t>Feeder works</t>
  </si>
  <si>
    <t>Primary Plant</t>
  </si>
  <si>
    <t>Surge arrestor replacement</t>
  </si>
  <si>
    <t>QTY</t>
  </si>
  <si>
    <t>Arc Suppression Coil</t>
  </si>
  <si>
    <t>Civil works (Earthworks, 22kV swichyard)</t>
  </si>
  <si>
    <t>Land purchase</t>
  </si>
  <si>
    <t>Project Management &amp; Engineering</t>
  </si>
  <si>
    <t>Project Establishment</t>
  </si>
  <si>
    <t>Project Management</t>
  </si>
  <si>
    <t>Community Engagement</t>
  </si>
  <si>
    <t>New Control Building</t>
  </si>
  <si>
    <t>ASC to Neutral Bus 22kV 95mm2 XLPE single phase (15m)</t>
  </si>
  <si>
    <t>Tx to Switchboard 22kV 630mm2 XLPE single phase  (35mx6)</t>
  </si>
  <si>
    <t>S/S to Switchboard 22kV 185mm2 XLPE single phase (30mx3)</t>
  </si>
  <si>
    <t>Installation of 22 kV switchboard  - Metro</t>
  </si>
  <si>
    <t>Installation of 22 kV switchboard  - Rural</t>
  </si>
  <si>
    <t>22kV switchboard  - Rural</t>
  </si>
  <si>
    <t>22kV switchboard  - Metro</t>
  </si>
  <si>
    <t>Other AC &amp; DC supplies</t>
  </si>
  <si>
    <t>Subtotal Substation works</t>
  </si>
  <si>
    <t>Subtotal feeder works</t>
  </si>
  <si>
    <t>Construction delivery &amp; site control</t>
  </si>
  <si>
    <t>Project Engineer</t>
  </si>
  <si>
    <t>Front Line Leader</t>
  </si>
  <si>
    <t>Project Engineer Build</t>
  </si>
  <si>
    <t>Site Manager Build</t>
  </si>
  <si>
    <t>Asset Management Engineer</t>
  </si>
  <si>
    <t>Int Labour</t>
  </si>
  <si>
    <t>P50 Total</t>
  </si>
  <si>
    <t>ea</t>
  </si>
  <si>
    <t>UOM</t>
  </si>
  <si>
    <t>location</t>
  </si>
  <si>
    <t>Line Hardening</t>
  </si>
  <si>
    <t>Distribution Code</t>
  </si>
  <si>
    <t>feeders</t>
  </si>
  <si>
    <t>spans</t>
  </si>
  <si>
    <t>rotations</t>
  </si>
  <si>
    <t>installations</t>
  </si>
  <si>
    <t>Subtotal Network Balancing</t>
  </si>
  <si>
    <t>Material $/Unit</t>
  </si>
  <si>
    <t>Primary Cables - 22kV</t>
  </si>
  <si>
    <t>Project Close-out, Testing &amp; Commissioning</t>
  </si>
  <si>
    <t>$/hr</t>
  </si>
  <si>
    <t>Station service transformer (500 kVA)</t>
  </si>
  <si>
    <t>SCADA / Protection &amp; Control/ Comms</t>
  </si>
  <si>
    <t>ASC footing</t>
  </si>
  <si>
    <t>Installation of ASC</t>
  </si>
  <si>
    <t>Install new footing and associated bunding for GFN ASC unit</t>
  </si>
  <si>
    <t>Earthworks</t>
  </si>
  <si>
    <t>Civil works</t>
  </si>
  <si>
    <t>Notes</t>
  </si>
  <si>
    <t>Labour rates</t>
  </si>
  <si>
    <t>Design - Internal/External</t>
  </si>
  <si>
    <t>22kV switchyard - install new puraceptor</t>
  </si>
  <si>
    <t>- Other</t>
  </si>
  <si>
    <t>p/mtr</t>
  </si>
  <si>
    <t>Protection – GFN panels</t>
  </si>
  <si>
    <t>Protection &amp; Control</t>
  </si>
  <si>
    <t>GFN interface relay</t>
  </si>
  <si>
    <t>Other protection works</t>
  </si>
  <si>
    <t>Install new RTU (existing MD1000 incapable of handling traffic of new relays)</t>
  </si>
  <si>
    <t>22kV Protection &amp; Control Modifications</t>
  </si>
  <si>
    <t>Earthworks, Buildings</t>
  </si>
  <si>
    <t>Replace or install new station service transformer (500 kVA)</t>
  </si>
  <si>
    <t>Replace or install new station service transformer (750 kVA)</t>
  </si>
  <si>
    <t>Design Labour - internal / external</t>
  </si>
  <si>
    <t>Station service transformer (750 kVA)</t>
  </si>
  <si>
    <t>SCIMS system - small</t>
  </si>
  <si>
    <t>22kV Line Protection - Modular 4 Feeders</t>
  </si>
  <si>
    <t>Misc Protection panels (1 for ea switch room)</t>
  </si>
  <si>
    <t>22KV Feeder Exit</t>
  </si>
  <si>
    <t>22kV U/S Isolator</t>
  </si>
  <si>
    <t>22kV Voltage Transformer</t>
  </si>
  <si>
    <t>22KV Surge Arrestor</t>
  </si>
  <si>
    <t>Remote Terminal Unit</t>
  </si>
  <si>
    <t>22kV Dead Tank Circuit Breaker 3150A, 40kA</t>
  </si>
  <si>
    <t>Transformer Neutral Isolator</t>
  </si>
  <si>
    <t>22kV Line Protection - 1 Feeder</t>
  </si>
  <si>
    <t>22kV Capacitor Bank Protection &amp; Control Scheme</t>
  </si>
  <si>
    <t>Phase plate correction</t>
  </si>
  <si>
    <t>fuses</t>
  </si>
  <si>
    <t>Inherent works  - various feeder based works</t>
  </si>
  <si>
    <t>Operational Staff</t>
  </si>
  <si>
    <t>feeders &amp; RC sections</t>
  </si>
  <si>
    <t>Phase identification tools &amp; training</t>
  </si>
  <si>
    <r>
      <t>Arc Suppression Coil (ASC) - Software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</rPr>
      <t>pgrade only</t>
    </r>
  </si>
  <si>
    <t>22kV Capacitor Banks</t>
  </si>
  <si>
    <t>22kV Dead Tank Circuit Breaker</t>
  </si>
  <si>
    <t>Tool &amp; Equipment purchases</t>
  </si>
  <si>
    <t>Total Internal Labour (hours)</t>
  </si>
  <si>
    <t>Other stations rate</t>
  </si>
  <si>
    <t>Purchase of phase identification tools - G3 Phase ID probe</t>
  </si>
  <si>
    <t>Activities including the development of balancing capacitor solution, modification of Asset Management Systems - per feeder</t>
  </si>
  <si>
    <t>Phase plate correction - per feeder and RC sections</t>
  </si>
  <si>
    <t>Installation of Oil separator / Puraceptor</t>
  </si>
  <si>
    <t>Labour rates effective from 22-01-2014 (source: Expert Estimator tool)</t>
  </si>
  <si>
    <t>Installation of modular battery room including batteries (1 set of)</t>
  </si>
  <si>
    <t>22kV Underslung Isolator</t>
  </si>
  <si>
    <t>WYK2 rate</t>
  </si>
  <si>
    <t>Asset Class</t>
  </si>
  <si>
    <t>Battery Room (2 battery sets)</t>
  </si>
  <si>
    <t>Battery Room (single battery set)</t>
  </si>
  <si>
    <t>Allocation</t>
  </si>
  <si>
    <t>Replace surge arrestor on existing structure - per site</t>
  </si>
  <si>
    <t>Install a new Substation Automation panel (SCIMS) in existing control room</t>
  </si>
  <si>
    <t>Design, Project Management &amp; Engineering costs allocation</t>
  </si>
  <si>
    <t>Station service transformer (incremental difference between 500 kVA and 750kVA)</t>
  </si>
  <si>
    <t>Contracts</t>
  </si>
  <si>
    <t>Installation of outdoor changeover board suitable for uprated Station Service Tx, incl. footing</t>
  </si>
  <si>
    <t>AC C/O board footing</t>
  </si>
  <si>
    <t>Cap Bank footing</t>
  </si>
  <si>
    <t>Installation of 22 kV capacitor banks</t>
  </si>
  <si>
    <t>Installation of outdoor changeover board</t>
  </si>
  <si>
    <t xml:space="preserve">Installation of modular battery room including batteries (2 sets of) </t>
  </si>
  <si>
    <t>Total Substation works</t>
  </si>
  <si>
    <t>Replace remote controlled switch on existing structure - Design</t>
  </si>
  <si>
    <t>- DFA2 software changes to SCADA</t>
  </si>
  <si>
    <t>- Materials supply and deployment of switches</t>
  </si>
  <si>
    <t>RAB / Asset Class</t>
  </si>
  <si>
    <t>Non-network</t>
  </si>
  <si>
    <t>Capitalised network overheads</t>
  </si>
  <si>
    <t>Capitalised corporate overheads</t>
  </si>
  <si>
    <t>Cap Cons</t>
  </si>
  <si>
    <t>Benchmark Expenditure Categories</t>
  </si>
  <si>
    <t>Cost Classification</t>
  </si>
  <si>
    <t>- Base station</t>
  </si>
  <si>
    <t>ACR Upgrade</t>
  </si>
  <si>
    <t>ACR Replacement</t>
  </si>
  <si>
    <t>Feeder Work Volumes</t>
  </si>
  <si>
    <t>Voltage Regulator Upgrade</t>
  </si>
  <si>
    <t>Voltage Regulator Replace</t>
  </si>
  <si>
    <t>Feeders</t>
  </si>
  <si>
    <t>Transfer Feeders</t>
  </si>
  <si>
    <t>RC Sections</t>
  </si>
  <si>
    <t>Spans of third phase</t>
  </si>
  <si>
    <t>Unbonding 3rd phase</t>
  </si>
  <si>
    <t>Phase rotations</t>
  </si>
  <si>
    <t>1-phase balancing caps</t>
  </si>
  <si>
    <t>3-phase balancing caps</t>
  </si>
  <si>
    <t>SWER phase rotations</t>
  </si>
  <si>
    <t>Total Feeders</t>
  </si>
  <si>
    <t>Total Phase rotations</t>
  </si>
  <si>
    <t>Total Balancing caps</t>
  </si>
  <si>
    <t>Fuses</t>
  </si>
  <si>
    <t>Direct Capital Cost Input Total by Activity</t>
  </si>
  <si>
    <t>Oil separator</t>
  </si>
  <si>
    <t>Materials phasing</t>
  </si>
  <si>
    <t>Internal Labour resource allocation</t>
  </si>
  <si>
    <t>Substation &amp; Feeder Works Detail sheets</t>
  </si>
  <si>
    <t>Unit Rates</t>
  </si>
  <si>
    <t>Labour Rates</t>
  </si>
  <si>
    <t>1. Lookup Tables</t>
  </si>
  <si>
    <t>Reporting Categories</t>
  </si>
  <si>
    <t>4. Outputs</t>
  </si>
  <si>
    <t>External Design &amp; Construct</t>
  </si>
  <si>
    <t>Fuse review &amp; removal, install solid link</t>
  </si>
  <si>
    <t>Protection reviews for fuse removals and installation of solid link - per fuse</t>
  </si>
  <si>
    <t>Devices used to reduce the outage area in the distribution network.  Set of isolators that are cut into a line between two poles (i.e., mid-span) to provide a temporary break in connection. After an outage devices can be re-used elswhere on the network.</t>
  </si>
  <si>
    <t>Cable with clamp at each end that is placed inside an insulating tube.</t>
  </si>
  <si>
    <t>Set of tools used to cut into a line, e.g., for temporary installation of mid-span isolators</t>
  </si>
  <si>
    <t>New Line Hoses (to replace Hard Covers) on 22kV lines</t>
  </si>
  <si>
    <t>Network Reliability Maintained</t>
  </si>
  <si>
    <t>Confidential</t>
  </si>
  <si>
    <t>inputs</t>
  </si>
  <si>
    <t>[spare]</t>
  </si>
  <si>
    <t>Sum</t>
  </si>
  <si>
    <t>Station / REFCL no</t>
  </si>
  <si>
    <t>Zone substation works expenditure profiles (excludes feeder works)</t>
  </si>
  <si>
    <t>DFA schemes (stage 2) - software changes to SCADA</t>
  </si>
  <si>
    <t>RWN</t>
  </si>
  <si>
    <t>ELM</t>
  </si>
  <si>
    <t>FGY</t>
  </si>
  <si>
    <t>MOE</t>
  </si>
  <si>
    <t>BGE</t>
  </si>
  <si>
    <t>LDL</t>
  </si>
  <si>
    <t>BDL</t>
  </si>
  <si>
    <t>Ringwood North</t>
  </si>
  <si>
    <t>Eltham</t>
  </si>
  <si>
    <t>Ferntree Gully</t>
  </si>
  <si>
    <t>Moe</t>
  </si>
  <si>
    <t>Belgrave</t>
  </si>
  <si>
    <t>Lilydale</t>
  </si>
  <si>
    <t>Bairnsdale</t>
  </si>
  <si>
    <t>Short Nm</t>
  </si>
  <si>
    <t>Other Costs</t>
  </si>
  <si>
    <t>Remote controlled switch replacement</t>
  </si>
  <si>
    <t>Base station</t>
  </si>
  <si>
    <t>Live line equipment purchases (capitalised)</t>
  </si>
  <si>
    <t>units</t>
  </si>
  <si>
    <t>G3 Phase ID probe</t>
  </si>
  <si>
    <t>External labour - Consultant</t>
  </si>
  <si>
    <t>Internal labour - various resources</t>
  </si>
  <si>
    <t>Training costs</t>
  </si>
  <si>
    <t>Phase ID tools &amp; training</t>
  </si>
  <si>
    <t>Other Capex Program Inputs</t>
  </si>
  <si>
    <t>Other Capex Program Volumes</t>
  </si>
  <si>
    <t>T2 Incremental Direct costs only</t>
  </si>
  <si>
    <t>T2 Incremental Overheads ($m, Real 2015)</t>
  </si>
  <si>
    <t>Total Forecast Capex - Contingent Project T2 only ($m Real 2015)</t>
  </si>
  <si>
    <t>Amended Final Decision Capex - Total ($m, $2015)</t>
  </si>
  <si>
    <t>(incl T1 Allowance)</t>
  </si>
  <si>
    <t>EDPR Final Decision</t>
  </si>
  <si>
    <t>Gross Capex Inputs - $m, $2015</t>
  </si>
  <si>
    <t>Amended Final Decision incl T1 Allowance</t>
  </si>
  <si>
    <t>source: AER Final Decision PTRM inputs, excl. equity raising costs</t>
  </si>
  <si>
    <t>Total T2 Opex - REFCL program</t>
  </si>
  <si>
    <t>Total T2 Opex exc DRC ($2015)</t>
  </si>
  <si>
    <t>Amended Capex Incl T1/T2 - Total ($m, $2015)</t>
  </si>
  <si>
    <t>Total EDPR Opex (excl Debt raising costs)</t>
  </si>
  <si>
    <t>REFCL T1 Approved Opex costs</t>
  </si>
  <si>
    <t>Opex Costs - $m, $2015</t>
  </si>
  <si>
    <t>5. Other References</t>
  </si>
  <si>
    <t>Tranche 1 (T1) Allowances</t>
  </si>
  <si>
    <t>Distribution Code - HV Customers</t>
  </si>
  <si>
    <t>5 MVA</t>
  </si>
  <si>
    <t>7.5 MVA</t>
  </si>
  <si>
    <t>10 MVA</t>
  </si>
  <si>
    <t>HV customers isolation substation (7.5 MVA)</t>
  </si>
  <si>
    <t>HV customers isolation substation (5.0 MVA)</t>
  </si>
  <si>
    <t>source: AER Amended Final Decision (Contingent Project) PTRM inputs</t>
  </si>
  <si>
    <t>Finish Date</t>
  </si>
  <si>
    <t>T2 Projects schedule - key dates</t>
  </si>
  <si>
    <t>Total Hours</t>
  </si>
  <si>
    <t>Total hrs p/unit</t>
  </si>
  <si>
    <t>5 MVA substation</t>
  </si>
  <si>
    <t>7.5 MVA substation</t>
  </si>
  <si>
    <t>WOTS22</t>
  </si>
  <si>
    <t>Wodonga 22kV switchyard</t>
  </si>
  <si>
    <t>Cable replacements</t>
  </si>
  <si>
    <t>Line Hardening: -</t>
  </si>
  <si>
    <t>22kV Zero Sequence CTs</t>
  </si>
  <si>
    <t>Install core balance zero sequence current transformers</t>
  </si>
  <si>
    <t>Primary Cable Testing</t>
  </si>
  <si>
    <t>Testing of station 22 kV Cables</t>
  </si>
  <si>
    <t>2 REFCL control room</t>
  </si>
  <si>
    <t>Installation of the REFCL control room only - no protection panels - supports 2 GFNs</t>
  </si>
  <si>
    <t>Neutral Bus controller - 1 GFN</t>
  </si>
  <si>
    <t>Neutral Bus controller - 2 GFNs</t>
  </si>
  <si>
    <t xml:space="preserve">Installation of modular control building room </t>
  </si>
  <si>
    <t>AC changeover board - Station</t>
  </si>
  <si>
    <t>AC changeover board - REFCL</t>
  </si>
  <si>
    <t>22kV Current Transformer</t>
  </si>
  <si>
    <t>On-line Tests</t>
  </si>
  <si>
    <t>Off-line Tests</t>
  </si>
  <si>
    <t>Repairs</t>
  </si>
  <si>
    <t>Replacement (m)</t>
  </si>
  <si>
    <t>Cables</t>
  </si>
  <si>
    <t>m</t>
  </si>
  <si>
    <t>Cable On-Line Testing</t>
  </si>
  <si>
    <t>Cable Off-Line Testing</t>
  </si>
  <si>
    <t>Cable - Replace Fitting</t>
  </si>
  <si>
    <t>Installation of 2x3 MVAr Capacitor Bank</t>
  </si>
  <si>
    <t>Installation of 3x3 MVAr Capacitor Bank</t>
  </si>
  <si>
    <t>Modify existing capacitor bank</t>
  </si>
  <si>
    <t>22kV Capacitor Bank - Modify</t>
  </si>
  <si>
    <t>22kV Capacitor Bank (2x3 MVAr)</t>
  </si>
  <si>
    <t>22kV Capacitor Bank (3x3 MVAr)</t>
  </si>
  <si>
    <t>Power Quality/Switchgear Interface</t>
  </si>
  <si>
    <t>Power Quality Non Std</t>
  </si>
  <si>
    <t>Installation of Panel with 6 Power Quality Meters</t>
  </si>
  <si>
    <t>Switchgear Interface Non Std</t>
  </si>
  <si>
    <t>Installation of Panel with 3 switchgear interface relays</t>
  </si>
  <si>
    <t>Installation of Panel with 2 Power Quality Meters &amp; 1 Switchgear interface relay</t>
  </si>
  <si>
    <t>Capacitor Bank Prot &amp; Cntl (3x3MVAr)</t>
  </si>
  <si>
    <t>Installation of Panel for Prot &amp; Cntl of 3 x 3MVAr Capacitor Bank</t>
  </si>
  <si>
    <t>Capacitor Bank Prot &amp; Cntl (2x3MVAr)</t>
  </si>
  <si>
    <t>Installation of Panel for Prot &amp; Cntl of 2 x 3MVAr Capacitor Bank</t>
  </si>
  <si>
    <t>WOTS - (Transmission Charges)</t>
  </si>
  <si>
    <t>Proactive</t>
  </si>
  <si>
    <t>Offline Test</t>
  </si>
  <si>
    <t>Replacements</t>
  </si>
  <si>
    <t>Network Hardening - Cables (Reactive Program)</t>
  </si>
  <si>
    <t>Qty</t>
  </si>
  <si>
    <t>Cables - Reactive - Testing</t>
  </si>
  <si>
    <t>Cables - Reactive - Repairs</t>
  </si>
  <si>
    <t>Cables - Reactive - Replacements</t>
  </si>
  <si>
    <t>Cable - Replace Cable Section - per m</t>
  </si>
  <si>
    <t>Cables - Reactive</t>
  </si>
  <si>
    <t>2016-20</t>
  </si>
  <si>
    <t>2021-23</t>
  </si>
  <si>
    <t>3 MVA</t>
  </si>
  <si>
    <t>Install isolating transformer and associated equipment adjacent to high-voltage customer – per site, 3.0 MVA substation</t>
  </si>
  <si>
    <t>Line Balancing</t>
  </si>
  <si>
    <t>Annual Fault Throw Test Locations</t>
  </si>
  <si>
    <t>Annual Compliance Test Sites</t>
  </si>
  <si>
    <t>CPA T2 development costs</t>
  </si>
  <si>
    <t>CPA T2 development costs - internal labour</t>
  </si>
  <si>
    <t>DFA scheme - removal of transfer schemes</t>
  </si>
  <si>
    <t>DFA Quality Assurance</t>
  </si>
  <si>
    <t>Survey Costs</t>
  </si>
  <si>
    <t>HV customers isolation substation (3.0 MVA)</t>
  </si>
  <si>
    <t>DFA Quality Assurance - Deakin Uni Study</t>
  </si>
  <si>
    <t>Total REFCL T1 Approved Network Direct Capex</t>
  </si>
  <si>
    <t>Total EDPR Approved Network Direct Capex</t>
  </si>
  <si>
    <t>Network Capex by Asset Class excluding Capitalised Overheads</t>
  </si>
  <si>
    <t>Capex excluding Capitalised Overhead</t>
  </si>
  <si>
    <t>Capex including Capitalised Overhead</t>
  </si>
  <si>
    <t>Total Capex incl Capitalised Overhead</t>
  </si>
  <si>
    <t>Total Capex excl Capitalised Overhead</t>
  </si>
  <si>
    <t>Total Approved Variable Network Overheads, before esc. adj's</t>
  </si>
  <si>
    <t>Total Approved Network Capex excl. Overheads, including esc. adj's</t>
  </si>
  <si>
    <t>Capitalised Overhead by Asset Class</t>
  </si>
  <si>
    <t>Total Capitalised Overhead</t>
  </si>
  <si>
    <t>T1 Approved Total Capex - $m, $2015</t>
  </si>
  <si>
    <t>T1 Approved Direct Capex Only - $m, $2015</t>
  </si>
  <si>
    <t>T1 Approved Capitalised Overheads - $m, $2015</t>
  </si>
  <si>
    <t>Network Overheads ($2015)</t>
  </si>
  <si>
    <t>IT Overheads ($2015)</t>
  </si>
  <si>
    <t>REFCL T1 CPA Allowance ($'000s real $2015)</t>
  </si>
  <si>
    <t>REFCL T2 CPA Network Capex Forecast</t>
  </si>
  <si>
    <t>AusNet CPA - REFCL T1 - Incremental Overheads Allowance, before escalation adj's - ($'000s real $2015)</t>
  </si>
  <si>
    <t>AusNet updates since T1 TCM</t>
  </si>
  <si>
    <t>2016-23</t>
  </si>
  <si>
    <t>AST Table 1A - T2 Contingent Project - Standard Control Capex, Incremental ($'000s real $2015)</t>
  </si>
  <si>
    <t>AST Table 1B - T2 Contingent Project - Standard Control Capex, Incremental ($'000s real $2015)</t>
  </si>
  <si>
    <t>AST Table 1C - EDPR Approved Capex &amp; T1/T2 Contingent Projects Capex - Standard Control Capex ($'000s real $2015)</t>
  </si>
  <si>
    <t>$000's, $2015</t>
  </si>
  <si>
    <t>source: AST Distribution Contingent Project 1 Total Cost Model_Amended 06.06.17_CONFIDENTIAL.xlsx</t>
  </si>
  <si>
    <t>Test location per feeder (@$15k per site) - material</t>
  </si>
  <si>
    <t>Contract labour</t>
  </si>
  <si>
    <t>Internal labour</t>
  </si>
  <si>
    <t>2016-20 EDPR Final Decision Escalation adjustment</t>
  </si>
  <si>
    <t>source: AER - AusNet Services distribution determination - REFCL contingent project - PTRM - PUBLIC - September 2017.xlsm</t>
  </si>
  <si>
    <t>source: Derived from Capex Inputs per AER amended - AST DX 2016-20 PTRM (Contingent Project 1) CONFIDENTIAL.xlsm</t>
  </si>
  <si>
    <t>AER Decision on AusNet CPA T1 - Capex by Purpose</t>
  </si>
  <si>
    <t>AusNet CPA T1 Proposal - Capex by Purpose</t>
  </si>
  <si>
    <t>AER Decision cuts to AusNet CPA T1 Proposal - Capex by Purpose</t>
  </si>
  <si>
    <t>Expenditure cuts relate to a portion of AusNet's proposed HV isolating transformer installation costs included in CPA tranche 1</t>
  </si>
  <si>
    <t>Line Hardening - ACR replacement</t>
  </si>
  <si>
    <t>REFCL T2 Expenditure Forecasts - $Nominal</t>
  </si>
  <si>
    <t>Current Period</t>
  </si>
  <si>
    <t>Next Reg Period</t>
  </si>
  <si>
    <t>Capex #</t>
  </si>
  <si>
    <t># Capex excludes half year WACC allowance</t>
  </si>
  <si>
    <t>T2</t>
  </si>
  <si>
    <t>2016-20 period</t>
  </si>
  <si>
    <t>2021-25 period</t>
  </si>
  <si>
    <t>Mat</t>
  </si>
  <si>
    <t>Lab</t>
  </si>
  <si>
    <t>Oth</t>
  </si>
  <si>
    <t>2016-20 period Allocations</t>
  </si>
  <si>
    <t>2021-23 period Allocations</t>
  </si>
  <si>
    <t>$k, $2015</t>
  </si>
  <si>
    <t>Des</t>
  </si>
  <si>
    <t>Contr</t>
  </si>
  <si>
    <t>Index - $2015 to nominal (using Decision inflation)</t>
  </si>
  <si>
    <t>Index - $2016 to nominal (using Decision inflation)</t>
  </si>
  <si>
    <t>Direct Cost Unit Rates - $000's, Real $2015</t>
  </si>
  <si>
    <t>Direct Capex Inputs, before escalation adjustments - $000's, Real $2015</t>
  </si>
  <si>
    <t>Direct Capex Input Composition, before escalation adjustments - $000's, Real $2015</t>
  </si>
  <si>
    <t>Direct P50 - before escalation adjustments - $'000s, real $2015</t>
  </si>
  <si>
    <t>Labour Escalation - $'000s, real $2015</t>
  </si>
  <si>
    <t>Contingent Project Total Direct Cost incl. labour escalation - $'000s, real $2015</t>
  </si>
  <si>
    <t>Internal labour index (applied to labour costs in $2015)</t>
  </si>
  <si>
    <t>External labour index (applied to labour costs in $2015)</t>
  </si>
  <si>
    <t>Forecast Operating &amp; Maintenance ($000's, Real 2015)</t>
  </si>
  <si>
    <t>Table 1a - Proposed Capex - Direct before escalation adjustments, $000's, $2015</t>
  </si>
  <si>
    <t>Total Capital Expenditure Forecast, $m, $2015</t>
  </si>
  <si>
    <t>Expenditure by Zone Substation, $000's, Real $2015</t>
  </si>
  <si>
    <t>Works at Zone Substations - $2015</t>
  </si>
  <si>
    <t>Network Balancing - $2015</t>
  </si>
  <si>
    <t>Surge Arrestor Replacements - $2015</t>
  </si>
  <si>
    <t>Cable replacements - $2015</t>
  </si>
  <si>
    <t>ACR replacements - $2015</t>
  </si>
  <si>
    <t>ACR Upgrades - $2015</t>
  </si>
  <si>
    <t>Voltage Regulators - $2015</t>
  </si>
  <si>
    <t>HV Customer Isolations - $2015</t>
  </si>
  <si>
    <t>Other Program costs - $2015</t>
  </si>
  <si>
    <t>TOTAL COST Inputs, $2015</t>
  </si>
  <si>
    <t>Other Capitalised Program Costs, $2015</t>
  </si>
  <si>
    <t>Total Direct ($k, $2015)</t>
  </si>
  <si>
    <t>$/Unit ($2015)</t>
  </si>
  <si>
    <t>Average Direct Cost per Zone Substation, excluding Other Program costs, $k, $2015</t>
  </si>
  <si>
    <t>Labour index (applied to labour costs in $2015)</t>
  </si>
  <si>
    <t>Capacitance Management</t>
  </si>
  <si>
    <t>CERA Removal and Replacement with 900kVAr Pole Top Capacitor</t>
  </si>
  <si>
    <t>Assumes Final Decision annual inflation of 2.32%</t>
  </si>
  <si>
    <t>Actual Inflation - 8 cities, 1 year lagged (Jun to Jun)</t>
  </si>
  <si>
    <t>Sep Qtr</t>
  </si>
  <si>
    <t>Jun Qtr</t>
  </si>
  <si>
    <t>Conversion factor - Mid Year $Nominal to End $2015</t>
  </si>
  <si>
    <t>(8 cities, 1 year lagged)</t>
  </si>
  <si>
    <t>*Note, Other Program costs includes DFA schemes (stage 2), CPA2 development costs, live line equipment, survey costs,</t>
  </si>
  <si>
    <t>test site establishment and cable testing, repairs and replacement costs (reactive cable replacement program)</t>
  </si>
  <si>
    <t>Contingent Project Application - Total Cost model - Tranche 2 - Public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</si>
</sst>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  <numFmt numFmtId="166" formatCode="0.0000"/>
    <numFmt numFmtId="167" formatCode="#,##0.00_ ;\-#,##0.00\ "/>
    <numFmt numFmtId="168" formatCode="#,##0_ ;\-#,##0\ "/>
    <numFmt numFmtId="169" formatCode="_-* #,##0_-;\-* #,##0_-;_-* &quot;-&quot;??_-;_-@_-"/>
    <numFmt numFmtId="170" formatCode="0.0%"/>
    <numFmt numFmtId="171" formatCode="0.00000"/>
    <numFmt numFmtId="172" formatCode="#,##0.0"/>
    <numFmt numFmtId="173" formatCode="_-* #,##0.00000_-;\-* #,##0.00000_-;_-* &quot;-&quot;??_-;_-@_-"/>
    <numFmt numFmtId="174" formatCode="0.0"/>
    <numFmt numFmtId="175" formatCode="_-* #,##0.000_-;\-* #,##0.000_-;_-* &quot;-&quot;??_-;_-@_-"/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_);_(@_)"/>
    <numFmt numFmtId="179" formatCode="_-* #,##0.0_-;[Red]\-* #,##0.0_-;_-* &quot;-&quot;??_-;_-@_-"/>
    <numFmt numFmtId="180" formatCode="_-* #,##0.00_-;\-* #,##0.00_-;_-* &quot;-&quot;?_-;_-@_-"/>
    <numFmt numFmtId="181" formatCode="_-* #,##0_-;\-* #,##0_-;_-* &quot;-&quot;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Arial"/>
      <family val="2"/>
    </font>
    <font>
      <i/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i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499984740745262"/>
      </right>
      <top style="thick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indexed="64"/>
      </right>
      <top style="thick">
        <color auto="1"/>
      </top>
      <bottom style="thin">
        <color theme="1" tint="0.499984740745262"/>
      </bottom>
      <diagonal/>
    </border>
    <border>
      <left/>
      <right style="thick">
        <color auto="1"/>
      </right>
      <top style="thick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double">
        <color auto="1"/>
      </right>
      <top style="thin">
        <color theme="1" tint="0.499984740745262"/>
      </top>
      <bottom/>
      <diagonal/>
    </border>
    <border>
      <left/>
      <right style="thick">
        <color auto="1"/>
      </right>
      <top style="thin">
        <color theme="1" tint="0.499984740745262"/>
      </top>
      <bottom style="double">
        <color indexed="64"/>
      </bottom>
      <diagonal/>
    </border>
    <border>
      <left style="thick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auto="1"/>
      </right>
      <top style="double">
        <color indexed="64"/>
      </top>
      <bottom style="thin">
        <color theme="1" tint="0.499984740745262"/>
      </bottom>
      <diagonal/>
    </border>
    <border>
      <left/>
      <right style="thick">
        <color auto="1"/>
      </right>
      <top/>
      <bottom style="thin">
        <color theme="1" tint="0.499984740745262"/>
      </bottom>
      <diagonal/>
    </border>
    <border>
      <left style="thick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double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theme="1" tint="0.499984740745262"/>
      </right>
      <top/>
      <bottom style="thick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ck">
        <color auto="1"/>
      </bottom>
      <diagonal/>
    </border>
    <border>
      <left style="thin">
        <color theme="1" tint="0.499984740745262"/>
      </left>
      <right style="double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0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Fill="0"/>
    <xf numFmtId="0" fontId="6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176" fontId="6" fillId="15" borderId="0" applyNumberFormat="0" applyFont="0" applyBorder="0" applyAlignment="0">
      <alignment horizontal="right"/>
    </xf>
    <xf numFmtId="176" fontId="6" fillId="15" borderId="0" applyNumberFormat="0" applyFont="0" applyBorder="0" applyAlignment="0">
      <alignment horizontal="right"/>
    </xf>
    <xf numFmtId="176" fontId="6" fillId="15" borderId="0" applyNumberFormat="0" applyFont="0" applyBorder="0" applyAlignment="0">
      <alignment horizontal="right"/>
    </xf>
    <xf numFmtId="0" fontId="31" fillId="12" borderId="69" applyNumberFormat="0" applyAlignment="0" applyProtection="0"/>
    <xf numFmtId="177" fontId="32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10" borderId="69" applyNumberFormat="0" applyAlignment="0" applyProtection="0"/>
    <xf numFmtId="176" fontId="6" fillId="16" borderId="0" applyFont="0" applyBorder="0" applyAlignment="0">
      <alignment horizontal="right"/>
      <protection locked="0"/>
    </xf>
    <xf numFmtId="176" fontId="6" fillId="16" borderId="0" applyFont="0" applyBorder="0" applyAlignment="0">
      <alignment horizontal="right"/>
      <protection locked="0"/>
    </xf>
    <xf numFmtId="176" fontId="6" fillId="16" borderId="0" applyFont="0" applyBorder="0" applyAlignment="0">
      <alignment horizontal="right"/>
      <protection locked="0"/>
    </xf>
    <xf numFmtId="176" fontId="6" fillId="16" borderId="0" applyFont="0" applyBorder="0" applyAlignment="0">
      <alignment horizontal="right"/>
      <protection locked="0"/>
    </xf>
    <xf numFmtId="176" fontId="6" fillId="16" borderId="0" applyFont="0" applyBorder="0" applyAlignment="0">
      <alignment horizontal="right"/>
      <protection locked="0"/>
    </xf>
    <xf numFmtId="176" fontId="6" fillId="16" borderId="0" applyFont="0" applyBorder="0" applyAlignment="0">
      <alignment horizontal="right"/>
      <protection locked="0"/>
    </xf>
    <xf numFmtId="176" fontId="6" fillId="16" borderId="0" applyFont="0" applyBorder="0" applyAlignment="0">
      <alignment horizontal="right"/>
      <protection locked="0"/>
    </xf>
    <xf numFmtId="176" fontId="6" fillId="16" borderId="0" applyFont="0" applyBorder="0" applyAlignment="0">
      <alignment horizontal="right"/>
      <protection locked="0"/>
    </xf>
    <xf numFmtId="176" fontId="6" fillId="16" borderId="0" applyFont="0" applyBorder="0" applyAlignment="0">
      <alignment horizontal="right"/>
      <protection locked="0"/>
    </xf>
    <xf numFmtId="176" fontId="6" fillId="16" borderId="0" applyFont="0" applyBorder="0" applyAlignment="0">
      <alignment horizontal="right"/>
      <protection locked="0"/>
    </xf>
    <xf numFmtId="178" fontId="6" fillId="17" borderId="0" applyFont="0" applyBorder="0">
      <alignment horizontal="right"/>
      <protection locked="0"/>
    </xf>
    <xf numFmtId="178" fontId="6" fillId="17" borderId="0" applyFont="0" applyBorder="0">
      <alignment horizontal="right"/>
      <protection locked="0"/>
    </xf>
    <xf numFmtId="178" fontId="6" fillId="17" borderId="0" applyFont="0" applyBorder="0">
      <alignment horizontal="right"/>
      <protection locked="0"/>
    </xf>
    <xf numFmtId="176" fontId="6" fillId="18" borderId="0" applyFont="0" applyBorder="0">
      <alignment horizontal="right"/>
      <protection locked="0"/>
    </xf>
    <xf numFmtId="176" fontId="6" fillId="18" borderId="0" applyFont="0" applyBorder="0">
      <alignment horizontal="right"/>
      <protection locked="0"/>
    </xf>
    <xf numFmtId="176" fontId="6" fillId="18" borderId="0" applyFont="0" applyBorder="0">
      <alignment horizontal="right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19" borderId="0"/>
    <xf numFmtId="0" fontId="6" fillId="0" borderId="0"/>
    <xf numFmtId="0" fontId="6" fillId="0" borderId="0"/>
    <xf numFmtId="0" fontId="6" fillId="19" borderId="0"/>
    <xf numFmtId="0" fontId="6" fillId="19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70" applyNumberFormat="0" applyFont="0" applyAlignment="0" applyProtection="0"/>
    <xf numFmtId="0" fontId="6" fillId="11" borderId="70" applyNumberFormat="0" applyFont="0" applyAlignment="0" applyProtection="0"/>
    <xf numFmtId="0" fontId="6" fillId="11" borderId="70" applyNumberFormat="0" applyFont="0" applyAlignment="0" applyProtection="0"/>
    <xf numFmtId="0" fontId="6" fillId="11" borderId="70" applyNumberFormat="0" applyFont="0" applyAlignment="0" applyProtection="0"/>
    <xf numFmtId="0" fontId="36" fillId="12" borderId="71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72" applyNumberFormat="0" applyFill="0" applyAlignment="0" applyProtection="0"/>
  </cellStyleXfs>
  <cellXfs count="6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/>
    <xf numFmtId="0" fontId="2" fillId="0" borderId="0" xfId="0" applyFont="1" applyAlignment="1">
      <alignment vertical="center"/>
    </xf>
    <xf numFmtId="14" fontId="0" fillId="0" borderId="0" xfId="1" applyNumberFormat="1" applyFont="1"/>
    <xf numFmtId="14" fontId="0" fillId="0" borderId="0" xfId="0" applyNumberFormat="1"/>
    <xf numFmtId="0" fontId="2" fillId="0" borderId="0" xfId="0" applyFont="1" applyAlignment="1">
      <alignment vertical="center" wrapText="1"/>
    </xf>
    <xf numFmtId="43" fontId="0" fillId="0" borderId="0" xfId="0" applyNumberFormat="1"/>
    <xf numFmtId="43" fontId="0" fillId="0" borderId="1" xfId="0" applyNumberFormat="1" applyBorder="1"/>
    <xf numFmtId="0" fontId="0" fillId="0" borderId="0" xfId="0" applyAlignment="1">
      <alignment horizontal="center" wrapText="1"/>
    </xf>
    <xf numFmtId="164" fontId="0" fillId="0" borderId="0" xfId="0" applyNumberFormat="1"/>
    <xf numFmtId="9" fontId="0" fillId="0" borderId="0" xfId="2" applyFont="1"/>
    <xf numFmtId="9" fontId="0" fillId="0" borderId="0" xfId="0" applyNumberFormat="1"/>
    <xf numFmtId="14" fontId="0" fillId="0" borderId="0" xfId="0" applyNumberFormat="1" applyFill="1"/>
    <xf numFmtId="0" fontId="0" fillId="0" borderId="2" xfId="0" applyBorder="1" applyAlignment="1">
      <alignment horizontal="center"/>
    </xf>
    <xf numFmtId="165" fontId="0" fillId="0" borderId="0" xfId="0" applyNumberFormat="1"/>
    <xf numFmtId="14" fontId="0" fillId="0" borderId="0" xfId="1" applyNumberFormat="1" applyFont="1" applyFill="1"/>
    <xf numFmtId="164" fontId="0" fillId="0" borderId="1" xfId="0" applyNumberFormat="1" applyBorder="1"/>
    <xf numFmtId="0" fontId="4" fillId="0" borderId="0" xfId="0" applyFont="1"/>
    <xf numFmtId="0" fontId="5" fillId="0" borderId="0" xfId="0" applyFont="1"/>
    <xf numFmtId="164" fontId="0" fillId="0" borderId="1" xfId="1" applyNumberFormat="1" applyFont="1" applyBorder="1"/>
    <xf numFmtId="0" fontId="2" fillId="0" borderId="0" xfId="0" applyFont="1"/>
    <xf numFmtId="164" fontId="2" fillId="0" borderId="1" xfId="1" applyNumberFormat="1" applyFont="1" applyBorder="1"/>
    <xf numFmtId="169" fontId="0" fillId="0" borderId="0" xfId="1" applyNumberFormat="1" applyFont="1"/>
    <xf numFmtId="169" fontId="0" fillId="0" borderId="0" xfId="0" applyNumberFormat="1"/>
    <xf numFmtId="169" fontId="0" fillId="0" borderId="26" xfId="1" applyNumberFormat="1" applyFont="1" applyBorder="1"/>
    <xf numFmtId="10" fontId="0" fillId="0" borderId="0" xfId="0" applyNumberFormat="1"/>
    <xf numFmtId="164" fontId="0" fillId="4" borderId="0" xfId="0" applyNumberFormat="1" applyFill="1"/>
    <xf numFmtId="169" fontId="0" fillId="4" borderId="3" xfId="1" applyNumberFormat="1" applyFont="1" applyFill="1" applyBorder="1"/>
    <xf numFmtId="169" fontId="0" fillId="4" borderId="1" xfId="1" applyNumberFormat="1" applyFont="1" applyFill="1" applyBorder="1"/>
    <xf numFmtId="169" fontId="0" fillId="4" borderId="4" xfId="1" applyNumberFormat="1" applyFont="1" applyFill="1" applyBorder="1"/>
    <xf numFmtId="170" fontId="0" fillId="0" borderId="0" xfId="2" applyNumberFormat="1" applyFont="1"/>
    <xf numFmtId="169" fontId="0" fillId="0" borderId="1" xfId="0" applyNumberFormat="1" applyBorder="1"/>
    <xf numFmtId="10" fontId="0" fillId="0" borderId="0" xfId="2" applyNumberFormat="1" applyFont="1"/>
    <xf numFmtId="164" fontId="0" fillId="0" borderId="0" xfId="1" applyNumberFormat="1" applyFont="1" applyFill="1"/>
    <xf numFmtId="164" fontId="0" fillId="0" borderId="26" xfId="1" applyNumberFormat="1" applyFont="1" applyBorder="1"/>
    <xf numFmtId="0" fontId="7" fillId="0" borderId="0" xfId="0" applyFont="1"/>
    <xf numFmtId="14" fontId="2" fillId="0" borderId="0" xfId="1" applyNumberFormat="1" applyFont="1"/>
    <xf numFmtId="0" fontId="0" fillId="0" borderId="26" xfId="0" applyBorder="1"/>
    <xf numFmtId="10" fontId="0" fillId="0" borderId="0" xfId="2" applyNumberFormat="1" applyFont="1" applyFill="1"/>
    <xf numFmtId="0" fontId="0" fillId="0" borderId="1" xfId="0" applyBorder="1"/>
    <xf numFmtId="0" fontId="0" fillId="0" borderId="0" xfId="0" applyFill="1"/>
    <xf numFmtId="43" fontId="0" fillId="0" borderId="0" xfId="1" applyNumberFormat="1" applyFont="1"/>
    <xf numFmtId="0" fontId="8" fillId="0" borderId="0" xfId="0" applyFont="1"/>
    <xf numFmtId="166" fontId="0" fillId="0" borderId="0" xfId="0" applyNumberFormat="1"/>
    <xf numFmtId="0" fontId="0" fillId="0" borderId="0" xfId="0" applyFill="1" applyAlignment="1">
      <alignment horizontal="center"/>
    </xf>
    <xf numFmtId="171" fontId="0" fillId="0" borderId="0" xfId="0" applyNumberFormat="1" applyFill="1"/>
    <xf numFmtId="169" fontId="0" fillId="0" borderId="26" xfId="0" applyNumberFormat="1" applyBorder="1"/>
    <xf numFmtId="0" fontId="11" fillId="0" borderId="0" xfId="0" applyFont="1"/>
    <xf numFmtId="0" fontId="12" fillId="0" borderId="0" xfId="0" applyFont="1"/>
    <xf numFmtId="43" fontId="1" fillId="0" borderId="0" xfId="1" applyFont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indent="1"/>
    </xf>
    <xf numFmtId="0" fontId="13" fillId="0" borderId="9" xfId="4" applyFont="1" applyFill="1" applyBorder="1" applyAlignment="1">
      <alignment horizontal="right" vertical="center" wrapText="1" indent="2"/>
    </xf>
    <xf numFmtId="0" fontId="13" fillId="0" borderId="10" xfId="4" applyFont="1" applyFill="1" applyBorder="1" applyAlignment="1">
      <alignment horizontal="right" vertical="center" wrapText="1" indent="2"/>
    </xf>
    <xf numFmtId="0" fontId="13" fillId="0" borderId="11" xfId="4" applyFont="1" applyFill="1" applyBorder="1" applyAlignment="1">
      <alignment horizontal="right" vertical="center" wrapText="1" indent="2"/>
    </xf>
    <xf numFmtId="0" fontId="1" fillId="0" borderId="12" xfId="0" applyFont="1" applyFill="1" applyBorder="1" applyAlignment="1">
      <alignment horizontal="left" vertical="center" indent="3"/>
    </xf>
    <xf numFmtId="0" fontId="13" fillId="0" borderId="13" xfId="4" applyFont="1" applyFill="1" applyBorder="1" applyAlignment="1">
      <alignment horizontal="right" vertical="center" wrapText="1" indent="2"/>
    </xf>
    <xf numFmtId="0" fontId="13" fillId="0" borderId="14" xfId="4" applyFont="1" applyFill="1" applyBorder="1" applyAlignment="1">
      <alignment horizontal="right" vertical="center" wrapText="1" indent="2"/>
    </xf>
    <xf numFmtId="0" fontId="13" fillId="0" borderId="15" xfId="4" applyFont="1" applyFill="1" applyBorder="1" applyAlignment="1">
      <alignment horizontal="right" vertical="center" wrapText="1" indent="2"/>
    </xf>
    <xf numFmtId="167" fontId="14" fillId="3" borderId="2" xfId="0" applyNumberFormat="1" applyFont="1" applyFill="1" applyBorder="1" applyAlignment="1">
      <alignment horizontal="right" vertical="center" indent="2"/>
    </xf>
    <xf numFmtId="167" fontId="14" fillId="3" borderId="16" xfId="0" applyNumberFormat="1" applyFont="1" applyFill="1" applyBorder="1" applyAlignment="1">
      <alignment horizontal="right" vertical="center" indent="2"/>
    </xf>
    <xf numFmtId="167" fontId="14" fillId="3" borderId="18" xfId="0" applyNumberFormat="1" applyFont="1" applyFill="1" applyBorder="1" applyAlignment="1">
      <alignment horizontal="right" vertical="center" indent="2"/>
    </xf>
    <xf numFmtId="167" fontId="14" fillId="3" borderId="19" xfId="0" applyNumberFormat="1" applyFont="1" applyFill="1" applyBorder="1" applyAlignment="1">
      <alignment horizontal="right" vertical="center" indent="2"/>
    </xf>
    <xf numFmtId="0" fontId="1" fillId="0" borderId="12" xfId="0" applyFont="1" applyFill="1" applyBorder="1" applyAlignment="1">
      <alignment horizontal="left" vertical="center" indent="5"/>
    </xf>
    <xf numFmtId="168" fontId="14" fillId="0" borderId="14" xfId="0" applyNumberFormat="1" applyFont="1" applyFill="1" applyBorder="1" applyAlignment="1">
      <alignment horizontal="right" vertical="center" indent="2"/>
    </xf>
    <xf numFmtId="168" fontId="14" fillId="0" borderId="20" xfId="0" applyNumberFormat="1" applyFont="1" applyFill="1" applyBorder="1" applyAlignment="1">
      <alignment horizontal="right" vertical="center" indent="2"/>
    </xf>
    <xf numFmtId="168" fontId="14" fillId="3" borderId="21" xfId="0" applyNumberFormat="1" applyFont="1" applyFill="1" applyBorder="1" applyAlignment="1">
      <alignment horizontal="right"/>
    </xf>
    <xf numFmtId="168" fontId="14" fillId="3" borderId="22" xfId="0" applyNumberFormat="1" applyFont="1" applyFill="1" applyBorder="1" applyAlignment="1">
      <alignment horizontal="right"/>
    </xf>
    <xf numFmtId="10" fontId="14" fillId="3" borderId="21" xfId="2" applyNumberFormat="1" applyFont="1" applyFill="1" applyBorder="1" applyAlignment="1">
      <alignment horizontal="right"/>
    </xf>
    <xf numFmtId="10" fontId="14" fillId="3" borderId="22" xfId="2" applyNumberFormat="1" applyFont="1" applyFill="1" applyBorder="1" applyAlignment="1">
      <alignment horizontal="right"/>
    </xf>
    <xf numFmtId="168" fontId="14" fillId="3" borderId="24" xfId="0" applyNumberFormat="1" applyFont="1" applyFill="1" applyBorder="1" applyAlignment="1">
      <alignment horizontal="right"/>
    </xf>
    <xf numFmtId="168" fontId="14" fillId="3" borderId="2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168" fontId="0" fillId="0" borderId="0" xfId="0" applyNumberFormat="1" applyFont="1"/>
    <xf numFmtId="0" fontId="0" fillId="5" borderId="0" xfId="0" applyFill="1"/>
    <xf numFmtId="1" fontId="0" fillId="0" borderId="0" xfId="2" applyNumberFormat="1" applyFont="1"/>
    <xf numFmtId="0" fontId="5" fillId="5" borderId="0" xfId="0" applyFont="1" applyFill="1"/>
    <xf numFmtId="0" fontId="0" fillId="5" borderId="0" xfId="0" applyFill="1" applyAlignment="1">
      <alignment horizontal="left" indent="1"/>
    </xf>
    <xf numFmtId="0" fontId="15" fillId="5" borderId="0" xfId="0" applyFont="1" applyFill="1"/>
    <xf numFmtId="0" fontId="5" fillId="5" borderId="0" xfId="0" applyFont="1" applyFill="1" applyAlignment="1">
      <alignment horizontal="left"/>
    </xf>
    <xf numFmtId="164" fontId="2" fillId="0" borderId="0" xfId="0" applyNumberFormat="1" applyFont="1"/>
    <xf numFmtId="0" fontId="17" fillId="2" borderId="6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8" fillId="2" borderId="28" xfId="3" applyFont="1" applyFill="1" applyBorder="1" applyAlignment="1">
      <alignment horizontal="left" vertical="center" indent="1"/>
    </xf>
    <xf numFmtId="0" fontId="14" fillId="5" borderId="29" xfId="4" applyFont="1" applyFill="1" applyBorder="1" applyAlignment="1">
      <alignment vertical="center" wrapText="1"/>
    </xf>
    <xf numFmtId="0" fontId="13" fillId="0" borderId="30" xfId="4" applyFont="1" applyFill="1" applyBorder="1" applyAlignment="1">
      <alignment horizontal="right" vertical="center" wrapText="1" indent="2"/>
    </xf>
    <xf numFmtId="0" fontId="13" fillId="0" borderId="31" xfId="4" applyFont="1" applyFill="1" applyBorder="1" applyAlignment="1">
      <alignment horizontal="right" vertical="center" wrapText="1" indent="2"/>
    </xf>
    <xf numFmtId="0" fontId="13" fillId="0" borderId="32" xfId="4" applyFont="1" applyFill="1" applyBorder="1" applyAlignment="1">
      <alignment horizontal="right" vertical="center" wrapText="1" indent="2"/>
    </xf>
    <xf numFmtId="0" fontId="13" fillId="0" borderId="7" xfId="4" applyFont="1" applyFill="1" applyBorder="1" applyAlignment="1">
      <alignment horizontal="right" vertical="center" wrapText="1" indent="2"/>
    </xf>
    <xf numFmtId="0" fontId="1" fillId="0" borderId="33" xfId="0" applyFont="1" applyBorder="1" applyAlignment="1">
      <alignment horizontal="left" vertical="center" indent="4"/>
    </xf>
    <xf numFmtId="168" fontId="1" fillId="3" borderId="34" xfId="0" applyNumberFormat="1" applyFont="1" applyFill="1" applyBorder="1" applyAlignment="1">
      <alignment horizontal="right" vertical="center" indent="1"/>
    </xf>
    <xf numFmtId="168" fontId="1" fillId="3" borderId="35" xfId="0" applyNumberFormat="1" applyFont="1" applyFill="1" applyBorder="1" applyAlignment="1">
      <alignment horizontal="right" vertical="center" indent="1"/>
    </xf>
    <xf numFmtId="168" fontId="1" fillId="3" borderId="36" xfId="0" applyNumberFormat="1" applyFont="1" applyFill="1" applyBorder="1" applyAlignment="1">
      <alignment horizontal="right" vertical="center" indent="1"/>
    </xf>
    <xf numFmtId="168" fontId="1" fillId="5" borderId="37" xfId="0" applyNumberFormat="1" applyFont="1" applyFill="1" applyBorder="1" applyAlignment="1">
      <alignment horizontal="right" vertical="center" indent="1"/>
    </xf>
    <xf numFmtId="168" fontId="1" fillId="3" borderId="38" xfId="0" applyNumberFormat="1" applyFont="1" applyFill="1" applyBorder="1" applyAlignment="1">
      <alignment horizontal="right" vertical="center" indent="1"/>
    </xf>
    <xf numFmtId="168" fontId="1" fillId="3" borderId="39" xfId="0" applyNumberFormat="1" applyFont="1" applyFill="1" applyBorder="1" applyAlignment="1">
      <alignment horizontal="right" vertical="center" indent="1"/>
    </xf>
    <xf numFmtId="168" fontId="1" fillId="3" borderId="40" xfId="0" applyNumberFormat="1" applyFont="1" applyFill="1" applyBorder="1" applyAlignment="1">
      <alignment horizontal="right" vertical="center" indent="1"/>
    </xf>
    <xf numFmtId="168" fontId="1" fillId="5" borderId="41" xfId="0" applyNumberFormat="1" applyFont="1" applyFill="1" applyBorder="1" applyAlignment="1">
      <alignment horizontal="right" vertical="center" indent="1"/>
    </xf>
    <xf numFmtId="0" fontId="14" fillId="0" borderId="33" xfId="0" applyFont="1" applyBorder="1" applyAlignment="1">
      <alignment horizontal="left" vertical="center" indent="4"/>
    </xf>
    <xf numFmtId="168" fontId="1" fillId="3" borderId="42" xfId="0" applyNumberFormat="1" applyFont="1" applyFill="1" applyBorder="1" applyAlignment="1">
      <alignment horizontal="right" vertical="center" indent="1"/>
    </xf>
    <xf numFmtId="168" fontId="1" fillId="3" borderId="43" xfId="0" applyNumberFormat="1" applyFont="1" applyFill="1" applyBorder="1" applyAlignment="1">
      <alignment horizontal="right" vertical="center" indent="1"/>
    </xf>
    <xf numFmtId="168" fontId="1" fillId="3" borderId="44" xfId="0" applyNumberFormat="1" applyFont="1" applyFill="1" applyBorder="1" applyAlignment="1">
      <alignment horizontal="right" vertical="center" indent="1"/>
    </xf>
    <xf numFmtId="168" fontId="1" fillId="5" borderId="45" xfId="0" applyNumberFormat="1" applyFont="1" applyFill="1" applyBorder="1" applyAlignment="1">
      <alignment horizontal="right" vertical="center" indent="1"/>
    </xf>
    <xf numFmtId="0" fontId="2" fillId="0" borderId="46" xfId="0" applyFont="1" applyBorder="1" applyAlignment="1">
      <alignment horizontal="right" vertical="center" indent="2"/>
    </xf>
    <xf numFmtId="168" fontId="1" fillId="0" borderId="47" xfId="0" applyNumberFormat="1" applyFont="1" applyFill="1" applyBorder="1" applyAlignment="1">
      <alignment horizontal="right" vertical="center" indent="1"/>
    </xf>
    <xf numFmtId="168" fontId="1" fillId="0" borderId="48" xfId="0" applyNumberFormat="1" applyFont="1" applyFill="1" applyBorder="1" applyAlignment="1">
      <alignment horizontal="right" vertical="center" indent="1"/>
    </xf>
    <xf numFmtId="168" fontId="1" fillId="0" borderId="49" xfId="0" applyNumberFormat="1" applyFont="1" applyFill="1" applyBorder="1" applyAlignment="1">
      <alignment horizontal="right" vertical="center" indent="1"/>
    </xf>
    <xf numFmtId="168" fontId="1" fillId="5" borderId="50" xfId="0" applyNumberFormat="1" applyFont="1" applyFill="1" applyBorder="1" applyAlignment="1">
      <alignment horizontal="right" vertical="center" indent="1"/>
    </xf>
    <xf numFmtId="0" fontId="14" fillId="0" borderId="51" xfId="0" applyFont="1" applyBorder="1" applyAlignment="1">
      <alignment horizontal="right" vertical="center" indent="9"/>
    </xf>
    <xf numFmtId="168" fontId="1" fillId="3" borderId="52" xfId="0" applyNumberFormat="1" applyFont="1" applyFill="1" applyBorder="1" applyAlignment="1">
      <alignment horizontal="right" vertical="center" indent="1"/>
    </xf>
    <xf numFmtId="168" fontId="1" fillId="3" borderId="53" xfId="0" applyNumberFormat="1" applyFont="1" applyFill="1" applyBorder="1" applyAlignment="1">
      <alignment horizontal="right" vertical="center" indent="1"/>
    </xf>
    <xf numFmtId="168" fontId="1" fillId="3" borderId="54" xfId="0" applyNumberFormat="1" applyFont="1" applyFill="1" applyBorder="1" applyAlignment="1">
      <alignment horizontal="right" vertical="center" indent="1"/>
    </xf>
    <xf numFmtId="0" fontId="13" fillId="0" borderId="55" xfId="0" applyFont="1" applyBorder="1" applyAlignment="1">
      <alignment horizontal="right" vertical="center" indent="2"/>
    </xf>
    <xf numFmtId="168" fontId="1" fillId="5" borderId="56" xfId="5" applyNumberFormat="1" applyFont="1" applyFill="1" applyBorder="1" applyAlignment="1">
      <alignment horizontal="right" vertical="center" indent="1"/>
    </xf>
    <xf numFmtId="168" fontId="1" fillId="5" borderId="57" xfId="5" applyNumberFormat="1" applyFont="1" applyFill="1" applyBorder="1" applyAlignment="1">
      <alignment horizontal="right" vertical="center" indent="1"/>
    </xf>
    <xf numFmtId="168" fontId="1" fillId="5" borderId="58" xfId="5" applyNumberFormat="1" applyFont="1" applyFill="1" applyBorder="1" applyAlignment="1">
      <alignment horizontal="right" vertical="center" indent="1"/>
    </xf>
    <xf numFmtId="168" fontId="1" fillId="5" borderId="59" xfId="5" applyNumberFormat="1" applyFont="1" applyFill="1" applyBorder="1" applyAlignment="1">
      <alignment horizontal="right" vertical="center" indent="1"/>
    </xf>
    <xf numFmtId="0" fontId="19" fillId="2" borderId="5" xfId="3" applyFont="1" applyFill="1" applyBorder="1" applyAlignment="1">
      <alignment horizontal="left" vertical="center" indent="1"/>
    </xf>
    <xf numFmtId="168" fontId="0" fillId="0" borderId="0" xfId="0" applyNumberFormat="1"/>
    <xf numFmtId="169" fontId="0" fillId="0" borderId="1" xfId="1" applyNumberFormat="1" applyFont="1" applyBorder="1"/>
    <xf numFmtId="169" fontId="0" fillId="0" borderId="27" xfId="0" applyNumberFormat="1" applyBorder="1"/>
    <xf numFmtId="0" fontId="16" fillId="6" borderId="0" xfId="0" applyFont="1" applyFill="1"/>
    <xf numFmtId="0" fontId="19" fillId="6" borderId="0" xfId="0" applyFont="1" applyFill="1" applyAlignment="1">
      <alignment vertical="center"/>
    </xf>
    <xf numFmtId="168" fontId="14" fillId="0" borderId="0" xfId="0" applyNumberFormat="1" applyFont="1" applyFill="1" applyBorder="1" applyAlignment="1">
      <alignment horizontal="right"/>
    </xf>
    <xf numFmtId="169" fontId="0" fillId="0" borderId="0" xfId="0" applyNumberFormat="1" applyFont="1"/>
    <xf numFmtId="164" fontId="1" fillId="0" borderId="1" xfId="1" applyNumberFormat="1" applyFont="1" applyBorder="1"/>
    <xf numFmtId="164" fontId="0" fillId="4" borderId="1" xfId="0" applyNumberFormat="1" applyFont="1" applyFill="1" applyBorder="1"/>
    <xf numFmtId="0" fontId="20" fillId="0" borderId="0" xfId="0" applyFont="1"/>
    <xf numFmtId="0" fontId="13" fillId="0" borderId="0" xfId="0" applyFont="1"/>
    <xf numFmtId="0" fontId="19" fillId="2" borderId="0" xfId="0" applyFont="1" applyFill="1" applyAlignment="1">
      <alignment vertical="center"/>
    </xf>
    <xf numFmtId="0" fontId="16" fillId="2" borderId="0" xfId="0" applyFont="1" applyFill="1"/>
    <xf numFmtId="0" fontId="21" fillId="5" borderId="0" xfId="6" applyFill="1" applyAlignment="1">
      <alignment horizontal="left" indent="1"/>
    </xf>
    <xf numFmtId="0" fontId="22" fillId="5" borderId="0" xfId="0" applyFont="1" applyFill="1"/>
    <xf numFmtId="164" fontId="1" fillId="0" borderId="0" xfId="1" applyNumberFormat="1" applyFont="1"/>
    <xf numFmtId="0" fontId="0" fillId="0" borderId="0" xfId="0" applyFont="1"/>
    <xf numFmtId="165" fontId="0" fillId="0" borderId="0" xfId="0" applyNumberFormat="1" applyFont="1"/>
    <xf numFmtId="0" fontId="24" fillId="7" borderId="0" xfId="0" applyFont="1" applyFill="1" applyAlignment="1">
      <alignment vertical="center" wrapText="1"/>
    </xf>
    <xf numFmtId="0" fontId="25" fillId="0" borderId="61" xfId="0" applyFont="1" applyBorder="1" applyAlignment="1">
      <alignment vertical="center"/>
    </xf>
    <xf numFmtId="0" fontId="26" fillId="0" borderId="62" xfId="0" applyFont="1" applyBorder="1" applyAlignment="1">
      <alignment horizontal="right" vertical="center"/>
    </xf>
    <xf numFmtId="0" fontId="23" fillId="0" borderId="61" xfId="0" applyFont="1" applyBorder="1" applyAlignment="1">
      <alignment vertical="center"/>
    </xf>
    <xf numFmtId="0" fontId="26" fillId="0" borderId="62" xfId="0" applyFont="1" applyBorder="1" applyAlignment="1">
      <alignment horizontal="center" vertical="center"/>
    </xf>
    <xf numFmtId="0" fontId="24" fillId="7" borderId="60" xfId="0" applyFont="1" applyFill="1" applyBorder="1" applyAlignment="1">
      <alignment horizontal="center" vertical="center"/>
    </xf>
    <xf numFmtId="0" fontId="23" fillId="0" borderId="61" xfId="0" applyFont="1" applyBorder="1" applyAlignment="1">
      <alignment vertical="center" wrapText="1"/>
    </xf>
    <xf numFmtId="0" fontId="27" fillId="0" borderId="0" xfId="0" applyFont="1"/>
    <xf numFmtId="169" fontId="0" fillId="0" borderId="0" xfId="1" applyNumberFormat="1" applyFont="1" applyFill="1"/>
    <xf numFmtId="0" fontId="2" fillId="0" borderId="0" xfId="0" applyFont="1" applyFill="1"/>
    <xf numFmtId="0" fontId="25" fillId="0" borderId="62" xfId="0" applyFont="1" applyBorder="1" applyAlignment="1">
      <alignment vertical="center"/>
    </xf>
    <xf numFmtId="0" fontId="23" fillId="0" borderId="62" xfId="0" applyFont="1" applyBorder="1" applyAlignment="1">
      <alignment vertical="center" wrapText="1"/>
    </xf>
    <xf numFmtId="0" fontId="23" fillId="0" borderId="62" xfId="0" applyFont="1" applyBorder="1" applyAlignment="1">
      <alignment vertical="center"/>
    </xf>
    <xf numFmtId="166" fontId="0" fillId="0" borderId="0" xfId="1" applyNumberFormat="1" applyFont="1" applyFill="1"/>
    <xf numFmtId="14" fontId="0" fillId="0" borderId="0" xfId="1" applyNumberFormat="1" applyFont="1" applyAlignment="1">
      <alignment horizontal="left" indent="1"/>
    </xf>
    <xf numFmtId="164" fontId="0" fillId="0" borderId="0" xfId="1" applyNumberFormat="1" applyFont="1" applyBorder="1"/>
    <xf numFmtId="169" fontId="0" fillId="0" borderId="27" xfId="1" applyNumberFormat="1" applyFont="1" applyBorder="1"/>
    <xf numFmtId="170" fontId="0" fillId="0" borderId="0" xfId="2" applyNumberFormat="1" applyFont="1" applyFill="1" applyBorder="1"/>
    <xf numFmtId="169" fontId="0" fillId="0" borderId="0" xfId="1" applyNumberFormat="1" applyFont="1" applyBorder="1"/>
    <xf numFmtId="0" fontId="0" fillId="0" borderId="0" xfId="1" applyNumberFormat="1" applyFont="1" applyAlignment="1">
      <alignment horizontal="center"/>
    </xf>
    <xf numFmtId="166" fontId="0" fillId="0" borderId="0" xfId="0" applyNumberFormat="1" applyFill="1"/>
    <xf numFmtId="10" fontId="0" fillId="0" borderId="0" xfId="0" applyNumberFormat="1" applyFill="1"/>
    <xf numFmtId="10" fontId="1" fillId="0" borderId="0" xfId="2" applyNumberFormat="1" applyFont="1" applyFill="1" applyBorder="1"/>
    <xf numFmtId="0" fontId="1" fillId="0" borderId="12" xfId="0" applyFont="1" applyFill="1" applyBorder="1" applyAlignment="1">
      <alignment horizontal="right" vertical="center" indent="4"/>
    </xf>
    <xf numFmtId="0" fontId="1" fillId="0" borderId="17" xfId="0" applyFont="1" applyFill="1" applyBorder="1" applyAlignment="1">
      <alignment horizontal="right" vertical="center" indent="4"/>
    </xf>
    <xf numFmtId="0" fontId="1" fillId="0" borderId="23" xfId="0" applyFont="1" applyFill="1" applyBorder="1" applyAlignment="1">
      <alignment horizontal="right" vertical="center" indent="4"/>
    </xf>
    <xf numFmtId="164" fontId="2" fillId="0" borderId="1" xfId="1" applyNumberFormat="1" applyFont="1" applyFill="1" applyBorder="1"/>
    <xf numFmtId="43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14" fontId="12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ill="1" applyAlignment="1">
      <alignment horizontal="left" indent="1"/>
    </xf>
    <xf numFmtId="0" fontId="0" fillId="0" borderId="0" xfId="0" applyAlignment="1"/>
    <xf numFmtId="0" fontId="27" fillId="0" borderId="0" xfId="0" applyFont="1" applyAlignment="1"/>
    <xf numFmtId="0" fontId="11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1" applyNumberFormat="1" applyFont="1" applyAlignment="1">
      <alignment horizontal="left"/>
    </xf>
    <xf numFmtId="164" fontId="0" fillId="0" borderId="63" xfId="1" applyNumberFormat="1" applyFont="1" applyBorder="1"/>
    <xf numFmtId="164" fontId="0" fillId="0" borderId="63" xfId="0" applyNumberFormat="1" applyBorder="1"/>
    <xf numFmtId="169" fontId="0" fillId="0" borderId="63" xfId="1" applyNumberFormat="1" applyFont="1" applyBorder="1"/>
    <xf numFmtId="0" fontId="11" fillId="0" borderId="0" xfId="0" applyFont="1" applyAlignment="1">
      <alignment horizontal="left" indent="1"/>
    </xf>
    <xf numFmtId="0" fontId="11" fillId="0" borderId="0" xfId="0" applyFont="1" applyFill="1" applyAlignment="1">
      <alignment horizontal="left" indent="1"/>
    </xf>
    <xf numFmtId="0" fontId="16" fillId="6" borderId="0" xfId="0" applyFont="1" applyFill="1" applyAlignment="1">
      <alignment vertical="center"/>
    </xf>
    <xf numFmtId="0" fontId="28" fillId="2" borderId="0" xfId="0" applyFont="1" applyFill="1" applyBorder="1" applyAlignment="1">
      <alignment vertical="center"/>
    </xf>
    <xf numFmtId="164" fontId="0" fillId="0" borderId="27" xfId="0" applyNumberFormat="1" applyBorder="1"/>
    <xf numFmtId="0" fontId="0" fillId="0" borderId="0" xfId="0" applyBorder="1" applyAlignment="1">
      <alignment horizontal="center"/>
    </xf>
    <xf numFmtId="169" fontId="11" fillId="0" borderId="0" xfId="1" applyNumberFormat="1" applyFont="1"/>
    <xf numFmtId="169" fontId="11" fillId="0" borderId="0" xfId="0" applyNumberFormat="1" applyFont="1"/>
    <xf numFmtId="9" fontId="0" fillId="0" borderId="26" xfId="2" applyFont="1" applyBorder="1"/>
    <xf numFmtId="9" fontId="0" fillId="0" borderId="26" xfId="0" applyNumberFormat="1" applyBorder="1"/>
    <xf numFmtId="0" fontId="11" fillId="0" borderId="0" xfId="0" quotePrefix="1" applyFont="1"/>
    <xf numFmtId="9" fontId="0" fillId="0" borderId="0" xfId="2" applyFont="1" applyBorder="1"/>
    <xf numFmtId="9" fontId="0" fillId="0" borderId="0" xfId="0" applyNumberFormat="1" applyBorder="1"/>
    <xf numFmtId="0" fontId="0" fillId="0" borderId="0" xfId="0" quotePrefix="1" applyFill="1"/>
    <xf numFmtId="164" fontId="0" fillId="0" borderId="1" xfId="1" applyNumberFormat="1" applyFont="1" applyFill="1" applyBorder="1"/>
    <xf numFmtId="164" fontId="0" fillId="0" borderId="0" xfId="0" applyNumberFormat="1" applyFill="1"/>
    <xf numFmtId="164" fontId="11" fillId="0" borderId="0" xfId="0" applyNumberFormat="1" applyFont="1"/>
    <xf numFmtId="43" fontId="11" fillId="0" borderId="0" xfId="1" applyFont="1"/>
    <xf numFmtId="165" fontId="11" fillId="0" borderId="0" xfId="0" applyNumberFormat="1" applyFont="1"/>
    <xf numFmtId="43" fontId="11" fillId="0" borderId="0" xfId="1" applyFont="1" applyBorder="1"/>
    <xf numFmtId="43" fontId="11" fillId="0" borderId="0" xfId="0" applyNumberFormat="1" applyFont="1"/>
    <xf numFmtId="164" fontId="11" fillId="0" borderId="0" xfId="1" applyNumberFormat="1" applyFont="1" applyBorder="1"/>
    <xf numFmtId="0" fontId="22" fillId="0" borderId="0" xfId="0" applyFont="1" applyFill="1" applyAlignment="1">
      <alignment horizontal="left"/>
    </xf>
    <xf numFmtId="0" fontId="29" fillId="0" borderId="0" xfId="0" applyFont="1"/>
    <xf numFmtId="14" fontId="29" fillId="0" borderId="0" xfId="1" applyNumberFormat="1" applyFont="1"/>
    <xf numFmtId="164" fontId="11" fillId="0" borderId="0" xfId="1" applyNumberFormat="1" applyFont="1"/>
    <xf numFmtId="43" fontId="11" fillId="0" borderId="0" xfId="0" applyNumberFormat="1" applyFont="1" applyFill="1"/>
    <xf numFmtId="173" fontId="0" fillId="0" borderId="0" xfId="0" applyNumberFormat="1"/>
    <xf numFmtId="0" fontId="0" fillId="0" borderId="0" xfId="0" applyAlignment="1">
      <alignment wrapText="1"/>
    </xf>
    <xf numFmtId="174" fontId="0" fillId="0" borderId="0" xfId="0" applyNumberFormat="1"/>
    <xf numFmtId="0" fontId="11" fillId="0" borderId="0" xfId="0" applyFont="1" applyAlignment="1">
      <alignment horizontal="center"/>
    </xf>
    <xf numFmtId="6" fontId="0" fillId="0" borderId="0" xfId="0" quotePrefix="1" applyNumberFormat="1" applyAlignment="1">
      <alignment horizontal="center"/>
    </xf>
    <xf numFmtId="17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wrapText="1"/>
    </xf>
    <xf numFmtId="164" fontId="0" fillId="0" borderId="14" xfId="1" applyNumberFormat="1" applyFont="1" applyBorder="1" applyAlignment="1">
      <alignment horizontal="right"/>
    </xf>
    <xf numFmtId="164" fontId="0" fillId="0" borderId="14" xfId="0" applyNumberFormat="1" applyBorder="1"/>
    <xf numFmtId="0" fontId="0" fillId="0" borderId="14" xfId="0" applyBorder="1"/>
    <xf numFmtId="164" fontId="0" fillId="0" borderId="14" xfId="1" applyNumberFormat="1" applyFont="1" applyBorder="1" applyAlignment="1"/>
    <xf numFmtId="164" fontId="0" fillId="0" borderId="14" xfId="1" applyNumberFormat="1" applyFont="1" applyFill="1" applyBorder="1" applyAlignment="1"/>
    <xf numFmtId="43" fontId="0" fillId="0" borderId="14" xfId="1" applyFont="1" applyBorder="1"/>
    <xf numFmtId="164" fontId="0" fillId="0" borderId="14" xfId="1" applyNumberFormat="1" applyFont="1" applyBorder="1"/>
    <xf numFmtId="164" fontId="0" fillId="0" borderId="64" xfId="1" applyNumberFormat="1" applyFont="1" applyBorder="1"/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6" xfId="0" applyBorder="1"/>
    <xf numFmtId="164" fontId="0" fillId="0" borderId="13" xfId="1" applyNumberFormat="1" applyFont="1" applyBorder="1"/>
    <xf numFmtId="0" fontId="0" fillId="0" borderId="67" xfId="0" applyBorder="1"/>
    <xf numFmtId="174" fontId="0" fillId="0" borderId="14" xfId="0" applyNumberFormat="1" applyBorder="1"/>
    <xf numFmtId="0" fontId="0" fillId="0" borderId="0" xfId="0" applyFill="1" applyBorder="1"/>
    <xf numFmtId="0" fontId="2" fillId="0" borderId="65" xfId="0" applyFont="1" applyBorder="1"/>
    <xf numFmtId="0" fontId="0" fillId="0" borderId="63" xfId="0" applyBorder="1"/>
    <xf numFmtId="164" fontId="0" fillId="0" borderId="21" xfId="1" applyNumberFormat="1" applyFont="1" applyBorder="1" applyAlignment="1">
      <alignment horizontal="center"/>
    </xf>
    <xf numFmtId="0" fontId="0" fillId="0" borderId="67" xfId="0" applyBorder="1" applyAlignment="1">
      <alignment horizontal="center"/>
    </xf>
    <xf numFmtId="164" fontId="0" fillId="0" borderId="64" xfId="1" applyNumberFormat="1" applyFont="1" applyBorder="1" applyAlignment="1">
      <alignment horizontal="center"/>
    </xf>
    <xf numFmtId="0" fontId="0" fillId="0" borderId="64" xfId="0" applyBorder="1"/>
    <xf numFmtId="0" fontId="0" fillId="0" borderId="21" xfId="0" applyBorder="1"/>
    <xf numFmtId="164" fontId="0" fillId="0" borderId="64" xfId="1" applyNumberFormat="1" applyFont="1" applyBorder="1" applyAlignment="1"/>
    <xf numFmtId="164" fontId="14" fillId="0" borderId="64" xfId="1" applyNumberFormat="1" applyFont="1" applyBorder="1" applyAlignment="1"/>
    <xf numFmtId="164" fontId="0" fillId="0" borderId="64" xfId="1" applyNumberFormat="1" applyFont="1" applyBorder="1" applyAlignment="1">
      <alignment horizontal="right"/>
    </xf>
    <xf numFmtId="164" fontId="0" fillId="0" borderId="64" xfId="0" applyNumberFormat="1" applyBorder="1"/>
    <xf numFmtId="0" fontId="0" fillId="0" borderId="65" xfId="0" applyBorder="1"/>
    <xf numFmtId="164" fontId="0" fillId="0" borderId="21" xfId="1" applyNumberFormat="1" applyFont="1" applyBorder="1" applyAlignment="1"/>
    <xf numFmtId="43" fontId="0" fillId="0" borderId="21" xfId="0" applyNumberFormat="1" applyBorder="1"/>
    <xf numFmtId="0" fontId="2" fillId="0" borderId="66" xfId="0" applyFont="1" applyBorder="1"/>
    <xf numFmtId="0" fontId="2" fillId="0" borderId="0" xfId="0" applyFont="1" applyBorder="1"/>
    <xf numFmtId="164" fontId="2" fillId="0" borderId="4" xfId="1" applyNumberFormat="1" applyFont="1" applyBorder="1"/>
    <xf numFmtId="0" fontId="11" fillId="0" borderId="26" xfId="0" applyFont="1" applyBorder="1"/>
    <xf numFmtId="43" fontId="11" fillId="0" borderId="26" xfId="0" applyNumberFormat="1" applyFont="1" applyBorder="1"/>
    <xf numFmtId="164" fontId="11" fillId="0" borderId="26" xfId="0" applyNumberFormat="1" applyFont="1" applyBorder="1"/>
    <xf numFmtId="43" fontId="11" fillId="0" borderId="68" xfId="0" applyNumberFormat="1" applyFont="1" applyBorder="1"/>
    <xf numFmtId="0" fontId="11" fillId="0" borderId="67" xfId="0" applyFont="1" applyBorder="1"/>
    <xf numFmtId="0" fontId="11" fillId="0" borderId="66" xfId="0" applyFont="1" applyBorder="1"/>
    <xf numFmtId="0" fontId="11" fillId="0" borderId="0" xfId="0" applyFont="1" applyBorder="1"/>
    <xf numFmtId="164" fontId="11" fillId="0" borderId="13" xfId="0" applyNumberFormat="1" applyFont="1" applyBorder="1"/>
    <xf numFmtId="164" fontId="11" fillId="0" borderId="13" xfId="1" applyNumberFormat="1" applyFont="1" applyBorder="1"/>
    <xf numFmtId="0" fontId="0" fillId="0" borderId="6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11" fillId="0" borderId="14" xfId="0" applyFont="1" applyBorder="1"/>
    <xf numFmtId="164" fontId="0" fillId="0" borderId="14" xfId="1" applyNumberFormat="1" applyFont="1" applyFill="1" applyBorder="1"/>
    <xf numFmtId="164" fontId="11" fillId="0" borderId="3" xfId="1" applyNumberFormat="1" applyFont="1" applyBorder="1"/>
    <xf numFmtId="164" fontId="11" fillId="0" borderId="2" xfId="1" applyNumberFormat="1" applyFont="1" applyBorder="1"/>
    <xf numFmtId="164" fontId="0" fillId="0" borderId="14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0" xfId="1" applyNumberFormat="1" applyFont="1" applyFill="1" applyBorder="1"/>
    <xf numFmtId="44" fontId="0" fillId="0" borderId="0" xfId="5" applyFont="1"/>
    <xf numFmtId="0" fontId="0" fillId="0" borderId="0" xfId="0" applyFont="1" applyFill="1" applyBorder="1"/>
    <xf numFmtId="0" fontId="0" fillId="0" borderId="66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164" fontId="0" fillId="0" borderId="14" xfId="1" applyNumberFormat="1" applyFont="1" applyFill="1" applyBorder="1" applyAlignment="1">
      <alignment horizontal="right"/>
    </xf>
    <xf numFmtId="0" fontId="14" fillId="0" borderId="0" xfId="0" applyFont="1" applyBorder="1"/>
    <xf numFmtId="164" fontId="14" fillId="0" borderId="14" xfId="1" applyNumberFormat="1" applyFont="1" applyFill="1" applyBorder="1"/>
    <xf numFmtId="0" fontId="0" fillId="0" borderId="67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0" xfId="0" applyAlignment="1">
      <alignment vertical="center" wrapText="1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165" fontId="14" fillId="0" borderId="0" xfId="0" applyNumberFormat="1" applyFont="1"/>
    <xf numFmtId="43" fontId="14" fillId="0" borderId="0" xfId="0" applyNumberFormat="1" applyFont="1"/>
    <xf numFmtId="0" fontId="0" fillId="0" borderId="73" xfId="0" applyBorder="1"/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5" xfId="0" applyBorder="1" applyAlignment="1">
      <alignment horizontal="center" wrapText="1"/>
    </xf>
    <xf numFmtId="0" fontId="0" fillId="0" borderId="0" xfId="0" quotePrefix="1" applyBorder="1" applyAlignment="1">
      <alignment horizontal="left" indent="10"/>
    </xf>
    <xf numFmtId="164" fontId="0" fillId="0" borderId="21" xfId="1" applyNumberFormat="1" applyFont="1" applyBorder="1"/>
    <xf numFmtId="0" fontId="12" fillId="0" borderId="2" xfId="0" applyFont="1" applyBorder="1" applyAlignment="1">
      <alignment horizontal="center" wrapText="1"/>
    </xf>
    <xf numFmtId="0" fontId="0" fillId="3" borderId="66" xfId="0" applyFill="1" applyBorder="1" applyAlignment="1">
      <alignment horizontal="center"/>
    </xf>
    <xf numFmtId="0" fontId="0" fillId="3" borderId="66" xfId="0" applyFill="1" applyBorder="1" applyAlignment="1">
      <alignment horizontal="center" vertical="center"/>
    </xf>
    <xf numFmtId="164" fontId="0" fillId="0" borderId="14" xfId="1" applyNumberFormat="1" applyFont="1" applyFill="1" applyBorder="1" applyAlignment="1">
      <alignment vertical="center"/>
    </xf>
    <xf numFmtId="43" fontId="0" fillId="0" borderId="14" xfId="1" applyFont="1" applyFill="1" applyBorder="1"/>
    <xf numFmtId="172" fontId="0" fillId="0" borderId="0" xfId="0" applyNumberFormat="1" applyFill="1"/>
    <xf numFmtId="0" fontId="11" fillId="0" borderId="0" xfId="0" applyFont="1" applyFill="1" applyAlignment="1">
      <alignment horizontal="center"/>
    </xf>
    <xf numFmtId="164" fontId="0" fillId="0" borderId="14" xfId="0" applyNumberFormat="1" applyFill="1" applyBorder="1"/>
    <xf numFmtId="164" fontId="0" fillId="20" borderId="14" xfId="1" applyNumberFormat="1" applyFont="1" applyFill="1" applyBorder="1" applyAlignment="1">
      <alignment horizontal="right"/>
    </xf>
    <xf numFmtId="164" fontId="0" fillId="20" borderId="14" xfId="1" applyNumberFormat="1" applyFont="1" applyFill="1" applyBorder="1" applyAlignment="1"/>
    <xf numFmtId="164" fontId="0" fillId="20" borderId="14" xfId="1" applyNumberFormat="1" applyFont="1" applyFill="1" applyBorder="1" applyAlignment="1">
      <alignment vertical="center"/>
    </xf>
    <xf numFmtId="164" fontId="0" fillId="20" borderId="14" xfId="1" applyNumberFormat="1" applyFont="1" applyFill="1" applyBorder="1" applyAlignment="1">
      <alignment horizontal="center"/>
    </xf>
    <xf numFmtId="164" fontId="0" fillId="0" borderId="64" xfId="1" applyNumberFormat="1" applyFont="1" applyFill="1" applyBorder="1" applyAlignment="1">
      <alignment horizontal="center"/>
    </xf>
    <xf numFmtId="164" fontId="0" fillId="0" borderId="21" xfId="1" applyNumberFormat="1" applyFont="1" applyFill="1" applyBorder="1" applyAlignment="1">
      <alignment horizontal="center"/>
    </xf>
    <xf numFmtId="164" fontId="0" fillId="20" borderId="14" xfId="1" applyNumberFormat="1" applyFont="1" applyFill="1" applyBorder="1"/>
    <xf numFmtId="0" fontId="2" fillId="0" borderId="66" xfId="0" applyFont="1" applyFill="1" applyBorder="1"/>
    <xf numFmtId="3" fontId="0" fillId="20" borderId="66" xfId="0" applyNumberFormat="1" applyFill="1" applyBorder="1" applyAlignment="1">
      <alignment horizontal="center"/>
    </xf>
    <xf numFmtId="0" fontId="0" fillId="20" borderId="14" xfId="0" applyFill="1" applyBorder="1" applyAlignment="1">
      <alignment horizontal="center"/>
    </xf>
    <xf numFmtId="43" fontId="0" fillId="0" borderId="14" xfId="1" applyFont="1" applyFill="1" applyBorder="1" applyAlignment="1">
      <alignment vertical="center"/>
    </xf>
    <xf numFmtId="164" fontId="0" fillId="0" borderId="14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2" fillId="0" borderId="2" xfId="1" applyNumberFormat="1" applyFont="1" applyBorder="1"/>
    <xf numFmtId="164" fontId="38" fillId="0" borderId="3" xfId="1" applyNumberFormat="1" applyFont="1" applyBorder="1"/>
    <xf numFmtId="164" fontId="38" fillId="0" borderId="2" xfId="1" applyNumberFormat="1" applyFont="1" applyBorder="1"/>
    <xf numFmtId="164" fontId="38" fillId="0" borderId="13" xfId="1" applyNumberFormat="1" applyFont="1" applyBorder="1"/>
    <xf numFmtId="164" fontId="38" fillId="0" borderId="0" xfId="1" applyNumberFormat="1" applyFont="1" applyBorder="1"/>
    <xf numFmtId="164" fontId="38" fillId="0" borderId="13" xfId="0" applyNumberFormat="1" applyFont="1" applyBorder="1"/>
    <xf numFmtId="44" fontId="12" fillId="0" borderId="76" xfId="0" applyNumberFormat="1" applyFont="1" applyBorder="1"/>
    <xf numFmtId="0" fontId="0" fillId="0" borderId="77" xfId="0" applyBorder="1"/>
    <xf numFmtId="164" fontId="0" fillId="3" borderId="77" xfId="1" applyNumberFormat="1" applyFont="1" applyFill="1" applyBorder="1"/>
    <xf numFmtId="0" fontId="0" fillId="20" borderId="77" xfId="0" applyFill="1" applyBorder="1"/>
    <xf numFmtId="43" fontId="0" fillId="0" borderId="77" xfId="0" applyNumberFormat="1" applyBorder="1"/>
    <xf numFmtId="164" fontId="0" fillId="20" borderId="77" xfId="1" applyNumberFormat="1" applyFont="1" applyFill="1" applyBorder="1"/>
    <xf numFmtId="164" fontId="0" fillId="0" borderId="77" xfId="1" applyNumberFormat="1" applyFont="1" applyFill="1" applyBorder="1"/>
    <xf numFmtId="0" fontId="0" fillId="0" borderId="0" xfId="0" applyAlignment="1">
      <alignment horizontal="center"/>
    </xf>
    <xf numFmtId="165" fontId="39" fillId="0" borderId="0" xfId="0" applyNumberFormat="1" applyFont="1" applyFill="1"/>
    <xf numFmtId="165" fontId="0" fillId="0" borderId="77" xfId="0" applyNumberFormat="1" applyBorder="1"/>
    <xf numFmtId="0" fontId="0" fillId="0" borderId="3" xfId="0" applyBorder="1" applyAlignment="1">
      <alignment horizontal="center"/>
    </xf>
    <xf numFmtId="165" fontId="14" fillId="0" borderId="0" xfId="0" applyNumberFormat="1" applyFont="1" applyFill="1"/>
    <xf numFmtId="44" fontId="0" fillId="0" borderId="0" xfId="5" applyFont="1" applyFill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164" fontId="14" fillId="0" borderId="64" xfId="1" applyNumberFormat="1" applyFont="1" applyFill="1" applyBorder="1"/>
    <xf numFmtId="164" fontId="11" fillId="0" borderId="68" xfId="0" applyNumberFormat="1" applyFont="1" applyBorder="1"/>
    <xf numFmtId="9" fontId="0" fillId="0" borderId="0" xfId="2" applyNumberFormat="1" applyFont="1"/>
    <xf numFmtId="0" fontId="0" fillId="0" borderId="3" xfId="0" applyBorder="1" applyAlignment="1">
      <alignment horizontal="center"/>
    </xf>
    <xf numFmtId="43" fontId="0" fillId="0" borderId="0" xfId="0" applyNumberFormat="1" applyFill="1"/>
    <xf numFmtId="165" fontId="0" fillId="0" borderId="0" xfId="0" applyNumberFormat="1" applyFill="1"/>
    <xf numFmtId="0" fontId="14" fillId="0" borderId="0" xfId="0" applyFont="1" applyBorder="1" applyAlignment="1">
      <alignment horizontal="left" indent="11"/>
    </xf>
    <xf numFmtId="9" fontId="1" fillId="0" borderId="0" xfId="2" applyFont="1"/>
    <xf numFmtId="0" fontId="1" fillId="0" borderId="0" xfId="0" applyFont="1"/>
    <xf numFmtId="0" fontId="0" fillId="0" borderId="14" xfId="0" applyBorder="1" applyAlignment="1">
      <alignment horizontal="center" wrapText="1"/>
    </xf>
    <xf numFmtId="164" fontId="0" fillId="0" borderId="64" xfId="1" applyNumberFormat="1" applyFont="1" applyFill="1" applyBorder="1"/>
    <xf numFmtId="43" fontId="2" fillId="0" borderId="0" xfId="1" applyFont="1"/>
    <xf numFmtId="164" fontId="0" fillId="0" borderId="75" xfId="1" applyNumberFormat="1" applyFont="1" applyBorder="1" applyAlignment="1">
      <alignment horizontal="center"/>
    </xf>
    <xf numFmtId="164" fontId="0" fillId="0" borderId="75" xfId="1" applyNumberFormat="1" applyFont="1" applyBorder="1" applyAlignment="1"/>
    <xf numFmtId="43" fontId="0" fillId="20" borderId="14" xfId="1" applyFont="1" applyFill="1" applyBorder="1"/>
    <xf numFmtId="43" fontId="0" fillId="20" borderId="14" xfId="1" applyFont="1" applyFill="1" applyBorder="1" applyAlignment="1">
      <alignment vertical="center"/>
    </xf>
    <xf numFmtId="44" fontId="0" fillId="0" borderId="0" xfId="5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0" fillId="0" borderId="0" xfId="0" applyFont="1"/>
    <xf numFmtId="0" fontId="42" fillId="0" borderId="0" xfId="0" applyFont="1"/>
    <xf numFmtId="0" fontId="14" fillId="0" borderId="0" xfId="0" applyFont="1" applyBorder="1" applyAlignment="1"/>
    <xf numFmtId="0" fontId="11" fillId="0" borderId="2" xfId="0" applyFont="1" applyBorder="1" applyAlignment="1">
      <alignment horizontal="center"/>
    </xf>
    <xf numFmtId="8" fontId="0" fillId="0" borderId="2" xfId="0" applyNumberFormat="1" applyFill="1" applyBorder="1"/>
    <xf numFmtId="43" fontId="0" fillId="0" borderId="2" xfId="1" applyFont="1" applyBorder="1"/>
    <xf numFmtId="8" fontId="0" fillId="0" borderId="2" xfId="0" applyNumberFormat="1" applyBorder="1"/>
    <xf numFmtId="0" fontId="0" fillId="0" borderId="2" xfId="0" applyFill="1" applyBorder="1"/>
    <xf numFmtId="0" fontId="0" fillId="0" borderId="2" xfId="0" applyFont="1" applyBorder="1"/>
    <xf numFmtId="0" fontId="0" fillId="0" borderId="2" xfId="0" quotePrefix="1" applyBorder="1"/>
    <xf numFmtId="164" fontId="0" fillId="0" borderId="2" xfId="1" applyNumberFormat="1" applyFont="1" applyBorder="1"/>
    <xf numFmtId="0" fontId="0" fillId="0" borderId="0" xfId="0" quotePrefix="1" applyBorder="1" applyAlignment="1"/>
    <xf numFmtId="0" fontId="0" fillId="5" borderId="75" xfId="0" applyFill="1" applyBorder="1"/>
    <xf numFmtId="0" fontId="0" fillId="5" borderId="64" xfId="0" applyFill="1" applyBorder="1" applyAlignment="1">
      <alignment horizontal="center"/>
    </xf>
    <xf numFmtId="0" fontId="0" fillId="5" borderId="73" xfId="0" applyFill="1" applyBorder="1" applyAlignment="1">
      <alignment horizontal="center"/>
    </xf>
    <xf numFmtId="0" fontId="0" fillId="5" borderId="73" xfId="0" applyFill="1" applyBorder="1"/>
    <xf numFmtId="0" fontId="1" fillId="5" borderId="78" xfId="2" applyNumberFormat="1" applyFont="1" applyFill="1" applyBorder="1"/>
    <xf numFmtId="0" fontId="0" fillId="5" borderId="26" xfId="0" applyFill="1" applyBorder="1" applyAlignment="1">
      <alignment horizontal="center"/>
    </xf>
    <xf numFmtId="0" fontId="0" fillId="5" borderId="68" xfId="0" applyFill="1" applyBorder="1" applyAlignment="1">
      <alignment horizontal="center"/>
    </xf>
    <xf numFmtId="0" fontId="0" fillId="5" borderId="75" xfId="0" applyFill="1" applyBorder="1" applyAlignment="1">
      <alignment horizontal="center"/>
    </xf>
    <xf numFmtId="9" fontId="40" fillId="5" borderId="78" xfId="2" applyFont="1" applyFill="1" applyBorder="1"/>
    <xf numFmtId="172" fontId="0" fillId="0" borderId="0" xfId="0" applyNumberFormat="1" applyFill="1" applyBorder="1"/>
    <xf numFmtId="0" fontId="11" fillId="0" borderId="0" xfId="0" applyFont="1" applyFill="1" applyBorder="1" applyAlignment="1">
      <alignment horizontal="center"/>
    </xf>
    <xf numFmtId="174" fontId="0" fillId="0" borderId="0" xfId="0" applyNumberFormat="1" applyFill="1" applyBorder="1"/>
    <xf numFmtId="0" fontId="5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/>
    </xf>
    <xf numFmtId="43" fontId="0" fillId="0" borderId="0" xfId="1" applyFont="1" applyFill="1"/>
    <xf numFmtId="0" fontId="0" fillId="0" borderId="0" xfId="0" applyFont="1" applyAlignment="1">
      <alignment horizontal="center" vertical="center" wrapText="1"/>
    </xf>
    <xf numFmtId="0" fontId="0" fillId="5" borderId="13" xfId="0" applyFill="1" applyBorder="1" applyAlignment="1">
      <alignment horizontal="center"/>
    </xf>
    <xf numFmtId="0" fontId="0" fillId="0" borderId="2" xfId="0" quotePrefix="1" applyBorder="1" applyAlignment="1">
      <alignment horizontal="right" indent="1"/>
    </xf>
    <xf numFmtId="0" fontId="0" fillId="0" borderId="2" xfId="0" quotePrefix="1" applyBorder="1" applyAlignment="1">
      <alignment horizontal="right" indent="2"/>
    </xf>
    <xf numFmtId="0" fontId="0" fillId="0" borderId="2" xfId="0" applyBorder="1" applyAlignment="1">
      <alignment horizontal="center" vertical="center"/>
    </xf>
    <xf numFmtId="169" fontId="0" fillId="0" borderId="0" xfId="0" applyNumberFormat="1" applyFill="1"/>
    <xf numFmtId="9" fontId="0" fillId="0" borderId="0" xfId="2" applyFont="1" applyFill="1"/>
    <xf numFmtId="0" fontId="14" fillId="0" borderId="2" xfId="0" applyFont="1" applyBorder="1" applyAlignment="1">
      <alignment horizontal="center" vertical="center"/>
    </xf>
    <xf numFmtId="0" fontId="0" fillId="0" borderId="2" xfId="0" quotePrefix="1" applyFill="1" applyBorder="1" applyAlignment="1">
      <alignment horizontal="right" indent="11"/>
    </xf>
    <xf numFmtId="0" fontId="0" fillId="0" borderId="2" xfId="0" applyBorder="1" applyAlignment="1">
      <alignment vertical="center" wrapText="1"/>
    </xf>
    <xf numFmtId="0" fontId="0" fillId="0" borderId="2" xfId="0" quotePrefix="1" applyBorder="1" applyAlignment="1">
      <alignment horizontal="right" indent="11"/>
    </xf>
    <xf numFmtId="164" fontId="0" fillId="0" borderId="2" xfId="1" applyNumberFormat="1" applyFont="1" applyFill="1" applyBorder="1"/>
    <xf numFmtId="0" fontId="0" fillId="20" borderId="0" xfId="0" applyFill="1"/>
    <xf numFmtId="0" fontId="0" fillId="20" borderId="1" xfId="0" applyFill="1" applyBorder="1"/>
    <xf numFmtId="0" fontId="0" fillId="0" borderId="0" xfId="0" applyNumberFormat="1"/>
    <xf numFmtId="9" fontId="0" fillId="0" borderId="0" xfId="0" applyNumberFormat="1" applyFill="1"/>
    <xf numFmtId="0" fontId="0" fillId="5" borderId="0" xfId="0" applyFill="1" applyAlignment="1">
      <alignment horizontal="left" indent="2"/>
    </xf>
    <xf numFmtId="0" fontId="21" fillId="5" borderId="0" xfId="6" applyFill="1" applyAlignment="1">
      <alignment horizontal="left" indent="2"/>
    </xf>
    <xf numFmtId="0" fontId="22" fillId="0" borderId="0" xfId="0" applyFont="1"/>
    <xf numFmtId="0" fontId="22" fillId="5" borderId="0" xfId="0" applyFont="1" applyFill="1" applyBorder="1"/>
    <xf numFmtId="0" fontId="12" fillId="5" borderId="0" xfId="0" applyFont="1" applyFill="1"/>
    <xf numFmtId="0" fontId="0" fillId="21" borderId="0" xfId="0" applyFill="1" applyAlignment="1">
      <alignment horizontal="center"/>
    </xf>
    <xf numFmtId="9" fontId="0" fillId="21" borderId="0" xfId="2" applyFont="1" applyFill="1"/>
    <xf numFmtId="9" fontId="0" fillId="21" borderId="0" xfId="0" applyNumberFormat="1" applyFill="1"/>
    <xf numFmtId="164" fontId="0" fillId="0" borderId="0" xfId="0" applyNumberFormat="1" applyFill="1" applyBorder="1"/>
    <xf numFmtId="43" fontId="0" fillId="0" borderId="0" xfId="0" applyNumberFormat="1" applyFill="1" applyBorder="1"/>
    <xf numFmtId="0" fontId="0" fillId="0" borderId="2" xfId="0" applyFill="1" applyBorder="1" applyAlignment="1">
      <alignment wrapText="1"/>
    </xf>
    <xf numFmtId="0" fontId="8" fillId="0" borderId="0" xfId="0" applyFont="1" applyFill="1"/>
    <xf numFmtId="0" fontId="8" fillId="0" borderId="0" xfId="0" applyFont="1" applyFill="1" applyAlignment="1"/>
    <xf numFmtId="0" fontId="8" fillId="0" borderId="0" xfId="0" applyFont="1" applyBorder="1"/>
    <xf numFmtId="0" fontId="43" fillId="0" borderId="0" xfId="0" applyFont="1" applyBorder="1"/>
    <xf numFmtId="0" fontId="14" fillId="8" borderId="0" xfId="0" applyFont="1" applyFill="1" applyBorder="1"/>
    <xf numFmtId="164" fontId="38" fillId="0" borderId="14" xfId="1" applyNumberFormat="1" applyFont="1" applyFill="1" applyBorder="1"/>
    <xf numFmtId="0" fontId="38" fillId="3" borderId="66" xfId="0" applyFont="1" applyFill="1" applyBorder="1" applyAlignment="1">
      <alignment horizontal="center"/>
    </xf>
    <xf numFmtId="0" fontId="38" fillId="0" borderId="14" xfId="0" applyFont="1" applyBorder="1" applyAlignment="1">
      <alignment horizontal="center"/>
    </xf>
    <xf numFmtId="179" fontId="38" fillId="0" borderId="14" xfId="1" applyNumberFormat="1" applyFont="1" applyBorder="1"/>
    <xf numFmtId="179" fontId="38" fillId="20" borderId="14" xfId="1" applyNumberFormat="1" applyFont="1" applyFill="1" applyBorder="1"/>
    <xf numFmtId="179" fontId="11" fillId="0" borderId="14" xfId="1" applyNumberFormat="1" applyFont="1" applyBorder="1" applyAlignment="1"/>
    <xf numFmtId="179" fontId="11" fillId="20" borderId="14" xfId="1" applyNumberFormat="1" applyFont="1" applyFill="1" applyBorder="1" applyAlignment="1"/>
    <xf numFmtId="0" fontId="14" fillId="0" borderId="0" xfId="0" applyFont="1" applyFill="1" applyBorder="1" applyAlignment="1"/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0" fontId="0" fillId="3" borderId="0" xfId="0" applyFill="1"/>
    <xf numFmtId="168" fontId="0" fillId="3" borderId="1" xfId="0" applyNumberFormat="1" applyFill="1" applyBorder="1"/>
    <xf numFmtId="0" fontId="0" fillId="0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0" fillId="3" borderId="14" xfId="1" applyNumberFormat="1" applyFont="1" applyFill="1" applyBorder="1"/>
    <xf numFmtId="0" fontId="44" fillId="0" borderId="66" xfId="0" applyFont="1" applyBorder="1"/>
    <xf numFmtId="175" fontId="0" fillId="3" borderId="14" xfId="1" applyNumberFormat="1" applyFont="1" applyFill="1" applyBorder="1"/>
    <xf numFmtId="9" fontId="0" fillId="3" borderId="0" xfId="2" applyFont="1" applyFill="1"/>
    <xf numFmtId="14" fontId="0" fillId="3" borderId="0" xfId="0" applyNumberFormat="1" applyFill="1"/>
    <xf numFmtId="164" fontId="0" fillId="3" borderId="0" xfId="1" applyNumberFormat="1" applyFont="1" applyFill="1"/>
    <xf numFmtId="164" fontId="0" fillId="3" borderId="14" xfId="1" applyNumberFormat="1" applyFont="1" applyFill="1" applyBorder="1" applyAlignment="1">
      <alignment horizontal="right"/>
    </xf>
    <xf numFmtId="9" fontId="0" fillId="0" borderId="0" xfId="2" applyNumberFormat="1" applyFont="1" applyFill="1"/>
    <xf numFmtId="3" fontId="0" fillId="3" borderId="0" xfId="0" applyNumberFormat="1" applyFill="1"/>
    <xf numFmtId="3" fontId="0" fillId="0" borderId="0" xfId="0" applyNumberFormat="1"/>
    <xf numFmtId="0" fontId="0" fillId="21" borderId="0" xfId="0" applyFill="1"/>
    <xf numFmtId="9" fontId="0" fillId="0" borderId="26" xfId="2" applyNumberFormat="1" applyFont="1" applyBorder="1"/>
    <xf numFmtId="6" fontId="0" fillId="0" borderId="0" xfId="0" applyNumberFormat="1" applyAlignment="1">
      <alignment horizontal="center"/>
    </xf>
    <xf numFmtId="0" fontId="45" fillId="0" borderId="0" xfId="0" applyFont="1"/>
    <xf numFmtId="0" fontId="14" fillId="23" borderId="66" xfId="0" applyFont="1" applyFill="1" applyBorder="1" applyAlignment="1">
      <alignment horizontal="center"/>
    </xf>
    <xf numFmtId="174" fontId="0" fillId="23" borderId="66" xfId="0" applyNumberFormat="1" applyFill="1" applyBorder="1" applyAlignment="1">
      <alignment horizontal="center"/>
    </xf>
    <xf numFmtId="1" fontId="0" fillId="23" borderId="66" xfId="0" applyNumberForma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1" applyNumberFormat="1" applyFont="1" applyFill="1" applyAlignment="1"/>
    <xf numFmtId="164" fontId="14" fillId="0" borderId="0" xfId="1" applyNumberFormat="1" applyFont="1" applyFill="1" applyAlignment="1"/>
    <xf numFmtId="164" fontId="14" fillId="0" borderId="0" xfId="1" applyNumberFormat="1" applyFont="1"/>
    <xf numFmtId="174" fontId="0" fillId="3" borderId="66" xfId="0" applyNumberFormat="1" applyFill="1" applyBorder="1" applyAlignment="1">
      <alignment horizontal="center"/>
    </xf>
    <xf numFmtId="1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Fill="1"/>
    <xf numFmtId="14" fontId="0" fillId="24" borderId="0" xfId="1" applyNumberFormat="1" applyFont="1" applyFill="1"/>
    <xf numFmtId="164" fontId="11" fillId="0" borderId="0" xfId="1" applyNumberFormat="1" applyFont="1" applyFill="1" applyBorder="1"/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43" fontId="0" fillId="0" borderId="0" xfId="0" applyNumberFormat="1" applyFont="1" applyFill="1"/>
    <xf numFmtId="169" fontId="0" fillId="0" borderId="0" xfId="0" applyNumberFormat="1" applyFont="1" applyFill="1"/>
    <xf numFmtId="169" fontId="0" fillId="0" borderId="73" xfId="1" applyNumberFormat="1" applyFont="1" applyBorder="1"/>
    <xf numFmtId="0" fontId="0" fillId="25" borderId="0" xfId="0" applyFill="1"/>
    <xf numFmtId="0" fontId="0" fillId="25" borderId="0" xfId="0" applyFill="1" applyAlignment="1">
      <alignment horizontal="center"/>
    </xf>
    <xf numFmtId="169" fontId="0" fillId="25" borderId="0" xfId="1" applyNumberFormat="1" applyFont="1" applyFill="1"/>
    <xf numFmtId="169" fontId="11" fillId="25" borderId="0" xfId="0" applyNumberFormat="1" applyFont="1" applyFill="1"/>
    <xf numFmtId="0" fontId="0" fillId="25" borderId="0" xfId="0" applyFont="1" applyFill="1" applyBorder="1" applyAlignment="1">
      <alignment vertical="center"/>
    </xf>
    <xf numFmtId="169" fontId="0" fillId="25" borderId="0" xfId="0" applyNumberFormat="1" applyFont="1" applyFill="1"/>
    <xf numFmtId="169" fontId="0" fillId="25" borderId="26" xfId="0" applyNumberFormat="1" applyFont="1" applyFill="1" applyBorder="1"/>
    <xf numFmtId="0" fontId="2" fillId="25" borderId="0" xfId="0" applyFont="1" applyFill="1"/>
    <xf numFmtId="169" fontId="0" fillId="25" borderId="26" xfId="0" applyNumberFormat="1" applyFill="1" applyBorder="1"/>
    <xf numFmtId="169" fontId="0" fillId="25" borderId="0" xfId="0" applyNumberFormat="1" applyFill="1"/>
    <xf numFmtId="169" fontId="0" fillId="25" borderId="26" xfId="1" applyNumberFormat="1" applyFont="1" applyFill="1" applyBorder="1"/>
    <xf numFmtId="169" fontId="0" fillId="22" borderId="0" xfId="1" applyNumberFormat="1" applyFont="1" applyFill="1"/>
    <xf numFmtId="170" fontId="1" fillId="0" borderId="0" xfId="2" applyNumberFormat="1" applyFont="1" applyFill="1" applyBorder="1"/>
    <xf numFmtId="0" fontId="11" fillId="25" borderId="0" xfId="0" applyFont="1" applyFill="1"/>
    <xf numFmtId="169" fontId="0" fillId="25" borderId="1" xfId="1" applyNumberFormat="1" applyFont="1" applyFill="1" applyBorder="1"/>
    <xf numFmtId="169" fontId="0" fillId="25" borderId="1" xfId="0" applyNumberFormat="1" applyFill="1" applyBorder="1"/>
    <xf numFmtId="169" fontId="0" fillId="25" borderId="27" xfId="0" applyNumberFormat="1" applyFill="1" applyBorder="1"/>
    <xf numFmtId="169" fontId="11" fillId="0" borderId="0" xfId="0" applyNumberFormat="1" applyFont="1" applyFill="1"/>
    <xf numFmtId="169" fontId="0" fillId="0" borderId="1" xfId="1" applyNumberFormat="1" applyFont="1" applyFill="1" applyBorder="1"/>
    <xf numFmtId="169" fontId="0" fillId="0" borderId="1" xfId="0" applyNumberFormat="1" applyFill="1" applyBorder="1"/>
    <xf numFmtId="169" fontId="0" fillId="0" borderId="27" xfId="0" applyNumberFormat="1" applyFill="1" applyBorder="1"/>
    <xf numFmtId="0" fontId="11" fillId="0" borderId="0" xfId="0" quotePrefix="1" applyFont="1" applyFill="1"/>
    <xf numFmtId="0" fontId="7" fillId="0" borderId="0" xfId="0" applyFont="1" applyFill="1"/>
    <xf numFmtId="164" fontId="0" fillId="0" borderId="1" xfId="0" applyNumberFormat="1" applyFont="1" applyBorder="1"/>
    <xf numFmtId="0" fontId="14" fillId="0" borderId="0" xfId="0" applyFont="1"/>
    <xf numFmtId="0" fontId="14" fillId="0" borderId="0" xfId="0" applyFont="1" applyFill="1" applyAlignment="1">
      <alignment horizontal="left" indent="1"/>
    </xf>
    <xf numFmtId="0" fontId="0" fillId="25" borderId="79" xfId="0" applyFill="1" applyBorder="1"/>
    <xf numFmtId="164" fontId="0" fillId="0" borderId="2" xfId="1" applyNumberFormat="1" applyFont="1" applyFill="1" applyBorder="1" applyAlignment="1">
      <alignment vertical="center"/>
    </xf>
    <xf numFmtId="43" fontId="11" fillId="0" borderId="0" xfId="1" applyNumberFormat="1" applyFont="1" applyFill="1"/>
    <xf numFmtId="164" fontId="11" fillId="0" borderId="0" xfId="1" applyNumberFormat="1" applyFont="1" applyFill="1"/>
    <xf numFmtId="0" fontId="2" fillId="0" borderId="2" xfId="0" applyFont="1" applyBorder="1" applyAlignment="1">
      <alignment horizontal="center"/>
    </xf>
    <xf numFmtId="43" fontId="2" fillId="0" borderId="2" xfId="0" applyNumberFormat="1" applyFont="1" applyBorder="1"/>
    <xf numFmtId="43" fontId="0" fillId="0" borderId="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left"/>
    </xf>
    <xf numFmtId="3" fontId="0" fillId="0" borderId="0" xfId="0" applyNumberFormat="1" applyFill="1"/>
    <xf numFmtId="0" fontId="0" fillId="0" borderId="0" xfId="0" quotePrefix="1" applyAlignment="1">
      <alignment horizontal="left" indent="1"/>
    </xf>
    <xf numFmtId="0" fontId="0" fillId="0" borderId="0" xfId="0" applyNumberForma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172" fontId="0" fillId="0" borderId="0" xfId="0" applyNumberFormat="1" applyFill="1" applyAlignment="1">
      <alignment horizontal="center"/>
    </xf>
    <xf numFmtId="0" fontId="0" fillId="0" borderId="66" xfId="0" applyNumberFormat="1" applyFill="1" applyBorder="1"/>
    <xf numFmtId="0" fontId="11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72" fontId="0" fillId="0" borderId="0" xfId="0" applyNumberFormat="1"/>
    <xf numFmtId="164" fontId="0" fillId="0" borderId="2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horizontal="right" vertical="center"/>
    </xf>
    <xf numFmtId="16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" fontId="0" fillId="3" borderId="66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3" borderId="66" xfId="0" applyNumberFormat="1" applyFill="1" applyBorder="1" applyAlignment="1">
      <alignment horizontal="center"/>
    </xf>
    <xf numFmtId="1" fontId="0" fillId="0" borderId="0" xfId="0" applyNumberFormat="1"/>
    <xf numFmtId="181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3" fontId="1" fillId="0" borderId="0" xfId="1" applyFont="1" applyFill="1"/>
    <xf numFmtId="0" fontId="42" fillId="0" borderId="0" xfId="0" applyNumberFormat="1" applyFont="1" applyFill="1" applyAlignment="1">
      <alignment horizontal="center"/>
    </xf>
    <xf numFmtId="0" fontId="42" fillId="0" borderId="0" xfId="0" applyFont="1" applyFill="1"/>
    <xf numFmtId="181" fontId="0" fillId="0" borderId="0" xfId="0" applyNumberFormat="1" applyFill="1"/>
    <xf numFmtId="0" fontId="0" fillId="0" borderId="0" xfId="0" applyFill="1" applyAlignment="1">
      <alignment horizontal="center" wrapText="1"/>
    </xf>
    <xf numFmtId="164" fontId="14" fillId="0" borderId="0" xfId="1" applyNumberFormat="1" applyFont="1" applyFill="1"/>
    <xf numFmtId="0" fontId="0" fillId="0" borderId="0" xfId="0" applyFill="1" applyBorder="1" applyAlignment="1">
      <alignment horizontal="center" wrapText="1"/>
    </xf>
    <xf numFmtId="0" fontId="8" fillId="0" borderId="0" xfId="0" applyFont="1" applyFill="1" applyBorder="1"/>
    <xf numFmtId="43" fontId="0" fillId="0" borderId="0" xfId="0" applyNumberFormat="1" applyFill="1" applyBorder="1" applyAlignment="1">
      <alignment horizontal="center"/>
    </xf>
    <xf numFmtId="164" fontId="0" fillId="0" borderId="0" xfId="1" applyNumberFormat="1" applyFont="1" applyFill="1" applyBorder="1" applyAlignment="1"/>
    <xf numFmtId="164" fontId="14" fillId="0" borderId="0" xfId="1" applyNumberFormat="1" applyFont="1" applyFill="1" applyBorder="1" applyAlignment="1"/>
    <xf numFmtId="164" fontId="0" fillId="0" borderId="0" xfId="0" applyNumberFormat="1" applyFill="1" applyBorder="1" applyAlignment="1">
      <alignment horizontal="center"/>
    </xf>
    <xf numFmtId="0" fontId="0" fillId="0" borderId="0" xfId="0" quotePrefix="1" applyFill="1" applyBorder="1"/>
    <xf numFmtId="164" fontId="2" fillId="0" borderId="0" xfId="0" applyNumberFormat="1" applyFont="1" applyFill="1" applyBorder="1"/>
    <xf numFmtId="43" fontId="2" fillId="0" borderId="0" xfId="0" applyNumberFormat="1" applyFont="1" applyFill="1" applyBorder="1"/>
    <xf numFmtId="43" fontId="0" fillId="0" borderId="0" xfId="1" applyFont="1" applyFill="1" applyBorder="1"/>
    <xf numFmtId="164" fontId="14" fillId="0" borderId="0" xfId="1" applyNumberFormat="1" applyFont="1" applyFill="1" applyBorder="1"/>
    <xf numFmtId="181" fontId="39" fillId="0" borderId="0" xfId="0" applyNumberFormat="1" applyFont="1" applyFill="1"/>
    <xf numFmtId="0" fontId="2" fillId="0" borderId="0" xfId="0" quotePrefix="1" applyFont="1" applyFill="1" applyBorder="1"/>
    <xf numFmtId="169" fontId="2" fillId="0" borderId="0" xfId="0" applyNumberFormat="1" applyFont="1" applyFill="1" applyBorder="1"/>
    <xf numFmtId="165" fontId="2" fillId="0" borderId="0" xfId="0" applyNumberFormat="1" applyFont="1" applyFill="1" applyBorder="1"/>
    <xf numFmtId="175" fontId="2" fillId="0" borderId="0" xfId="0" applyNumberFormat="1" applyFont="1" applyFill="1" applyBorder="1"/>
    <xf numFmtId="43" fontId="0" fillId="2" borderId="0" xfId="1" applyFont="1" applyFill="1"/>
    <xf numFmtId="164" fontId="0" fillId="2" borderId="77" xfId="1" applyNumberFormat="1" applyFont="1" applyFill="1" applyBorder="1"/>
    <xf numFmtId="164" fontId="0" fillId="2" borderId="0" xfId="0" applyNumberFormat="1" applyFill="1"/>
    <xf numFmtId="164" fontId="14" fillId="2" borderId="14" xfId="1" applyNumberFormat="1" applyFont="1" applyFill="1" applyBorder="1"/>
    <xf numFmtId="164" fontId="0" fillId="2" borderId="14" xfId="1" applyNumberFormat="1" applyFont="1" applyFill="1" applyBorder="1"/>
    <xf numFmtId="0" fontId="16" fillId="2" borderId="0" xfId="0" applyFont="1" applyFill="1" applyAlignment="1">
      <alignment horizontal="center"/>
    </xf>
    <xf numFmtId="164" fontId="0" fillId="2" borderId="14" xfId="1" applyNumberFormat="1" applyFont="1" applyFill="1" applyBorder="1" applyAlignment="1">
      <alignment horizontal="right"/>
    </xf>
    <xf numFmtId="164" fontId="0" fillId="2" borderId="14" xfId="0" applyNumberFormat="1" applyFill="1" applyBorder="1"/>
    <xf numFmtId="164" fontId="0" fillId="2" borderId="14" xfId="1" applyNumberFormat="1" applyFont="1" applyFill="1" applyBorder="1" applyAlignment="1">
      <alignment horizontal="right" vertical="center"/>
    </xf>
    <xf numFmtId="164" fontId="0" fillId="2" borderId="14" xfId="1" applyNumberFormat="1" applyFont="1" applyFill="1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164" fontId="0" fillId="2" borderId="14" xfId="1" applyNumberFormat="1" applyFont="1" applyFill="1" applyBorder="1" applyAlignment="1"/>
    <xf numFmtId="179" fontId="38" fillId="2" borderId="14" xfId="1" applyNumberFormat="1" applyFont="1" applyFill="1" applyBorder="1" applyAlignment="1">
      <alignment horizontal="right"/>
    </xf>
    <xf numFmtId="179" fontId="38" fillId="2" borderId="14" xfId="1" applyNumberFormat="1" applyFont="1" applyFill="1" applyBorder="1"/>
    <xf numFmtId="179" fontId="11" fillId="2" borderId="14" xfId="1" applyNumberFormat="1" applyFont="1" applyFill="1" applyBorder="1"/>
    <xf numFmtId="179" fontId="38" fillId="2" borderId="14" xfId="0" applyNumberFormat="1" applyFont="1" applyFill="1" applyBorder="1"/>
    <xf numFmtId="180" fontId="0" fillId="0" borderId="0" xfId="0" applyNumberFormat="1" applyFill="1"/>
    <xf numFmtId="164" fontId="0" fillId="2" borderId="2" xfId="1" applyNumberFormat="1" applyFont="1" applyFill="1" applyBorder="1"/>
    <xf numFmtId="164" fontId="14" fillId="2" borderId="2" xfId="1" applyNumberFormat="1" applyFont="1" applyFill="1" applyBorder="1"/>
    <xf numFmtId="3" fontId="0" fillId="2" borderId="0" xfId="0" applyNumberFormat="1" applyFill="1"/>
    <xf numFmtId="164" fontId="0" fillId="2" borderId="2" xfId="0" applyNumberFormat="1" applyFill="1" applyBorder="1"/>
    <xf numFmtId="0" fontId="24" fillId="7" borderId="0" xfId="0" applyFont="1" applyFill="1" applyAlignment="1">
      <alignment horizontal="center" vertical="center"/>
    </xf>
    <xf numFmtId="0" fontId="24" fillId="7" borderId="6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64" fontId="0" fillId="0" borderId="75" xfId="1" applyNumberFormat="1" applyFont="1" applyFill="1" applyBorder="1" applyAlignment="1">
      <alignment horizontal="right" vertical="center"/>
    </xf>
    <xf numFmtId="164" fontId="0" fillId="0" borderId="64" xfId="1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5" borderId="2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06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Blockout" xfId="19"/>
    <cellStyle name="Blockout 2" xfId="20"/>
    <cellStyle name="Blockout 3" xfId="21"/>
    <cellStyle name="Calculation 2" xfId="22"/>
    <cellStyle name="Comma" xfId="1" builtinId="3"/>
    <cellStyle name="Comma 2" xfId="23"/>
    <cellStyle name="Comma 2 2" xfId="24"/>
    <cellStyle name="Comma 2 3" xfId="25"/>
    <cellStyle name="Comma 2 3 2" xfId="26"/>
    <cellStyle name="Comma 2 3 3" xfId="27"/>
    <cellStyle name="Comma 2 3 4" xfId="28"/>
    <cellStyle name="Comma 2 4" xfId="29"/>
    <cellStyle name="Comma 2 5" xfId="30"/>
    <cellStyle name="Comma 3" xfId="31"/>
    <cellStyle name="Comma 3 2" xfId="32"/>
    <cellStyle name="Currency" xfId="5" builtinId="4"/>
    <cellStyle name="Hyperlink" xfId="6" builtinId="8"/>
    <cellStyle name="Hyperlink 2" xfId="33"/>
    <cellStyle name="Hyperlink 2 2" xfId="34"/>
    <cellStyle name="Hyperlink 2 3" xfId="35"/>
    <cellStyle name="Input 2" xfId="36"/>
    <cellStyle name="Input1" xfId="37"/>
    <cellStyle name="Input1 2" xfId="38"/>
    <cellStyle name="Input1 2 2" xfId="39"/>
    <cellStyle name="Input1 3" xfId="40"/>
    <cellStyle name="Input1 3 2" xfId="41"/>
    <cellStyle name="Input1 4" xfId="42"/>
    <cellStyle name="Input1 5" xfId="43"/>
    <cellStyle name="Input1 6" xfId="44"/>
    <cellStyle name="Input1 7" xfId="45"/>
    <cellStyle name="Input1 7 2" xfId="46"/>
    <cellStyle name="Input2" xfId="47"/>
    <cellStyle name="Input2 2" xfId="48"/>
    <cellStyle name="Input2 3" xfId="49"/>
    <cellStyle name="Input3" xfId="50"/>
    <cellStyle name="Input3 2" xfId="51"/>
    <cellStyle name="Input3 3" xfId="52"/>
    <cellStyle name="Normal" xfId="0" builtinId="0"/>
    <cellStyle name="Normal 10" xfId="53"/>
    <cellStyle name="Normal 11" xfId="54"/>
    <cellStyle name="Normal 114" xfId="3"/>
    <cellStyle name="Normal 12" xfId="55"/>
    <cellStyle name="Normal 13" xfId="56"/>
    <cellStyle name="Normal 14" xfId="57"/>
    <cellStyle name="Normal 15" xfId="58"/>
    <cellStyle name="Normal 16" xfId="59"/>
    <cellStyle name="Normal 17" xfId="60"/>
    <cellStyle name="Normal 18" xfId="61"/>
    <cellStyle name="Normal 19" xfId="62"/>
    <cellStyle name="Normal 19 2" xfId="63"/>
    <cellStyle name="Normal 2" xfId="64"/>
    <cellStyle name="Normal 2 2" xfId="65"/>
    <cellStyle name="Normal 2 2 2" xfId="66"/>
    <cellStyle name="Normal 2 2 2 2" xfId="67"/>
    <cellStyle name="Normal 2 2 3" xfId="68"/>
    <cellStyle name="Normal 2 3" xfId="69"/>
    <cellStyle name="Normal 3" xfId="70"/>
    <cellStyle name="Normal 3 2" xfId="71"/>
    <cellStyle name="Normal 3 3" xfId="72"/>
    <cellStyle name="Normal 4" xfId="73"/>
    <cellStyle name="Normal 4 2" xfId="74"/>
    <cellStyle name="Normal 4 3" xfId="75"/>
    <cellStyle name="Normal 4 4" xfId="76"/>
    <cellStyle name="Normal 4 5" xfId="77"/>
    <cellStyle name="Normal 4 5 2" xfId="78"/>
    <cellStyle name="Normal 4 5 3" xfId="79"/>
    <cellStyle name="Normal 5" xfId="80"/>
    <cellStyle name="Normal 6" xfId="81"/>
    <cellStyle name="Normal 7" xfId="82"/>
    <cellStyle name="Normal 8" xfId="83"/>
    <cellStyle name="Normal 9" xfId="84"/>
    <cellStyle name="Normal_20090617 - RIN - justifications 2" xfId="4"/>
    <cellStyle name="Note 2" xfId="85"/>
    <cellStyle name="Note 2 2" xfId="86"/>
    <cellStyle name="Note 3" xfId="87"/>
    <cellStyle name="Note 4" xfId="88"/>
    <cellStyle name="Output 2" xfId="89"/>
    <cellStyle name="Percent" xfId="2" builtinId="5"/>
    <cellStyle name="Percent 2" xfId="90"/>
    <cellStyle name="Style 1" xfId="91"/>
    <cellStyle name="Style 1 2" xfId="92"/>
    <cellStyle name="Style 1 2 2" xfId="93"/>
    <cellStyle name="Style 1 3" xfId="94"/>
    <cellStyle name="Style 1 3 2" xfId="95"/>
    <cellStyle name="Style 1 3 3" xfId="96"/>
    <cellStyle name="Style 1 4" xfId="97"/>
    <cellStyle name="Style 1 4 2" xfId="98"/>
    <cellStyle name="Style 1 4 3" xfId="99"/>
    <cellStyle name="Style 1 5" xfId="100"/>
    <cellStyle name="Style 1 6" xfId="101"/>
    <cellStyle name="Style 1 7" xfId="102"/>
    <cellStyle name="Style 1 8" xfId="103"/>
    <cellStyle name="Style 1 8 2" xfId="104"/>
    <cellStyle name="Total 2" xfId="10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1268356</xdr:colOff>
      <xdr:row>4</xdr:row>
      <xdr:rowOff>65537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0"/>
          <a:ext cx="1268356" cy="797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6:F51"/>
  <sheetViews>
    <sheetView tabSelected="1" zoomScaleNormal="100" workbookViewId="0">
      <selection activeCell="B6" sqref="B6"/>
    </sheetView>
  </sheetViews>
  <sheetFormatPr defaultColWidth="8.88671875" defaultRowHeight="14.4" x14ac:dyDescent="0.3"/>
  <cols>
    <col min="1" max="1" width="4" style="80" customWidth="1"/>
    <col min="2" max="2" width="32" style="80" customWidth="1"/>
    <col min="3" max="16384" width="8.88671875" style="80"/>
  </cols>
  <sheetData>
    <row r="6" spans="2:6" ht="18" x14ac:dyDescent="0.35">
      <c r="B6" s="84" t="s">
        <v>647</v>
      </c>
    </row>
    <row r="7" spans="2:6" x14ac:dyDescent="0.3">
      <c r="B7" s="411"/>
    </row>
    <row r="8" spans="2:6" x14ac:dyDescent="0.3">
      <c r="B8" s="411"/>
    </row>
    <row r="9" spans="2:6" x14ac:dyDescent="0.3">
      <c r="B9" s="410" t="s">
        <v>414</v>
      </c>
      <c r="F9" s="208" t="s">
        <v>112</v>
      </c>
    </row>
    <row r="10" spans="2:6" ht="8.4" customHeight="1" x14ac:dyDescent="0.3">
      <c r="B10" s="409"/>
      <c r="F10" s="85"/>
    </row>
    <row r="11" spans="2:6" x14ac:dyDescent="0.3">
      <c r="B11" s="137" t="s">
        <v>83</v>
      </c>
      <c r="F11" s="137" t="s">
        <v>62</v>
      </c>
    </row>
    <row r="12" spans="2:6" x14ac:dyDescent="0.3">
      <c r="B12" s="137" t="s">
        <v>415</v>
      </c>
      <c r="F12" s="137" t="s">
        <v>134</v>
      </c>
    </row>
    <row r="13" spans="2:6" x14ac:dyDescent="0.3">
      <c r="B13" s="137" t="s">
        <v>412</v>
      </c>
      <c r="F13" s="137" t="s">
        <v>201</v>
      </c>
    </row>
    <row r="14" spans="2:6" x14ac:dyDescent="0.3">
      <c r="B14" s="137" t="s">
        <v>413</v>
      </c>
      <c r="F14" s="83"/>
    </row>
    <row r="15" spans="2:6" x14ac:dyDescent="0.3">
      <c r="B15" s="137" t="s">
        <v>391</v>
      </c>
    </row>
    <row r="17" spans="2:6" x14ac:dyDescent="0.3">
      <c r="B17" s="138" t="s">
        <v>61</v>
      </c>
      <c r="F17" s="138" t="s">
        <v>416</v>
      </c>
    </row>
    <row r="18" spans="2:6" ht="4.95" customHeight="1" x14ac:dyDescent="0.3">
      <c r="B18" s="82"/>
    </row>
    <row r="19" spans="2:6" x14ac:dyDescent="0.3">
      <c r="B19" s="137" t="s">
        <v>80</v>
      </c>
      <c r="F19" s="137" t="s">
        <v>72</v>
      </c>
    </row>
    <row r="20" spans="2:6" ht="7.95" customHeight="1" x14ac:dyDescent="0.3">
      <c r="B20" s="83"/>
      <c r="F20" s="83"/>
    </row>
    <row r="21" spans="2:6" x14ac:dyDescent="0.3">
      <c r="B21" s="83" t="s">
        <v>411</v>
      </c>
      <c r="F21" s="137" t="s">
        <v>63</v>
      </c>
    </row>
    <row r="22" spans="2:6" x14ac:dyDescent="0.3">
      <c r="B22" s="408" t="str">
        <f>Rpt_Cat!B13</f>
        <v>Ringwood North</v>
      </c>
      <c r="F22" s="137" t="s">
        <v>202</v>
      </c>
    </row>
    <row r="23" spans="2:6" ht="15" x14ac:dyDescent="0.25">
      <c r="B23" s="408" t="str">
        <f>Rpt_Cat!B14</f>
        <v>Eltham</v>
      </c>
      <c r="F23" s="137" t="s">
        <v>54</v>
      </c>
    </row>
    <row r="24" spans="2:6" x14ac:dyDescent="0.3">
      <c r="B24" s="408" t="str">
        <f>Rpt_Cat!B15</f>
        <v>Ferntree Gully</v>
      </c>
      <c r="F24" s="83"/>
    </row>
    <row r="25" spans="2:6" x14ac:dyDescent="0.3">
      <c r="B25" s="408" t="str">
        <f>Rpt_Cat!B16</f>
        <v>Wodonga 22kV switchyard</v>
      </c>
      <c r="F25" s="138" t="s">
        <v>474</v>
      </c>
    </row>
    <row r="26" spans="2:6" x14ac:dyDescent="0.3">
      <c r="B26" s="408" t="str">
        <f>Rpt_Cat!B17</f>
        <v>Moe</v>
      </c>
    </row>
    <row r="27" spans="2:6" x14ac:dyDescent="0.3">
      <c r="B27" s="408" t="str">
        <f>Rpt_Cat!B18</f>
        <v>Belgrave</v>
      </c>
      <c r="F27" s="137" t="s">
        <v>475</v>
      </c>
    </row>
    <row r="28" spans="2:6" x14ac:dyDescent="0.3">
      <c r="B28" s="408" t="str">
        <f>Rpt_Cat!B19</f>
        <v>Lilydale</v>
      </c>
    </row>
    <row r="29" spans="2:6" x14ac:dyDescent="0.3">
      <c r="B29" s="408" t="str">
        <f>Rpt_Cat!B20</f>
        <v>Bairnsdale</v>
      </c>
    </row>
    <row r="30" spans="2:6" ht="15" x14ac:dyDescent="0.25">
      <c r="B30" s="408" t="str">
        <f>Rpt_Cat!B21</f>
        <v>[spare]</v>
      </c>
    </row>
    <row r="31" spans="2:6" ht="6" customHeight="1" x14ac:dyDescent="0.25">
      <c r="B31" s="408"/>
    </row>
    <row r="32" spans="2:6" ht="15" x14ac:dyDescent="0.25">
      <c r="B32" s="137" t="s">
        <v>457</v>
      </c>
    </row>
    <row r="33" spans="2:2" ht="6" customHeight="1" x14ac:dyDescent="0.25">
      <c r="B33" s="407"/>
    </row>
    <row r="34" spans="2:2" x14ac:dyDescent="0.3">
      <c r="B34" s="137" t="s">
        <v>407</v>
      </c>
    </row>
    <row r="35" spans="2:2" ht="10.199999999999999" customHeight="1" x14ac:dyDescent="0.3">
      <c r="B35" s="83"/>
    </row>
    <row r="37" spans="2:2" ht="10.199999999999999" customHeight="1" x14ac:dyDescent="0.3"/>
    <row r="39" spans="2:2" ht="6.6" customHeight="1" x14ac:dyDescent="0.3"/>
    <row r="41" spans="2:2" ht="5.4" customHeight="1" x14ac:dyDescent="0.3"/>
    <row r="45" spans="2:2" ht="9" customHeight="1" x14ac:dyDescent="0.3"/>
    <row r="47" spans="2:2" ht="6" customHeight="1" x14ac:dyDescent="0.3"/>
    <row r="49" ht="6.6" customHeight="1" x14ac:dyDescent="0.3"/>
    <row r="51" ht="4.95" customHeight="1" x14ac:dyDescent="0.3"/>
  </sheetData>
  <hyperlinks>
    <hyperlink ref="B19" location="Opex_Inputs!A1" display="Operating &amp; Maintenance Costs"/>
    <hyperlink ref="B34" location="Direct_Capex_Totals!A1" display="Direct Capital Cost Input Total by Activity"/>
    <hyperlink ref="F11" location="Direct_Capex_Composition!A1" display="Direct Capital Cost Composition"/>
    <hyperlink ref="F13" location="Overheads!A1" display="Capitalised Overheads"/>
    <hyperlink ref="F19" location="Capex_by_Purpose!A1" display="Capex by Purpose - EDPR Final decision &amp; Contingent Project"/>
    <hyperlink ref="F21" location="Station_Summary!A1" display="Capex Summary by Zone Substation"/>
    <hyperlink ref="F23" location="PTRM_Inputs!A1" display="PTRM Inputs"/>
    <hyperlink ref="F12" location="Direct_Summary!A1" display="Direct Summary by Category - incl. Labour escalation"/>
    <hyperlink ref="F22" location="Other_Tables!A1" display="Other Summary Tables"/>
    <hyperlink ref="B22" location="RWN_Det!A1" display="RWN_Det!A1"/>
    <hyperlink ref="B12" location="Rpt_Cat!A1" display="Reporting Categories"/>
    <hyperlink ref="B13" location="Unit_Rates!A1" display="Unit Rates"/>
    <hyperlink ref="B14" location="Lab_Rates!A1" display="Labour Rates"/>
    <hyperlink ref="B15" location="Feeder_Vols!A1" display="Feeder Work Volumes"/>
    <hyperlink ref="B11" location="Escalators!A1" display="Escalators"/>
    <hyperlink ref="B23:B30" location="WYK2_Det!A1" display="Woori Yallock 2"/>
    <hyperlink ref="B32" location="Other_Capex!A1" display="Other Capex Program Inputs"/>
    <hyperlink ref="B23" location="ELM_Det!A1" display="ELM_Det!A1"/>
    <hyperlink ref="B24" location="FGY_Det!A1" display="FGY_Det!A1"/>
    <hyperlink ref="B25" location="WOTS22_Det!A1" display="WOTS22_Det!A1"/>
    <hyperlink ref="B26" location="MOE_Det!A1" display="MOE_Det!A1"/>
    <hyperlink ref="B27" location="BGE_Det!A1" display="BGE_Det!A1"/>
    <hyperlink ref="B28" location="LDL_Det!A1" display="LDL_Det!A1"/>
    <hyperlink ref="B29" location="BDL_Det!A1" display="BDL_Det!A1"/>
    <hyperlink ref="B30" location="Spare!A1" display="Spare!A1"/>
    <hyperlink ref="F27" location="T1_Allowance!A1" display="Tranche 1 (T1) Allowanc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44"/>
  <sheetViews>
    <sheetView zoomScale="85" zoomScaleNormal="85" workbookViewId="0">
      <selection activeCell="C10" sqref="C10"/>
    </sheetView>
  </sheetViews>
  <sheetFormatPr defaultRowHeight="14.4" x14ac:dyDescent="0.3"/>
  <cols>
    <col min="1" max="1" width="3.33203125" customWidth="1"/>
    <col min="2" max="2" width="46.5546875" customWidth="1"/>
    <col min="3" max="3" width="9.6640625" customWidth="1"/>
    <col min="4" max="5" width="9.5546875" bestFit="1" customWidth="1"/>
    <col min="6" max="6" width="9.33203125" customWidth="1"/>
    <col min="7" max="10" width="9.5546875" bestFit="1" customWidth="1"/>
  </cols>
  <sheetData>
    <row r="1" spans="2:11" x14ac:dyDescent="0.3">
      <c r="B1" s="22" t="s">
        <v>83</v>
      </c>
    </row>
    <row r="2" spans="2:11" x14ac:dyDescent="0.3">
      <c r="B2" s="22"/>
      <c r="C2" s="539"/>
      <c r="D2" s="539"/>
      <c r="E2" s="539"/>
      <c r="F2" s="539"/>
      <c r="G2" s="539"/>
      <c r="H2" s="539"/>
      <c r="I2" s="539"/>
      <c r="J2" s="539"/>
      <c r="K2" s="539"/>
    </row>
    <row r="3" spans="2:11" x14ac:dyDescent="0.3">
      <c r="B3" s="134" t="s">
        <v>96</v>
      </c>
      <c r="C3" s="534" t="s">
        <v>641</v>
      </c>
      <c r="D3" s="534" t="s">
        <v>642</v>
      </c>
      <c r="E3" s="534" t="s">
        <v>642</v>
      </c>
      <c r="F3" s="534" t="s">
        <v>642</v>
      </c>
      <c r="G3" s="534" t="s">
        <v>642</v>
      </c>
      <c r="H3" s="534" t="s">
        <v>642</v>
      </c>
      <c r="I3" s="539" t="s">
        <v>642</v>
      </c>
      <c r="J3" s="539" t="s">
        <v>642</v>
      </c>
      <c r="K3" s="539" t="s">
        <v>642</v>
      </c>
    </row>
    <row r="4" spans="2:11" x14ac:dyDescent="0.3">
      <c r="C4" s="4">
        <v>2015</v>
      </c>
      <c r="D4" s="4">
        <v>2016</v>
      </c>
      <c r="E4" s="4">
        <v>2017</v>
      </c>
      <c r="F4" s="4">
        <v>2018</v>
      </c>
      <c r="G4" s="4">
        <v>2019</v>
      </c>
      <c r="H4" s="4">
        <v>2020</v>
      </c>
      <c r="I4" s="433">
        <v>2021</v>
      </c>
      <c r="J4" s="433">
        <v>2022</v>
      </c>
      <c r="K4" s="433">
        <v>2023</v>
      </c>
    </row>
    <row r="5" spans="2:11" x14ac:dyDescent="0.3">
      <c r="B5" t="s">
        <v>640</v>
      </c>
      <c r="C5" s="37">
        <f>(106.4/104)-1</f>
        <v>2.3076923076923217E-2</v>
      </c>
      <c r="D5" s="43">
        <v>1.5108593012275628E-2</v>
      </c>
      <c r="E5" s="43">
        <v>1.0232558139534831E-2</v>
      </c>
      <c r="F5" s="43">
        <v>1.9337016574585641E-2</v>
      </c>
      <c r="G5" s="163">
        <v>2.3800000000000002E-2</v>
      </c>
      <c r="H5" s="163">
        <v>2.3800000000000002E-2</v>
      </c>
      <c r="I5" s="163">
        <v>2.3800000000000002E-2</v>
      </c>
      <c r="J5" s="163">
        <v>2.3800000000000002E-2</v>
      </c>
      <c r="K5" s="163">
        <v>2.3800000000000002E-2</v>
      </c>
    </row>
    <row r="6" spans="2:11" x14ac:dyDescent="0.3">
      <c r="B6" t="s">
        <v>95</v>
      </c>
      <c r="D6" s="37">
        <v>2.3230798209937155E-2</v>
      </c>
      <c r="E6" s="37">
        <v>2.3230798209937155E-2</v>
      </c>
      <c r="F6" s="37">
        <v>2.3230798209937155E-2</v>
      </c>
      <c r="G6" s="37">
        <v>2.3230798209937155E-2</v>
      </c>
      <c r="H6" s="37">
        <v>2.3230798209937155E-2</v>
      </c>
      <c r="I6" s="37">
        <v>2.3230798209937155E-2</v>
      </c>
      <c r="J6" s="37">
        <v>2.3230798209937155E-2</v>
      </c>
      <c r="K6" s="37">
        <v>2.3230798209937155E-2</v>
      </c>
    </row>
    <row r="7" spans="2:11" x14ac:dyDescent="0.3">
      <c r="B7" t="s">
        <v>608</v>
      </c>
      <c r="C7" s="48">
        <v>1</v>
      </c>
      <c r="D7" s="48">
        <f t="shared" ref="D7:K7" si="0">C7*(1+D6)</f>
        <v>1.0232307982099371</v>
      </c>
      <c r="E7" s="48">
        <f t="shared" si="0"/>
        <v>1.047001266405345</v>
      </c>
      <c r="F7" s="48">
        <f t="shared" si="0"/>
        <v>1.0713239415507561</v>
      </c>
      <c r="G7" s="48">
        <f t="shared" si="0"/>
        <v>1.0962116518543961</v>
      </c>
      <c r="H7" s="48">
        <f t="shared" si="0"/>
        <v>1.1216775235340073</v>
      </c>
      <c r="I7" s="48">
        <f t="shared" si="0"/>
        <v>1.1477349877398477</v>
      </c>
      <c r="J7" s="48">
        <f t="shared" si="0"/>
        <v>1.1743977876385168</v>
      </c>
      <c r="K7" s="48">
        <f t="shared" si="0"/>
        <v>1.2016799856613438</v>
      </c>
    </row>
    <row r="8" spans="2:11" x14ac:dyDescent="0.3">
      <c r="B8" t="s">
        <v>609</v>
      </c>
      <c r="D8" s="48">
        <v>1</v>
      </c>
      <c r="E8" s="48">
        <f t="shared" ref="E8:K8" si="1">D8*(1+E6)</f>
        <v>1.0232307982099371</v>
      </c>
      <c r="F8" s="48">
        <f t="shared" si="1"/>
        <v>1.047001266405345</v>
      </c>
      <c r="G8" s="48">
        <f t="shared" si="1"/>
        <v>1.0713239415507561</v>
      </c>
      <c r="H8" s="48">
        <f t="shared" si="1"/>
        <v>1.0962116518543961</v>
      </c>
      <c r="I8" s="48">
        <f t="shared" si="1"/>
        <v>1.1216775235340073</v>
      </c>
      <c r="J8" s="48">
        <f t="shared" si="1"/>
        <v>1.1477349877398477</v>
      </c>
      <c r="K8" s="48">
        <f t="shared" si="1"/>
        <v>1.1743977876385168</v>
      </c>
    </row>
    <row r="10" spans="2:11" x14ac:dyDescent="0.3">
      <c r="B10" s="176" t="s">
        <v>643</v>
      </c>
      <c r="C10" s="48">
        <f>106.6/105.9</f>
        <v>1.0066100094428705</v>
      </c>
      <c r="D10" s="162">
        <f>106.6/107.5</f>
        <v>0.99162790697674408</v>
      </c>
      <c r="E10" s="162">
        <f>106.6/108.6</f>
        <v>0.98158379373848992</v>
      </c>
      <c r="F10" s="162">
        <f>106.6/110.7</f>
        <v>0.96296296296296291</v>
      </c>
    </row>
    <row r="11" spans="2:11" x14ac:dyDescent="0.3">
      <c r="B11" s="177" t="s">
        <v>644</v>
      </c>
      <c r="C11" s="162"/>
      <c r="D11" s="162"/>
      <c r="E11" s="162"/>
      <c r="F11" s="162"/>
    </row>
    <row r="13" spans="2:11" x14ac:dyDescent="0.3">
      <c r="B13" s="151" t="s">
        <v>91</v>
      </c>
      <c r="C13" s="151"/>
    </row>
    <row r="14" spans="2:11" x14ac:dyDescent="0.3">
      <c r="C14" s="4">
        <v>2015</v>
      </c>
    </row>
    <row r="15" spans="2:11" x14ac:dyDescent="0.3">
      <c r="B15" t="s">
        <v>92</v>
      </c>
      <c r="C15" s="37">
        <v>1.8974612720283446E-2</v>
      </c>
    </row>
    <row r="16" spans="2:11" x14ac:dyDescent="0.3">
      <c r="B16" t="s">
        <v>94</v>
      </c>
      <c r="C16" s="37">
        <v>2.3414596363495743E-3</v>
      </c>
    </row>
    <row r="17" spans="2:10" ht="15" x14ac:dyDescent="0.25">
      <c r="B17" s="40" t="s">
        <v>99</v>
      </c>
    </row>
    <row r="18" spans="2:10" ht="15" x14ac:dyDescent="0.25">
      <c r="B18" s="40"/>
    </row>
    <row r="19" spans="2:10" ht="15" x14ac:dyDescent="0.25">
      <c r="B19" s="151" t="s">
        <v>90</v>
      </c>
      <c r="C19" s="151"/>
      <c r="D19" s="45"/>
      <c r="E19" s="45"/>
      <c r="F19" s="45"/>
      <c r="G19" s="45"/>
      <c r="H19" s="45"/>
      <c r="I19" s="45"/>
      <c r="J19" s="45"/>
    </row>
    <row r="20" spans="2:10" ht="15" x14ac:dyDescent="0.25">
      <c r="B20" s="45"/>
      <c r="C20" s="45"/>
      <c r="D20" s="45"/>
      <c r="E20" s="45"/>
      <c r="F20" s="45"/>
      <c r="G20" s="45"/>
      <c r="H20" s="45"/>
      <c r="I20" s="45"/>
      <c r="J20" s="45"/>
    </row>
    <row r="21" spans="2:10" ht="15" x14ac:dyDescent="0.25">
      <c r="B21" s="142"/>
      <c r="C21" s="142"/>
      <c r="D21" s="583" t="s">
        <v>85</v>
      </c>
      <c r="E21" s="583"/>
      <c r="F21" s="583"/>
      <c r="G21" s="583"/>
      <c r="H21" s="584"/>
      <c r="I21" s="49"/>
      <c r="J21" s="49"/>
    </row>
    <row r="22" spans="2:10" ht="15" x14ac:dyDescent="0.25">
      <c r="B22" s="142" t="s">
        <v>86</v>
      </c>
      <c r="C22" s="142"/>
      <c r="D22" s="147">
        <v>2016</v>
      </c>
      <c r="E22" s="147">
        <v>2017</v>
      </c>
      <c r="F22" s="147">
        <v>2018</v>
      </c>
      <c r="G22" s="147">
        <v>2019</v>
      </c>
      <c r="H22" s="147">
        <v>2020</v>
      </c>
      <c r="I22" s="43"/>
      <c r="J22" s="43"/>
    </row>
    <row r="23" spans="2:10" ht="15.75" thickBot="1" x14ac:dyDescent="0.3">
      <c r="B23" s="143" t="s">
        <v>87</v>
      </c>
      <c r="C23" s="152"/>
      <c r="D23" s="144"/>
      <c r="E23" s="144"/>
      <c r="F23" s="144"/>
      <c r="G23" s="144"/>
      <c r="H23" s="144"/>
      <c r="I23" s="45"/>
      <c r="J23" s="45"/>
    </row>
    <row r="24" spans="2:10" ht="30.75" thickBot="1" x14ac:dyDescent="0.3">
      <c r="B24" s="148" t="s">
        <v>88</v>
      </c>
      <c r="C24" s="153"/>
      <c r="D24" s="146">
        <v>0.4</v>
      </c>
      <c r="E24" s="146">
        <v>0.37</v>
      </c>
      <c r="F24" s="146">
        <v>0.79</v>
      </c>
      <c r="G24" s="146">
        <v>0.96</v>
      </c>
      <c r="H24" s="146">
        <v>1.02</v>
      </c>
      <c r="I24" s="43"/>
      <c r="J24" s="43"/>
    </row>
    <row r="25" spans="2:10" ht="15.75" thickBot="1" x14ac:dyDescent="0.3">
      <c r="B25" s="145" t="s">
        <v>89</v>
      </c>
      <c r="C25" s="154"/>
      <c r="D25" s="146">
        <v>0.36</v>
      </c>
      <c r="E25" s="146">
        <v>0.39</v>
      </c>
      <c r="F25" s="146">
        <v>0.97</v>
      </c>
      <c r="G25" s="146">
        <v>1.0900000000000001</v>
      </c>
      <c r="H25" s="146">
        <v>1.1599999999999999</v>
      </c>
      <c r="I25" s="45"/>
      <c r="J25" s="45"/>
    </row>
    <row r="26" spans="2:10" ht="15" x14ac:dyDescent="0.25">
      <c r="B26" s="40" t="s">
        <v>93</v>
      </c>
      <c r="C26" s="40"/>
      <c r="D26" s="45"/>
      <c r="E26" s="45"/>
      <c r="F26" s="45"/>
      <c r="G26" s="45"/>
      <c r="H26" s="45"/>
      <c r="I26" s="45"/>
      <c r="J26" s="45"/>
    </row>
    <row r="27" spans="2:10" x14ac:dyDescent="0.3">
      <c r="B27" s="45"/>
      <c r="C27" s="45"/>
      <c r="D27" s="45"/>
      <c r="E27" s="45"/>
      <c r="F27" s="45"/>
      <c r="G27" s="45"/>
      <c r="H27" s="45"/>
      <c r="I27" s="45"/>
      <c r="J27" s="45"/>
    </row>
    <row r="28" spans="2:10" x14ac:dyDescent="0.3">
      <c r="B28" s="23" t="s">
        <v>97</v>
      </c>
      <c r="I28" s="45"/>
      <c r="J28" s="45"/>
    </row>
    <row r="29" spans="2:10" x14ac:dyDescent="0.3">
      <c r="C29" s="4">
        <v>2015</v>
      </c>
      <c r="D29" s="4">
        <v>2016</v>
      </c>
      <c r="E29" s="4">
        <v>2017</v>
      </c>
      <c r="F29" s="4">
        <v>2018</v>
      </c>
      <c r="G29" s="4">
        <v>2019</v>
      </c>
      <c r="H29" s="4">
        <v>2020</v>
      </c>
      <c r="I29" s="45"/>
      <c r="J29" s="45"/>
    </row>
    <row r="30" spans="2:10" x14ac:dyDescent="0.3">
      <c r="B30" s="45" t="s">
        <v>616</v>
      </c>
      <c r="C30" s="155">
        <v>1</v>
      </c>
      <c r="D30" s="155">
        <f>C30*1+(D24/100)</f>
        <v>1.004</v>
      </c>
      <c r="E30" s="155">
        <f t="shared" ref="E30:H31" si="2">D30*(1+E24/100)</f>
        <v>1.0077148</v>
      </c>
      <c r="F30" s="155">
        <f t="shared" si="2"/>
        <v>1.01567574692</v>
      </c>
      <c r="G30" s="155">
        <f t="shared" si="2"/>
        <v>1.0254262340904321</v>
      </c>
      <c r="H30" s="155">
        <f t="shared" si="2"/>
        <v>1.0358855816781545</v>
      </c>
      <c r="I30" s="50"/>
      <c r="J30" s="50"/>
    </row>
    <row r="31" spans="2:10" x14ac:dyDescent="0.3">
      <c r="B31" s="45" t="s">
        <v>617</v>
      </c>
      <c r="C31" s="155">
        <v>1</v>
      </c>
      <c r="D31" s="155">
        <f>C31*1+(D25/100)</f>
        <v>1.0036</v>
      </c>
      <c r="E31" s="155">
        <f t="shared" si="2"/>
        <v>1.00751404</v>
      </c>
      <c r="F31" s="155">
        <f t="shared" si="2"/>
        <v>1.017286926188</v>
      </c>
      <c r="G31" s="155">
        <f t="shared" si="2"/>
        <v>1.028375353683449</v>
      </c>
      <c r="H31" s="155">
        <f t="shared" si="2"/>
        <v>1.040304507786177</v>
      </c>
      <c r="I31" s="45"/>
      <c r="J31" s="45"/>
    </row>
    <row r="32" spans="2:10" x14ac:dyDescent="0.3">
      <c r="B32" s="45"/>
      <c r="C32" s="45"/>
      <c r="D32" s="45"/>
      <c r="E32" s="45"/>
      <c r="F32" s="50"/>
      <c r="G32" s="50"/>
      <c r="H32" s="50"/>
      <c r="I32" s="50"/>
      <c r="J32" s="50"/>
    </row>
    <row r="33" spans="2:10" x14ac:dyDescent="0.3">
      <c r="B33" s="23" t="s">
        <v>98</v>
      </c>
      <c r="H33" s="45"/>
      <c r="I33" s="45"/>
      <c r="J33" s="45"/>
    </row>
    <row r="34" spans="2:10" x14ac:dyDescent="0.3">
      <c r="C34" s="4">
        <v>2015</v>
      </c>
      <c r="D34" s="4">
        <v>2016</v>
      </c>
      <c r="E34" s="4">
        <v>2017</v>
      </c>
      <c r="F34" s="4">
        <v>2018</v>
      </c>
      <c r="G34" s="4">
        <v>2019</v>
      </c>
      <c r="H34" s="4">
        <v>2020</v>
      </c>
      <c r="I34" s="45"/>
      <c r="J34" s="45"/>
    </row>
    <row r="35" spans="2:10" x14ac:dyDescent="0.3">
      <c r="B35" t="s">
        <v>104</v>
      </c>
      <c r="C35" s="30">
        <f>C15</f>
        <v>1.8974612720283446E-2</v>
      </c>
      <c r="D35" s="37">
        <v>4.0141199352505454E-3</v>
      </c>
      <c r="E35" s="37">
        <v>3.7161988694249539E-3</v>
      </c>
      <c r="F35" s="37">
        <v>7.8500228561824374E-3</v>
      </c>
      <c r="G35" s="37">
        <v>9.5736854428500953E-3</v>
      </c>
      <c r="H35" s="37">
        <v>1.0192912905840656E-2</v>
      </c>
      <c r="I35" s="45"/>
      <c r="J35" s="45"/>
    </row>
    <row r="36" spans="2:10" x14ac:dyDescent="0.3">
      <c r="B36" t="s">
        <v>636</v>
      </c>
      <c r="C36" s="48">
        <v>1</v>
      </c>
      <c r="D36" s="48">
        <f>C36*(1+D35)</f>
        <v>1.0040141199352506</v>
      </c>
      <c r="E36" s="48">
        <f>D36*(1+E35)</f>
        <v>1.0077452360726407</v>
      </c>
      <c r="F36" s="48">
        <f>E36*(1+F35)</f>
        <v>1.0156560592090198</v>
      </c>
      <c r="G36" s="48">
        <f>F36*(1+G35)</f>
        <v>1.0253796308380116</v>
      </c>
      <c r="H36" s="48">
        <f>G36*(1+H35)</f>
        <v>1.0358312361105666</v>
      </c>
      <c r="I36" s="43"/>
      <c r="J36" s="43"/>
    </row>
    <row r="37" spans="2:10" x14ac:dyDescent="0.3">
      <c r="I37" s="45"/>
      <c r="J37" s="45"/>
    </row>
    <row r="38" spans="2:10" x14ac:dyDescent="0.3">
      <c r="B38" t="s">
        <v>48</v>
      </c>
      <c r="D38" s="4">
        <v>2016</v>
      </c>
      <c r="E38" s="4">
        <v>2017</v>
      </c>
      <c r="F38" s="4">
        <v>2018</v>
      </c>
      <c r="G38" s="4">
        <v>2019</v>
      </c>
      <c r="H38" s="4">
        <v>2020</v>
      </c>
    </row>
    <row r="39" spans="2:10" x14ac:dyDescent="0.3">
      <c r="B39" t="s">
        <v>49</v>
      </c>
      <c r="D39" s="45">
        <v>0.62</v>
      </c>
      <c r="E39" s="45">
        <v>0.62</v>
      </c>
      <c r="F39" s="45">
        <v>0.62</v>
      </c>
      <c r="G39" s="45">
        <v>0.62</v>
      </c>
      <c r="H39" s="45">
        <v>0.62</v>
      </c>
    </row>
    <row r="40" spans="2:10" x14ac:dyDescent="0.3">
      <c r="B40" t="s">
        <v>50</v>
      </c>
      <c r="D40">
        <v>0.38</v>
      </c>
      <c r="E40">
        <v>0.38</v>
      </c>
      <c r="F40">
        <v>0.38</v>
      </c>
      <c r="G40">
        <v>0.38</v>
      </c>
      <c r="H40">
        <v>0.38</v>
      </c>
    </row>
    <row r="41" spans="2:10" x14ac:dyDescent="0.3">
      <c r="B41" s="40" t="s">
        <v>105</v>
      </c>
    </row>
    <row r="42" spans="2:10" x14ac:dyDescent="0.3">
      <c r="B42" s="42"/>
      <c r="C42" s="42"/>
      <c r="D42" s="42"/>
      <c r="E42" s="42"/>
      <c r="F42" s="42"/>
      <c r="G42" s="42"/>
      <c r="H42" s="42"/>
    </row>
    <row r="43" spans="2:10" x14ac:dyDescent="0.3">
      <c r="D43" s="37"/>
      <c r="E43" s="37"/>
      <c r="F43" s="37"/>
      <c r="G43" s="37"/>
    </row>
    <row r="44" spans="2:10" x14ac:dyDescent="0.3">
      <c r="B44" t="s">
        <v>59</v>
      </c>
      <c r="C44" s="81">
        <v>1000</v>
      </c>
    </row>
  </sheetData>
  <mergeCells count="1">
    <mergeCell ref="D21:H2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24"/>
  <sheetViews>
    <sheetView zoomScaleNormal="100" workbookViewId="0">
      <selection activeCell="C5" sqref="C5"/>
    </sheetView>
  </sheetViews>
  <sheetFormatPr defaultRowHeight="14.4" x14ac:dyDescent="0.3"/>
  <cols>
    <col min="1" max="1" width="4.6640625" customWidth="1"/>
    <col min="2" max="2" width="67.6640625" customWidth="1"/>
    <col min="3" max="3" width="10.5546875" customWidth="1"/>
    <col min="4" max="4" width="50.6640625" customWidth="1"/>
  </cols>
  <sheetData>
    <row r="2" spans="2:4" x14ac:dyDescent="0.3">
      <c r="B2" s="22" t="s">
        <v>207</v>
      </c>
    </row>
    <row r="3" spans="2:4" x14ac:dyDescent="0.3">
      <c r="B3" t="s">
        <v>358</v>
      </c>
      <c r="C3" s="217" t="s">
        <v>305</v>
      </c>
      <c r="D3" s="280" t="s">
        <v>313</v>
      </c>
    </row>
    <row r="5" spans="2:4" x14ac:dyDescent="0.3">
      <c r="B5" t="s">
        <v>259</v>
      </c>
      <c r="C5" s="275">
        <v>125</v>
      </c>
    </row>
    <row r="6" spans="2:4" x14ac:dyDescent="0.3">
      <c r="B6" t="s">
        <v>260</v>
      </c>
      <c r="C6" s="275">
        <v>152</v>
      </c>
    </row>
    <row r="7" spans="2:4" x14ac:dyDescent="0.3">
      <c r="B7" t="s">
        <v>289</v>
      </c>
      <c r="C7" s="275">
        <v>142</v>
      </c>
    </row>
    <row r="8" spans="2:4" x14ac:dyDescent="0.3">
      <c r="B8" t="s">
        <v>256</v>
      </c>
      <c r="C8" s="275">
        <v>165</v>
      </c>
    </row>
    <row r="9" spans="2:4" x14ac:dyDescent="0.3">
      <c r="B9" t="s">
        <v>286</v>
      </c>
      <c r="C9" s="275">
        <v>215</v>
      </c>
    </row>
    <row r="10" spans="2:4" x14ac:dyDescent="0.3">
      <c r="B10" t="s">
        <v>288</v>
      </c>
      <c r="C10" s="275">
        <v>152</v>
      </c>
    </row>
    <row r="11" spans="2:4" x14ac:dyDescent="0.3">
      <c r="B11" t="s">
        <v>255</v>
      </c>
      <c r="C11" s="275">
        <v>152</v>
      </c>
    </row>
    <row r="12" spans="2:4" x14ac:dyDescent="0.3">
      <c r="B12" t="s">
        <v>257</v>
      </c>
      <c r="C12" s="275">
        <v>152</v>
      </c>
    </row>
    <row r="15" spans="2:4" x14ac:dyDescent="0.3">
      <c r="C15" s="217"/>
    </row>
    <row r="17" spans="2:4" x14ac:dyDescent="0.3">
      <c r="B17" s="1"/>
      <c r="C17" s="358"/>
      <c r="D17" s="286"/>
    </row>
    <row r="19" spans="2:4" x14ac:dyDescent="0.3">
      <c r="C19" s="275"/>
    </row>
    <row r="20" spans="2:4" x14ac:dyDescent="0.3">
      <c r="C20" s="275"/>
    </row>
    <row r="21" spans="2:4" ht="15" x14ac:dyDescent="0.25">
      <c r="C21" s="275"/>
    </row>
    <row r="22" spans="2:4" ht="15" x14ac:dyDescent="0.25">
      <c r="C22" s="275"/>
    </row>
    <row r="23" spans="2:4" ht="15" x14ac:dyDescent="0.25">
      <c r="C23" s="275"/>
    </row>
    <row r="24" spans="2:4" ht="15" x14ac:dyDescent="0.25">
      <c r="C24" s="2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F21"/>
  <sheetViews>
    <sheetView workbookViewId="0">
      <selection activeCell="I5" sqref="I5"/>
    </sheetView>
  </sheetViews>
  <sheetFormatPr defaultRowHeight="14.4" x14ac:dyDescent="0.3"/>
  <cols>
    <col min="1" max="1" width="5.6640625" customWidth="1"/>
    <col min="2" max="2" width="32.6640625" customWidth="1"/>
    <col min="4" max="4" width="27.88671875" customWidth="1"/>
  </cols>
  <sheetData>
    <row r="2" spans="2:6" x14ac:dyDescent="0.3">
      <c r="B2" s="25" t="s">
        <v>381</v>
      </c>
      <c r="D2" s="25" t="s">
        <v>386</v>
      </c>
      <c r="F2" s="25" t="s">
        <v>387</v>
      </c>
    </row>
    <row r="3" spans="2:6" x14ac:dyDescent="0.3">
      <c r="B3" t="s">
        <v>18</v>
      </c>
      <c r="D3" t="s">
        <v>44</v>
      </c>
      <c r="F3" t="s">
        <v>249</v>
      </c>
    </row>
    <row r="4" spans="2:6" x14ac:dyDescent="0.3">
      <c r="B4" t="s">
        <v>19</v>
      </c>
      <c r="D4" t="s">
        <v>43</v>
      </c>
      <c r="F4" t="s">
        <v>254</v>
      </c>
    </row>
    <row r="5" spans="2:6" x14ac:dyDescent="0.3">
      <c r="B5" t="s">
        <v>22</v>
      </c>
      <c r="D5" t="s">
        <v>42</v>
      </c>
    </row>
    <row r="6" spans="2:6" x14ac:dyDescent="0.3">
      <c r="B6" t="s">
        <v>23</v>
      </c>
      <c r="D6" t="s">
        <v>382</v>
      </c>
    </row>
    <row r="7" spans="2:6" x14ac:dyDescent="0.3">
      <c r="B7" t="s">
        <v>24</v>
      </c>
      <c r="D7" t="s">
        <v>383</v>
      </c>
    </row>
    <row r="8" spans="2:6" x14ac:dyDescent="0.3">
      <c r="B8" t="s">
        <v>195</v>
      </c>
      <c r="D8" t="s">
        <v>384</v>
      </c>
    </row>
    <row r="9" spans="2:6" x14ac:dyDescent="0.3">
      <c r="D9" t="s">
        <v>385</v>
      </c>
    </row>
    <row r="12" spans="2:6" x14ac:dyDescent="0.3">
      <c r="B12" s="25" t="s">
        <v>429</v>
      </c>
      <c r="C12" s="25" t="s">
        <v>446</v>
      </c>
    </row>
    <row r="13" spans="2:6" x14ac:dyDescent="0.3">
      <c r="B13" t="s">
        <v>439</v>
      </c>
      <c r="C13" t="s">
        <v>432</v>
      </c>
    </row>
    <row r="14" spans="2:6" x14ac:dyDescent="0.3">
      <c r="B14" t="s">
        <v>440</v>
      </c>
      <c r="C14" t="s">
        <v>433</v>
      </c>
    </row>
    <row r="15" spans="2:6" x14ac:dyDescent="0.3">
      <c r="B15" t="s">
        <v>441</v>
      </c>
      <c r="C15" t="s">
        <v>434</v>
      </c>
    </row>
    <row r="16" spans="2:6" x14ac:dyDescent="0.3">
      <c r="B16" t="s">
        <v>490</v>
      </c>
      <c r="C16" t="s">
        <v>489</v>
      </c>
    </row>
    <row r="17" spans="2:3" x14ac:dyDescent="0.3">
      <c r="B17" t="s">
        <v>442</v>
      </c>
      <c r="C17" t="s">
        <v>435</v>
      </c>
    </row>
    <row r="18" spans="2:3" x14ac:dyDescent="0.3">
      <c r="B18" t="s">
        <v>443</v>
      </c>
      <c r="C18" t="s">
        <v>436</v>
      </c>
    </row>
    <row r="19" spans="2:3" x14ac:dyDescent="0.3">
      <c r="B19" t="s">
        <v>444</v>
      </c>
      <c r="C19" t="s">
        <v>437</v>
      </c>
    </row>
    <row r="20" spans="2:3" x14ac:dyDescent="0.3">
      <c r="B20" t="s">
        <v>445</v>
      </c>
      <c r="C20" t="s">
        <v>438</v>
      </c>
    </row>
    <row r="21" spans="2:3" ht="15" x14ac:dyDescent="0.25">
      <c r="B21" t="s">
        <v>427</v>
      </c>
      <c r="C21" t="s">
        <v>427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F115"/>
  <sheetViews>
    <sheetView zoomScale="85" zoomScaleNormal="85" workbookViewId="0">
      <pane xSplit="3" topLeftCell="D1" activePane="topRight" state="frozen"/>
      <selection activeCell="I5" sqref="I5"/>
      <selection pane="topRight" activeCell="D14" sqref="D14"/>
    </sheetView>
  </sheetViews>
  <sheetFormatPr defaultRowHeight="14.4" x14ac:dyDescent="0.3"/>
  <cols>
    <col min="1" max="1" width="3.6640625" customWidth="1"/>
    <col min="2" max="2" width="2.88671875" customWidth="1"/>
    <col min="3" max="3" width="35.6640625" customWidth="1"/>
    <col min="4" max="4" width="61.109375" customWidth="1"/>
    <col min="5" max="5" width="9.6640625" customWidth="1"/>
    <col min="6" max="6" width="13.33203125" customWidth="1"/>
    <col min="7" max="7" width="33.33203125" style="359" customWidth="1"/>
    <col min="8" max="8" width="17.44140625" style="359" customWidth="1"/>
    <col min="9" max="9" width="9.5546875" bestFit="1" customWidth="1"/>
    <col min="12" max="12" width="10.109375" customWidth="1"/>
    <col min="13" max="13" width="8.6640625" customWidth="1"/>
    <col min="14" max="14" width="14.109375" customWidth="1"/>
    <col min="15" max="15" width="12.33203125" customWidth="1"/>
    <col min="16" max="16" width="9.33203125" bestFit="1" customWidth="1"/>
    <col min="17" max="17" width="9" bestFit="1" customWidth="1"/>
    <col min="18" max="18" width="10" bestFit="1" customWidth="1"/>
    <col min="19" max="19" width="9.88671875" bestFit="1" customWidth="1"/>
    <col min="20" max="20" width="9" bestFit="1" customWidth="1"/>
    <col min="21" max="21" width="11.44140625" bestFit="1" customWidth="1"/>
  </cols>
  <sheetData>
    <row r="1" spans="2:32" x14ac:dyDescent="0.3">
      <c r="B1" s="22" t="s">
        <v>610</v>
      </c>
      <c r="F1" s="567" t="s">
        <v>425</v>
      </c>
      <c r="G1" s="419"/>
    </row>
    <row r="2" spans="2:32" x14ac:dyDescent="0.3">
      <c r="F2" s="418"/>
      <c r="G2" s="419"/>
    </row>
    <row r="3" spans="2:32" x14ac:dyDescent="0.3">
      <c r="B3" s="25" t="s">
        <v>218</v>
      </c>
      <c r="F3" s="418"/>
      <c r="G3" s="419"/>
    </row>
    <row r="4" spans="2:32" x14ac:dyDescent="0.3">
      <c r="B4" s="385" t="s">
        <v>263</v>
      </c>
      <c r="I4" s="215"/>
      <c r="J4" s="463"/>
      <c r="K4" s="463"/>
      <c r="L4" s="214"/>
    </row>
    <row r="5" spans="2:32" ht="14.4" customHeight="1" x14ac:dyDescent="0.3">
      <c r="C5" s="373"/>
      <c r="D5" s="373"/>
      <c r="E5" s="375" t="s">
        <v>214</v>
      </c>
      <c r="F5" s="373"/>
      <c r="G5" s="380"/>
      <c r="H5" s="380"/>
      <c r="I5" s="373"/>
      <c r="J5" s="373"/>
      <c r="K5" s="373"/>
    </row>
    <row r="6" spans="2:32" x14ac:dyDescent="0.3">
      <c r="C6" s="374" t="s">
        <v>215</v>
      </c>
      <c r="D6" s="374" t="s">
        <v>216</v>
      </c>
      <c r="E6" s="378" t="s">
        <v>219</v>
      </c>
      <c r="F6" s="374" t="s">
        <v>248</v>
      </c>
      <c r="G6" s="374" t="s">
        <v>362</v>
      </c>
      <c r="H6" s="374" t="s">
        <v>84</v>
      </c>
      <c r="I6" s="374" t="s">
        <v>135</v>
      </c>
      <c r="J6" s="374" t="s">
        <v>370</v>
      </c>
      <c r="K6" s="374" t="s">
        <v>60</v>
      </c>
      <c r="L6" s="45"/>
      <c r="M6" s="45"/>
      <c r="N6" s="45"/>
      <c r="O6" s="45"/>
      <c r="P6" s="45"/>
      <c r="Q6" s="45"/>
      <c r="R6" s="45"/>
      <c r="S6" s="45"/>
      <c r="T6" s="45"/>
      <c r="X6" s="532"/>
      <c r="Y6" s="532"/>
      <c r="Z6" s="532"/>
      <c r="AA6" s="532"/>
      <c r="AB6" s="532"/>
      <c r="AC6" s="532"/>
      <c r="AD6" s="532"/>
      <c r="AE6" s="532"/>
      <c r="AF6" s="532"/>
    </row>
    <row r="7" spans="2:32" x14ac:dyDescent="0.3">
      <c r="C7" s="338" t="s">
        <v>306</v>
      </c>
      <c r="D7" s="338" t="s">
        <v>326</v>
      </c>
      <c r="E7" s="579"/>
      <c r="F7" s="364" t="s">
        <v>249</v>
      </c>
      <c r="G7" s="18" t="s">
        <v>18</v>
      </c>
      <c r="H7" s="389" t="s">
        <v>42</v>
      </c>
      <c r="I7" s="402">
        <v>78.838847145488032</v>
      </c>
      <c r="J7" s="579"/>
      <c r="K7" s="579"/>
      <c r="L7" s="522"/>
      <c r="M7" s="538"/>
      <c r="N7" s="524"/>
      <c r="O7" s="45"/>
      <c r="P7" s="540"/>
      <c r="Q7" s="540"/>
      <c r="R7" s="540"/>
      <c r="S7" s="346"/>
      <c r="T7" s="45"/>
    </row>
    <row r="8" spans="2:32" x14ac:dyDescent="0.3">
      <c r="C8" s="338" t="s">
        <v>329</v>
      </c>
      <c r="D8" s="338" t="s">
        <v>327</v>
      </c>
      <c r="E8" s="579"/>
      <c r="F8" s="364" t="s">
        <v>249</v>
      </c>
      <c r="G8" s="18" t="s">
        <v>18</v>
      </c>
      <c r="H8" s="389" t="s">
        <v>42</v>
      </c>
      <c r="I8" s="402">
        <v>90.745458563535905</v>
      </c>
      <c r="J8" s="579"/>
      <c r="K8" s="579"/>
      <c r="L8" s="522"/>
      <c r="M8" s="538"/>
      <c r="N8" s="524"/>
      <c r="O8" s="45"/>
      <c r="P8" s="540"/>
      <c r="Q8" s="540"/>
      <c r="R8" s="540"/>
      <c r="S8" s="346"/>
      <c r="T8" s="45"/>
    </row>
    <row r="9" spans="2:32" x14ac:dyDescent="0.3">
      <c r="C9" s="338" t="s">
        <v>502</v>
      </c>
      <c r="D9" s="338" t="s">
        <v>375</v>
      </c>
      <c r="E9" s="579"/>
      <c r="F9" s="364" t="s">
        <v>249</v>
      </c>
      <c r="G9" s="18" t="s">
        <v>18</v>
      </c>
      <c r="H9" s="389" t="s">
        <v>42</v>
      </c>
      <c r="I9" s="402">
        <v>25.236519337016578</v>
      </c>
      <c r="J9" s="579"/>
      <c r="K9" s="579"/>
      <c r="L9" s="522"/>
      <c r="M9" s="538"/>
      <c r="N9" s="524"/>
      <c r="O9" s="45"/>
      <c r="P9" s="540"/>
      <c r="Q9" s="540"/>
      <c r="R9" s="540"/>
      <c r="S9" s="346"/>
      <c r="T9" s="45"/>
    </row>
    <row r="10" spans="2:32" x14ac:dyDescent="0.3">
      <c r="C10" s="338" t="s">
        <v>503</v>
      </c>
      <c r="D10" s="338" t="s">
        <v>371</v>
      </c>
      <c r="E10" s="579"/>
      <c r="F10" s="364" t="s">
        <v>249</v>
      </c>
      <c r="G10" s="18" t="s">
        <v>18</v>
      </c>
      <c r="H10" s="389" t="s">
        <v>42</v>
      </c>
      <c r="I10" s="402">
        <v>38.571335174953965</v>
      </c>
      <c r="J10" s="579"/>
      <c r="K10" s="579"/>
      <c r="L10" s="522"/>
      <c r="M10" s="538"/>
      <c r="N10" s="524"/>
      <c r="O10" s="45"/>
      <c r="P10" s="540"/>
      <c r="Q10" s="540"/>
      <c r="R10" s="540"/>
      <c r="S10" s="346"/>
      <c r="T10" s="45"/>
    </row>
    <row r="11" spans="2:32" x14ac:dyDescent="0.3">
      <c r="C11" s="368" t="s">
        <v>372</v>
      </c>
      <c r="D11" s="338" t="s">
        <v>372</v>
      </c>
      <c r="E11" s="579"/>
      <c r="F11" s="364" t="s">
        <v>249</v>
      </c>
      <c r="G11" s="18" t="s">
        <v>18</v>
      </c>
      <c r="H11" s="389" t="s">
        <v>42</v>
      </c>
      <c r="I11" s="402">
        <v>0</v>
      </c>
      <c r="J11" s="579"/>
      <c r="K11" s="579"/>
      <c r="L11" s="522"/>
      <c r="M11" s="538"/>
      <c r="N11" s="524"/>
      <c r="O11" s="45"/>
      <c r="P11" s="540"/>
      <c r="Q11" s="540"/>
      <c r="R11" s="540"/>
      <c r="S11" s="346"/>
      <c r="T11" s="45"/>
    </row>
    <row r="12" spans="2:32" x14ac:dyDescent="0.3">
      <c r="C12" s="338" t="s">
        <v>266</v>
      </c>
      <c r="D12" s="338" t="s">
        <v>309</v>
      </c>
      <c r="E12" s="579"/>
      <c r="F12" s="364" t="s">
        <v>249</v>
      </c>
      <c r="G12" s="18" t="s">
        <v>22</v>
      </c>
      <c r="H12" s="389" t="s">
        <v>42</v>
      </c>
      <c r="I12" s="402">
        <v>1084.7777777777778</v>
      </c>
      <c r="J12" s="579"/>
      <c r="K12" s="579"/>
      <c r="L12" s="541"/>
      <c r="M12" s="538"/>
      <c r="N12" s="524"/>
      <c r="O12" s="542"/>
      <c r="P12" s="540"/>
      <c r="Q12" s="540"/>
      <c r="R12" s="540"/>
      <c r="S12" s="346"/>
      <c r="T12" s="45"/>
    </row>
    <row r="13" spans="2:32" x14ac:dyDescent="0.3">
      <c r="C13" s="338" t="s">
        <v>308</v>
      </c>
      <c r="D13" s="338" t="s">
        <v>310</v>
      </c>
      <c r="E13" s="579"/>
      <c r="F13" s="364" t="s">
        <v>249</v>
      </c>
      <c r="G13" s="18" t="s">
        <v>18</v>
      </c>
      <c r="H13" s="389" t="s">
        <v>42</v>
      </c>
      <c r="I13" s="402">
        <v>0</v>
      </c>
      <c r="J13" s="579"/>
      <c r="K13" s="579"/>
      <c r="L13" s="522"/>
      <c r="M13" s="538"/>
      <c r="N13" s="524"/>
      <c r="O13" s="45"/>
      <c r="P13" s="540"/>
      <c r="Q13" s="540"/>
      <c r="R13" s="540"/>
      <c r="S13" s="346"/>
      <c r="T13" s="45"/>
    </row>
    <row r="14" spans="2:32" x14ac:dyDescent="0.3">
      <c r="C14" s="338" t="s">
        <v>280</v>
      </c>
      <c r="D14" s="338" t="s">
        <v>277</v>
      </c>
      <c r="E14" s="579"/>
      <c r="F14" s="364" t="s">
        <v>249</v>
      </c>
      <c r="G14" s="18" t="s">
        <v>18</v>
      </c>
      <c r="H14" s="389" t="s">
        <v>42</v>
      </c>
      <c r="I14" s="402">
        <v>1249.4511627906975</v>
      </c>
      <c r="J14" s="579"/>
      <c r="K14" s="579"/>
      <c r="L14" s="522"/>
      <c r="M14" s="538"/>
      <c r="N14" s="524"/>
      <c r="O14" s="45"/>
      <c r="P14" s="540"/>
      <c r="Q14" s="540"/>
      <c r="R14" s="540"/>
      <c r="S14" s="346"/>
      <c r="T14" s="45"/>
    </row>
    <row r="15" spans="2:32" x14ac:dyDescent="0.3">
      <c r="C15" s="338" t="s">
        <v>279</v>
      </c>
      <c r="D15" s="338" t="s">
        <v>278</v>
      </c>
      <c r="E15" s="579"/>
      <c r="F15" s="364" t="s">
        <v>249</v>
      </c>
      <c r="G15" s="18" t="s">
        <v>18</v>
      </c>
      <c r="H15" s="389" t="s">
        <v>42</v>
      </c>
      <c r="I15" s="402">
        <v>1378.3627906976742</v>
      </c>
      <c r="J15" s="579"/>
      <c r="K15" s="579"/>
      <c r="L15" s="522"/>
      <c r="M15" s="538"/>
      <c r="N15" s="524"/>
      <c r="O15" s="45"/>
      <c r="P15" s="540"/>
      <c r="Q15" s="540"/>
      <c r="R15" s="540"/>
      <c r="S15" s="346"/>
      <c r="T15" s="45"/>
    </row>
    <row r="16" spans="2:32" x14ac:dyDescent="0.3">
      <c r="C16" s="338" t="s">
        <v>349</v>
      </c>
      <c r="D16" s="338" t="s">
        <v>374</v>
      </c>
      <c r="E16" s="579"/>
      <c r="F16" s="364" t="s">
        <v>249</v>
      </c>
      <c r="G16" s="18" t="s">
        <v>18</v>
      </c>
      <c r="H16" s="389" t="s">
        <v>42</v>
      </c>
      <c r="I16" s="402">
        <v>119.83724093023255</v>
      </c>
      <c r="J16" s="579"/>
      <c r="K16" s="579"/>
      <c r="L16" s="522"/>
      <c r="M16" s="538"/>
      <c r="N16" s="524"/>
      <c r="O16" s="45"/>
      <c r="P16" s="540"/>
      <c r="Q16" s="540"/>
      <c r="R16" s="540"/>
      <c r="S16" s="346"/>
      <c r="T16" s="45"/>
    </row>
    <row r="17" spans="3:20" x14ac:dyDescent="0.3">
      <c r="C17" s="338" t="s">
        <v>519</v>
      </c>
      <c r="D17" s="338" t="s">
        <v>514</v>
      </c>
      <c r="E17" s="579"/>
      <c r="F17" s="364" t="s">
        <v>249</v>
      </c>
      <c r="G17" s="18" t="s">
        <v>18</v>
      </c>
      <c r="H17" s="389" t="s">
        <v>42</v>
      </c>
      <c r="I17" s="402">
        <v>314.14672930232553</v>
      </c>
      <c r="J17" s="579"/>
      <c r="K17" s="579"/>
      <c r="L17" s="522"/>
      <c r="M17" s="538"/>
      <c r="N17" s="524"/>
      <c r="O17" s="45"/>
      <c r="P17" s="540"/>
      <c r="Q17" s="540"/>
      <c r="R17" s="540"/>
      <c r="S17" s="346"/>
      <c r="T17" s="45"/>
    </row>
    <row r="18" spans="3:20" x14ac:dyDescent="0.3">
      <c r="C18" s="338" t="s">
        <v>518</v>
      </c>
      <c r="D18" s="338" t="s">
        <v>515</v>
      </c>
      <c r="E18" s="579"/>
      <c r="F18" s="364" t="s">
        <v>249</v>
      </c>
      <c r="G18" s="18" t="s">
        <v>18</v>
      </c>
      <c r="H18" s="389" t="s">
        <v>42</v>
      </c>
      <c r="I18" s="402">
        <v>196.83714790697672</v>
      </c>
      <c r="J18" s="579"/>
      <c r="K18" s="579"/>
      <c r="L18" s="522"/>
      <c r="M18" s="538"/>
      <c r="N18" s="524"/>
      <c r="O18" s="45"/>
      <c r="P18" s="540"/>
      <c r="Q18" s="540"/>
      <c r="R18" s="540"/>
      <c r="S18" s="346"/>
      <c r="T18" s="45"/>
    </row>
    <row r="19" spans="3:20" ht="15" x14ac:dyDescent="0.25">
      <c r="C19" s="338" t="s">
        <v>517</v>
      </c>
      <c r="D19" s="338" t="s">
        <v>516</v>
      </c>
      <c r="E19" s="579"/>
      <c r="F19" s="364" t="s">
        <v>249</v>
      </c>
      <c r="G19" s="18" t="s">
        <v>18</v>
      </c>
      <c r="H19" s="389" t="s">
        <v>42</v>
      </c>
      <c r="I19" s="402">
        <v>86.121892093023249</v>
      </c>
      <c r="J19" s="579"/>
      <c r="K19" s="579"/>
      <c r="L19" s="522"/>
      <c r="M19" s="538"/>
      <c r="N19" s="524"/>
      <c r="O19" s="45"/>
      <c r="P19" s="540"/>
      <c r="Q19" s="540"/>
      <c r="R19" s="540"/>
      <c r="S19" s="346"/>
      <c r="T19" s="45"/>
    </row>
    <row r="20" spans="3:20" ht="15" x14ac:dyDescent="0.25">
      <c r="C20" s="368" t="s">
        <v>373</v>
      </c>
      <c r="D20" s="338" t="s">
        <v>373</v>
      </c>
      <c r="E20" s="579"/>
      <c r="F20" s="364" t="s">
        <v>249</v>
      </c>
      <c r="G20" s="18" t="s">
        <v>18</v>
      </c>
      <c r="H20" s="389" t="s">
        <v>42</v>
      </c>
      <c r="I20" s="402">
        <v>0</v>
      </c>
      <c r="J20" s="579"/>
      <c r="K20" s="579"/>
      <c r="L20" s="522"/>
      <c r="M20" s="538"/>
      <c r="N20" s="524"/>
      <c r="O20" s="45"/>
      <c r="P20" s="540"/>
      <c r="Q20" s="540"/>
      <c r="R20" s="540"/>
      <c r="S20" s="346"/>
      <c r="T20" s="45"/>
    </row>
    <row r="21" spans="3:20" ht="15" x14ac:dyDescent="0.25">
      <c r="C21" s="338" t="s">
        <v>350</v>
      </c>
      <c r="D21" s="338" t="s">
        <v>338</v>
      </c>
      <c r="E21" s="579"/>
      <c r="F21" s="364" t="s">
        <v>249</v>
      </c>
      <c r="G21" s="18" t="s">
        <v>18</v>
      </c>
      <c r="H21" s="389" t="s">
        <v>42</v>
      </c>
      <c r="I21" s="402">
        <v>62.900871086556172</v>
      </c>
      <c r="J21" s="579"/>
      <c r="K21" s="579"/>
      <c r="L21" s="522"/>
      <c r="M21" s="538"/>
      <c r="N21" s="524"/>
      <c r="O21" s="45"/>
      <c r="P21" s="540"/>
      <c r="Q21" s="540"/>
      <c r="R21" s="540"/>
      <c r="S21" s="346"/>
      <c r="T21" s="45"/>
    </row>
    <row r="22" spans="3:20" x14ac:dyDescent="0.3">
      <c r="C22" s="338" t="s">
        <v>334</v>
      </c>
      <c r="D22" s="338" t="s">
        <v>360</v>
      </c>
      <c r="E22" s="579"/>
      <c r="F22" s="364" t="s">
        <v>249</v>
      </c>
      <c r="G22" s="18" t="s">
        <v>18</v>
      </c>
      <c r="H22" s="389" t="s">
        <v>42</v>
      </c>
      <c r="I22" s="402">
        <v>6.8116309209302308</v>
      </c>
      <c r="J22" s="579"/>
      <c r="K22" s="579"/>
      <c r="L22" s="522"/>
      <c r="M22" s="538"/>
      <c r="N22" s="524"/>
      <c r="O22" s="45"/>
      <c r="P22" s="540"/>
      <c r="Q22" s="540"/>
      <c r="R22" s="540"/>
      <c r="S22" s="346"/>
      <c r="T22" s="45"/>
    </row>
    <row r="23" spans="3:20" x14ac:dyDescent="0.3">
      <c r="C23" s="338" t="s">
        <v>333</v>
      </c>
      <c r="D23" s="338" t="s">
        <v>333</v>
      </c>
      <c r="E23" s="579"/>
      <c r="F23" s="364" t="s">
        <v>249</v>
      </c>
      <c r="G23" s="18" t="s">
        <v>18</v>
      </c>
      <c r="H23" s="389" t="s">
        <v>42</v>
      </c>
      <c r="I23" s="402">
        <v>0</v>
      </c>
      <c r="J23" s="579"/>
      <c r="K23" s="579"/>
      <c r="L23" s="522"/>
      <c r="M23" s="538"/>
      <c r="N23" s="524"/>
      <c r="O23" s="45"/>
      <c r="P23" s="540"/>
      <c r="Q23" s="540"/>
      <c r="R23" s="540"/>
      <c r="S23" s="346"/>
      <c r="T23" s="45"/>
    </row>
    <row r="24" spans="3:20" x14ac:dyDescent="0.3">
      <c r="C24" s="338" t="s">
        <v>335</v>
      </c>
      <c r="D24" s="338" t="s">
        <v>335</v>
      </c>
      <c r="E24" s="579"/>
      <c r="F24" s="364" t="s">
        <v>249</v>
      </c>
      <c r="G24" s="18" t="s">
        <v>18</v>
      </c>
      <c r="H24" s="389" t="s">
        <v>42</v>
      </c>
      <c r="I24" s="402">
        <v>0</v>
      </c>
      <c r="J24" s="579"/>
      <c r="K24" s="579"/>
      <c r="L24" s="522"/>
      <c r="M24" s="538"/>
      <c r="N24" s="524"/>
      <c r="O24" s="45"/>
      <c r="P24" s="540"/>
      <c r="Q24" s="540"/>
      <c r="R24" s="540"/>
      <c r="S24" s="346"/>
      <c r="T24" s="45"/>
    </row>
    <row r="25" spans="3:20" x14ac:dyDescent="0.3">
      <c r="C25" s="338" t="s">
        <v>504</v>
      </c>
      <c r="D25" s="338" t="s">
        <v>504</v>
      </c>
      <c r="E25" s="579"/>
      <c r="F25" s="364" t="s">
        <v>249</v>
      </c>
      <c r="G25" s="18" t="s">
        <v>18</v>
      </c>
      <c r="H25" s="389" t="s">
        <v>42</v>
      </c>
      <c r="I25" s="402">
        <v>25.131489871086558</v>
      </c>
      <c r="J25" s="579"/>
      <c r="K25" s="579"/>
      <c r="L25" s="522"/>
      <c r="M25" s="538"/>
      <c r="N25" s="524"/>
      <c r="O25" s="45"/>
      <c r="P25" s="540"/>
      <c r="Q25" s="540"/>
      <c r="R25" s="540"/>
      <c r="S25" s="346"/>
      <c r="T25" s="45"/>
    </row>
    <row r="26" spans="3:20" x14ac:dyDescent="0.3">
      <c r="C26" s="338" t="s">
        <v>493</v>
      </c>
      <c r="D26" s="338" t="s">
        <v>494</v>
      </c>
      <c r="E26" s="579"/>
      <c r="F26" s="364" t="s">
        <v>249</v>
      </c>
      <c r="G26" s="18" t="s">
        <v>18</v>
      </c>
      <c r="H26" s="389" t="s">
        <v>42</v>
      </c>
      <c r="I26" s="402">
        <v>0</v>
      </c>
      <c r="J26" s="579"/>
      <c r="K26" s="579"/>
      <c r="L26" s="522"/>
      <c r="M26" s="538"/>
      <c r="N26" s="524"/>
      <c r="O26" s="45"/>
      <c r="P26" s="540"/>
      <c r="Q26" s="540"/>
      <c r="R26" s="540"/>
      <c r="S26" s="346"/>
      <c r="T26" s="45"/>
    </row>
    <row r="27" spans="3:20" x14ac:dyDescent="0.3">
      <c r="C27" s="338" t="s">
        <v>336</v>
      </c>
      <c r="D27" s="338" t="s">
        <v>336</v>
      </c>
      <c r="E27" s="579"/>
      <c r="F27" s="364" t="s">
        <v>249</v>
      </c>
      <c r="G27" s="18" t="s">
        <v>18</v>
      </c>
      <c r="H27" s="389" t="s">
        <v>42</v>
      </c>
      <c r="I27" s="402">
        <v>0.60844172586161538</v>
      </c>
      <c r="J27" s="579"/>
      <c r="K27" s="579"/>
      <c r="L27" s="522"/>
      <c r="M27" s="538"/>
      <c r="N27" s="524"/>
      <c r="O27" s="45"/>
      <c r="P27" s="540"/>
      <c r="Q27" s="540"/>
      <c r="R27" s="540"/>
      <c r="S27" s="346"/>
      <c r="T27" s="45"/>
    </row>
    <row r="28" spans="3:20" x14ac:dyDescent="0.3">
      <c r="C28" s="368" t="s">
        <v>339</v>
      </c>
      <c r="D28" s="368" t="s">
        <v>339</v>
      </c>
      <c r="E28" s="579"/>
      <c r="F28" s="364" t="s">
        <v>249</v>
      </c>
      <c r="G28" s="18" t="s">
        <v>18</v>
      </c>
      <c r="H28" s="389" t="s">
        <v>42</v>
      </c>
      <c r="I28" s="402">
        <v>24.73714976744186</v>
      </c>
      <c r="J28" s="579"/>
      <c r="K28" s="579"/>
      <c r="L28" s="522"/>
      <c r="M28" s="538"/>
      <c r="N28" s="524"/>
      <c r="O28" s="45"/>
      <c r="P28" s="540"/>
      <c r="Q28" s="540"/>
      <c r="R28" s="540"/>
      <c r="S28" s="346"/>
      <c r="T28" s="45"/>
    </row>
    <row r="29" spans="3:20" x14ac:dyDescent="0.3">
      <c r="C29" s="338" t="s">
        <v>209</v>
      </c>
      <c r="D29" s="338" t="s">
        <v>208</v>
      </c>
      <c r="E29" s="579"/>
      <c r="F29" s="364" t="s">
        <v>249</v>
      </c>
      <c r="G29" s="18" t="s">
        <v>18</v>
      </c>
      <c r="H29" s="389" t="s">
        <v>42</v>
      </c>
      <c r="I29" s="402">
        <v>94.457808471454882</v>
      </c>
      <c r="J29" s="580"/>
      <c r="K29" s="579"/>
      <c r="L29" s="522"/>
      <c r="M29" s="538"/>
      <c r="N29" s="524"/>
      <c r="O29" s="45"/>
      <c r="P29" s="540"/>
      <c r="Q29" s="540"/>
      <c r="R29" s="540"/>
      <c r="S29" s="346"/>
      <c r="T29" s="45"/>
    </row>
    <row r="30" spans="3:20" x14ac:dyDescent="0.3">
      <c r="C30" s="338" t="s">
        <v>212</v>
      </c>
      <c r="D30" s="338" t="s">
        <v>213</v>
      </c>
      <c r="E30" s="579"/>
      <c r="F30" s="364" t="s">
        <v>249</v>
      </c>
      <c r="G30" s="18" t="s">
        <v>18</v>
      </c>
      <c r="H30" s="389" t="s">
        <v>42</v>
      </c>
      <c r="I30" s="402">
        <v>0</v>
      </c>
      <c r="J30" s="579"/>
      <c r="K30" s="579"/>
      <c r="L30" s="522"/>
      <c r="M30" s="538"/>
      <c r="N30" s="524"/>
      <c r="O30" s="45"/>
      <c r="P30" s="540"/>
      <c r="Q30" s="540"/>
      <c r="R30" s="540"/>
      <c r="S30" s="346"/>
      <c r="T30" s="45"/>
    </row>
    <row r="31" spans="3:20" x14ac:dyDescent="0.3">
      <c r="C31" s="338" t="s">
        <v>497</v>
      </c>
      <c r="D31" s="338" t="s">
        <v>498</v>
      </c>
      <c r="E31" s="579"/>
      <c r="F31" s="364" t="s">
        <v>249</v>
      </c>
      <c r="G31" s="18" t="s">
        <v>18</v>
      </c>
      <c r="H31" s="389" t="s">
        <v>42</v>
      </c>
      <c r="I31" s="402">
        <v>0</v>
      </c>
      <c r="J31" s="579"/>
      <c r="K31" s="579"/>
      <c r="L31" s="522"/>
      <c r="M31" s="538"/>
      <c r="N31" s="524"/>
      <c r="O31" s="45"/>
      <c r="P31" s="540"/>
      <c r="Q31" s="540"/>
      <c r="R31" s="540"/>
      <c r="S31" s="346"/>
      <c r="T31" s="45"/>
    </row>
    <row r="32" spans="3:20" x14ac:dyDescent="0.3">
      <c r="C32" s="338" t="s">
        <v>364</v>
      </c>
      <c r="D32" s="338" t="s">
        <v>359</v>
      </c>
      <c r="E32" s="579"/>
      <c r="F32" s="364" t="s">
        <v>249</v>
      </c>
      <c r="G32" s="18" t="s">
        <v>18</v>
      </c>
      <c r="H32" s="389" t="s">
        <v>42</v>
      </c>
      <c r="I32" s="402">
        <v>226.61039779005526</v>
      </c>
      <c r="J32" s="579"/>
      <c r="K32" s="579"/>
      <c r="L32" s="522"/>
      <c r="M32" s="538"/>
      <c r="N32" s="524"/>
      <c r="O32" s="45"/>
      <c r="P32" s="540"/>
      <c r="Q32" s="540"/>
      <c r="R32" s="540"/>
      <c r="S32" s="346"/>
      <c r="T32" s="45"/>
    </row>
    <row r="33" spans="2:31" x14ac:dyDescent="0.3">
      <c r="C33" s="338" t="s">
        <v>363</v>
      </c>
      <c r="D33" s="338" t="s">
        <v>376</v>
      </c>
      <c r="E33" s="579"/>
      <c r="F33" s="364" t="s">
        <v>249</v>
      </c>
      <c r="G33" s="18" t="s">
        <v>18</v>
      </c>
      <c r="H33" s="389" t="s">
        <v>42</v>
      </c>
      <c r="I33" s="402">
        <v>164.69749581395345</v>
      </c>
      <c r="J33" s="580"/>
      <c r="K33" s="579"/>
      <c r="L33" s="523"/>
      <c r="M33" s="538"/>
      <c r="N33" s="524"/>
      <c r="O33" s="45"/>
      <c r="P33" s="540"/>
      <c r="Q33" s="540"/>
      <c r="R33" s="540"/>
      <c r="S33" s="346"/>
      <c r="T33" s="45"/>
    </row>
    <row r="34" spans="2:31" x14ac:dyDescent="0.3">
      <c r="C34" s="368" t="s">
        <v>273</v>
      </c>
      <c r="D34" s="368" t="s">
        <v>501</v>
      </c>
      <c r="E34" s="579"/>
      <c r="F34" s="364" t="s">
        <v>249</v>
      </c>
      <c r="G34" s="18" t="s">
        <v>18</v>
      </c>
      <c r="H34" s="389" t="s">
        <v>42</v>
      </c>
      <c r="I34" s="402">
        <v>362.24270165745855</v>
      </c>
      <c r="J34" s="579"/>
      <c r="K34" s="579"/>
      <c r="L34" s="522"/>
      <c r="M34" s="538"/>
      <c r="N34" s="524"/>
      <c r="O34" s="45"/>
      <c r="P34" s="540"/>
      <c r="Q34" s="540"/>
      <c r="R34" s="540"/>
      <c r="S34" s="346"/>
      <c r="T34" s="45"/>
    </row>
    <row r="35" spans="2:31" x14ac:dyDescent="0.3">
      <c r="C35" s="338" t="s">
        <v>303</v>
      </c>
      <c r="D35" s="338" t="s">
        <v>275</v>
      </c>
      <c r="E35" s="579"/>
      <c r="F35" s="364" t="s">
        <v>249</v>
      </c>
      <c r="G35" s="18" t="s">
        <v>18</v>
      </c>
      <c r="H35" s="389" t="s">
        <v>42</v>
      </c>
      <c r="I35" s="402">
        <v>33.716340465116275</v>
      </c>
      <c r="J35" s="579"/>
      <c r="K35" s="579"/>
      <c r="L35" s="522"/>
      <c r="M35" s="538"/>
      <c r="N35" s="524"/>
      <c r="O35" s="45"/>
      <c r="P35" s="540"/>
      <c r="Q35" s="540"/>
      <c r="R35" s="540"/>
      <c r="S35" s="346"/>
      <c r="T35" s="45"/>
    </row>
    <row r="36" spans="2:31" x14ac:dyDescent="0.3">
      <c r="C36" s="338" t="s">
        <v>303</v>
      </c>
      <c r="D36" s="338" t="s">
        <v>276</v>
      </c>
      <c r="E36" s="579"/>
      <c r="F36" s="364" t="s">
        <v>249</v>
      </c>
      <c r="G36" s="18" t="s">
        <v>18</v>
      </c>
      <c r="H36" s="389" t="s">
        <v>42</v>
      </c>
      <c r="I36" s="402">
        <v>10.421017674418604</v>
      </c>
      <c r="J36" s="579"/>
      <c r="K36" s="579"/>
      <c r="L36" s="522"/>
      <c r="M36" s="538"/>
      <c r="N36" s="524"/>
      <c r="O36" s="45"/>
      <c r="P36" s="540"/>
      <c r="Q36" s="540"/>
      <c r="R36" s="540"/>
      <c r="S36" s="346"/>
      <c r="T36" s="45"/>
    </row>
    <row r="37" spans="2:31" x14ac:dyDescent="0.3">
      <c r="C37" s="338" t="s">
        <v>303</v>
      </c>
      <c r="D37" s="338" t="s">
        <v>274</v>
      </c>
      <c r="E37" s="579"/>
      <c r="F37" s="364" t="s">
        <v>249</v>
      </c>
      <c r="G37" s="18" t="s">
        <v>18</v>
      </c>
      <c r="H37" s="389" t="s">
        <v>42</v>
      </c>
      <c r="I37" s="402">
        <v>1.775013953488372</v>
      </c>
      <c r="J37" s="579"/>
      <c r="K37" s="579"/>
      <c r="L37" s="522"/>
      <c r="M37" s="538"/>
      <c r="N37" s="524"/>
      <c r="O37" s="45"/>
      <c r="P37" s="540"/>
      <c r="Q37" s="540"/>
      <c r="R37" s="540"/>
      <c r="S37" s="346"/>
      <c r="T37" s="45"/>
    </row>
    <row r="38" spans="2:31" x14ac:dyDescent="0.3">
      <c r="C38" s="338" t="s">
        <v>495</v>
      </c>
      <c r="D38" s="338" t="s">
        <v>496</v>
      </c>
      <c r="E38" s="579"/>
      <c r="F38" s="364" t="s">
        <v>249</v>
      </c>
      <c r="G38" s="18" t="s">
        <v>18</v>
      </c>
      <c r="H38" s="389" t="s">
        <v>42</v>
      </c>
      <c r="I38" s="402">
        <v>0</v>
      </c>
      <c r="J38" s="579"/>
      <c r="K38" s="579"/>
      <c r="L38" s="522"/>
      <c r="M38" s="538"/>
      <c r="N38" s="524"/>
      <c r="O38" s="45"/>
      <c r="P38" s="540"/>
      <c r="Q38" s="540"/>
      <c r="R38" s="540"/>
      <c r="S38" s="346"/>
      <c r="T38" s="45"/>
    </row>
    <row r="39" spans="2:31" s="361" customFormat="1" x14ac:dyDescent="0.3">
      <c r="C39" s="369" t="s">
        <v>408</v>
      </c>
      <c r="D39" s="369" t="s">
        <v>357</v>
      </c>
      <c r="E39" s="579"/>
      <c r="F39" s="364" t="s">
        <v>249</v>
      </c>
      <c r="G39" s="18" t="s">
        <v>18</v>
      </c>
      <c r="H39" s="389" t="s">
        <v>42</v>
      </c>
      <c r="I39" s="402">
        <v>123.95348837209301</v>
      </c>
      <c r="J39" s="579"/>
      <c r="K39" s="579"/>
      <c r="L39" s="522"/>
      <c r="M39" s="538"/>
      <c r="N39" s="524"/>
      <c r="O39" s="45"/>
      <c r="P39" s="540"/>
      <c r="Q39" s="540"/>
      <c r="R39" s="540"/>
      <c r="S39" s="346"/>
      <c r="T39" s="45"/>
      <c r="X39"/>
      <c r="Y39"/>
      <c r="Z39"/>
      <c r="AA39"/>
      <c r="AB39"/>
      <c r="AC39"/>
      <c r="AD39"/>
      <c r="AE39"/>
    </row>
    <row r="40" spans="2:31" x14ac:dyDescent="0.3">
      <c r="C40" s="171"/>
      <c r="D40" s="171"/>
      <c r="E40" s="382"/>
      <c r="F40" s="383"/>
      <c r="G40" s="318"/>
      <c r="H40" s="318"/>
      <c r="I40" s="384"/>
      <c r="J40" s="218"/>
      <c r="K40" s="218"/>
      <c r="L40" s="218"/>
      <c r="M40" s="218"/>
      <c r="N40" s="218"/>
      <c r="P40" s="15"/>
    </row>
    <row r="41" spans="2:31" ht="30.6" customHeight="1" x14ac:dyDescent="0.3">
      <c r="B41" s="385" t="s">
        <v>320</v>
      </c>
      <c r="E41" s="303"/>
      <c r="F41" s="304"/>
      <c r="G41" s="49"/>
      <c r="H41" s="49"/>
      <c r="I41" s="218"/>
      <c r="J41" s="218"/>
      <c r="K41" s="218"/>
      <c r="L41" s="218"/>
      <c r="M41" s="218"/>
      <c r="N41" s="218"/>
      <c r="P41" s="15"/>
      <c r="T41" s="287"/>
    </row>
    <row r="42" spans="2:31" ht="14.4" customHeight="1" x14ac:dyDescent="0.3">
      <c r="C42" s="373"/>
      <c r="D42" s="373"/>
      <c r="E42" s="375" t="s">
        <v>214</v>
      </c>
      <c r="F42" s="373"/>
      <c r="G42" s="380"/>
      <c r="H42" s="380"/>
      <c r="I42" s="373"/>
      <c r="J42" s="373"/>
      <c r="K42" s="373"/>
      <c r="L42" s="218"/>
      <c r="M42" s="218"/>
      <c r="N42" s="218"/>
      <c r="P42" s="15"/>
    </row>
    <row r="43" spans="2:31" x14ac:dyDescent="0.3">
      <c r="B43" s="23"/>
      <c r="C43" s="374" t="s">
        <v>215</v>
      </c>
      <c r="D43" s="374" t="s">
        <v>216</v>
      </c>
      <c r="E43" s="378" t="s">
        <v>219</v>
      </c>
      <c r="F43" s="374" t="s">
        <v>248</v>
      </c>
      <c r="G43" s="374" t="s">
        <v>362</v>
      </c>
      <c r="H43" s="374" t="s">
        <v>84</v>
      </c>
      <c r="I43" s="374" t="s">
        <v>135</v>
      </c>
      <c r="J43" s="374" t="s">
        <v>370</v>
      </c>
      <c r="K43" s="374" t="s">
        <v>60</v>
      </c>
      <c r="L43" s="218"/>
      <c r="M43" s="218"/>
      <c r="N43" s="218"/>
      <c r="P43" s="15"/>
    </row>
    <row r="44" spans="2:31" x14ac:dyDescent="0.3">
      <c r="C44" s="338" t="s">
        <v>499</v>
      </c>
      <c r="D44" s="338" t="s">
        <v>210</v>
      </c>
      <c r="E44" s="579"/>
      <c r="F44" s="526" t="s">
        <v>249</v>
      </c>
      <c r="G44" s="439" t="s">
        <v>22</v>
      </c>
      <c r="H44" s="527" t="s">
        <v>42</v>
      </c>
      <c r="I44" s="402">
        <v>46.208057090239414</v>
      </c>
      <c r="J44" s="579"/>
      <c r="K44" s="579"/>
      <c r="L44" s="522"/>
    </row>
    <row r="45" spans="2:31" x14ac:dyDescent="0.3">
      <c r="C45" s="338" t="s">
        <v>500</v>
      </c>
      <c r="D45" s="338" t="s">
        <v>210</v>
      </c>
      <c r="E45" s="579"/>
      <c r="F45" s="526" t="s">
        <v>249</v>
      </c>
      <c r="G45" s="439" t="s">
        <v>22</v>
      </c>
      <c r="H45" s="527" t="s">
        <v>42</v>
      </c>
      <c r="I45" s="402">
        <v>58.317856353591161</v>
      </c>
      <c r="J45" s="579"/>
      <c r="K45" s="579"/>
      <c r="L45" s="522"/>
    </row>
    <row r="46" spans="2:31" x14ac:dyDescent="0.3">
      <c r="C46" s="338" t="s">
        <v>319</v>
      </c>
      <c r="D46" s="338" t="s">
        <v>211</v>
      </c>
      <c r="E46" s="579"/>
      <c r="F46" s="526" t="s">
        <v>249</v>
      </c>
      <c r="G46" s="439" t="s">
        <v>22</v>
      </c>
      <c r="H46" s="527" t="s">
        <v>42</v>
      </c>
      <c r="I46" s="402">
        <v>5.88950276243094</v>
      </c>
      <c r="J46" s="579"/>
      <c r="K46" s="579"/>
      <c r="L46" s="522"/>
    </row>
    <row r="47" spans="2:31" x14ac:dyDescent="0.3">
      <c r="C47" s="338" t="s">
        <v>321</v>
      </c>
      <c r="D47" s="338" t="s">
        <v>321</v>
      </c>
      <c r="E47" s="579"/>
      <c r="F47" s="526" t="s">
        <v>249</v>
      </c>
      <c r="G47" s="439" t="s">
        <v>22</v>
      </c>
      <c r="H47" s="527" t="s">
        <v>42</v>
      </c>
      <c r="I47" s="402">
        <v>8.2030957642725593</v>
      </c>
      <c r="J47" s="579"/>
      <c r="K47" s="579"/>
      <c r="L47" s="522"/>
    </row>
    <row r="48" spans="2:31" x14ac:dyDescent="0.3">
      <c r="C48" s="368" t="s">
        <v>520</v>
      </c>
      <c r="D48" s="368" t="s">
        <v>525</v>
      </c>
      <c r="E48" s="579"/>
      <c r="F48" s="526" t="s">
        <v>249</v>
      </c>
      <c r="G48" s="439" t="s">
        <v>22</v>
      </c>
      <c r="H48" s="527" t="s">
        <v>42</v>
      </c>
      <c r="I48" s="402">
        <v>92.456849907918979</v>
      </c>
      <c r="J48" s="579"/>
      <c r="K48" s="579"/>
      <c r="L48" s="522"/>
    </row>
    <row r="49" spans="2:23" x14ac:dyDescent="0.3">
      <c r="C49" s="368" t="s">
        <v>521</v>
      </c>
      <c r="D49" s="368" t="s">
        <v>522</v>
      </c>
      <c r="E49" s="579"/>
      <c r="F49" s="526" t="s">
        <v>249</v>
      </c>
      <c r="G49" s="439" t="s">
        <v>22</v>
      </c>
      <c r="H49" s="527" t="s">
        <v>42</v>
      </c>
      <c r="I49" s="402">
        <v>186.46067587476981</v>
      </c>
      <c r="J49" s="579"/>
      <c r="K49" s="579"/>
      <c r="L49" s="522"/>
    </row>
    <row r="50" spans="2:23" x14ac:dyDescent="0.3">
      <c r="C50" s="368" t="s">
        <v>523</v>
      </c>
      <c r="D50" s="368" t="s">
        <v>524</v>
      </c>
      <c r="E50" s="579"/>
      <c r="F50" s="526" t="s">
        <v>249</v>
      </c>
      <c r="G50" s="439" t="s">
        <v>22</v>
      </c>
      <c r="H50" s="527" t="s">
        <v>42</v>
      </c>
      <c r="I50" s="402">
        <v>154.73392449355433</v>
      </c>
      <c r="J50" s="579"/>
      <c r="K50" s="579"/>
      <c r="L50" s="522"/>
    </row>
    <row r="51" spans="2:23" x14ac:dyDescent="0.3">
      <c r="C51" s="368" t="s">
        <v>526</v>
      </c>
      <c r="D51" s="368" t="s">
        <v>527</v>
      </c>
      <c r="E51" s="579"/>
      <c r="F51" s="526" t="s">
        <v>249</v>
      </c>
      <c r="G51" s="439" t="s">
        <v>22</v>
      </c>
      <c r="H51" s="527" t="s">
        <v>42</v>
      </c>
      <c r="I51" s="402">
        <v>39.589237569060778</v>
      </c>
      <c r="J51" s="579"/>
      <c r="K51" s="579"/>
      <c r="L51" s="522"/>
    </row>
    <row r="52" spans="2:23" x14ac:dyDescent="0.3">
      <c r="C52" s="368" t="s">
        <v>528</v>
      </c>
      <c r="D52" s="368" t="s">
        <v>529</v>
      </c>
      <c r="E52" s="579"/>
      <c r="F52" s="526" t="s">
        <v>249</v>
      </c>
      <c r="G52" s="439" t="s">
        <v>22</v>
      </c>
      <c r="H52" s="527" t="s">
        <v>42</v>
      </c>
      <c r="I52" s="402">
        <v>31.775830570902396</v>
      </c>
      <c r="J52" s="579"/>
      <c r="K52" s="579"/>
      <c r="L52" s="522"/>
    </row>
    <row r="53" spans="2:23" x14ac:dyDescent="0.3">
      <c r="C53" s="338" t="s">
        <v>337</v>
      </c>
      <c r="D53" s="338" t="s">
        <v>323</v>
      </c>
      <c r="E53" s="579"/>
      <c r="F53" s="526" t="s">
        <v>249</v>
      </c>
      <c r="G53" s="439" t="s">
        <v>22</v>
      </c>
      <c r="H53" s="527" t="s">
        <v>42</v>
      </c>
      <c r="I53" s="402">
        <v>140.881568372093</v>
      </c>
      <c r="J53" s="579"/>
      <c r="K53" s="579"/>
      <c r="L53" s="522"/>
    </row>
    <row r="54" spans="2:23" x14ac:dyDescent="0.3">
      <c r="C54" s="338" t="s">
        <v>330</v>
      </c>
      <c r="D54" s="338" t="s">
        <v>367</v>
      </c>
      <c r="E54" s="579"/>
      <c r="F54" s="526" t="s">
        <v>249</v>
      </c>
      <c r="G54" s="439" t="s">
        <v>22</v>
      </c>
      <c r="H54" s="527" t="s">
        <v>42</v>
      </c>
      <c r="I54" s="402">
        <v>87.015440147329656</v>
      </c>
      <c r="J54" s="579"/>
      <c r="K54" s="579"/>
      <c r="L54" s="522"/>
    </row>
    <row r="55" spans="2:23" x14ac:dyDescent="0.3">
      <c r="E55" s="303"/>
      <c r="F55" s="304"/>
      <c r="G55" s="49"/>
      <c r="H55" s="49"/>
      <c r="I55" s="218"/>
      <c r="J55" s="218"/>
      <c r="K55" s="218"/>
      <c r="L55" s="218"/>
      <c r="M55" s="218"/>
      <c r="N55" s="218"/>
      <c r="P55" s="15"/>
    </row>
    <row r="57" spans="2:23" x14ac:dyDescent="0.3">
      <c r="B57" s="25" t="s">
        <v>240</v>
      </c>
    </row>
    <row r="58" spans="2:23" x14ac:dyDescent="0.3">
      <c r="C58" s="373"/>
      <c r="D58" s="373"/>
      <c r="E58" s="375" t="s">
        <v>214</v>
      </c>
      <c r="F58" s="373"/>
      <c r="G58" s="380"/>
      <c r="H58" s="380"/>
      <c r="I58" s="373"/>
      <c r="J58" s="376"/>
      <c r="K58" s="595" t="s">
        <v>136</v>
      </c>
      <c r="L58" s="595" t="s">
        <v>137</v>
      </c>
      <c r="M58" s="381"/>
      <c r="N58" s="377"/>
      <c r="O58" s="349"/>
      <c r="P58" s="350"/>
    </row>
    <row r="59" spans="2:23" x14ac:dyDescent="0.3">
      <c r="C59" s="374" t="s">
        <v>215</v>
      </c>
      <c r="D59" s="374" t="s">
        <v>216</v>
      </c>
      <c r="E59" s="378" t="s">
        <v>219</v>
      </c>
      <c r="F59" s="374" t="s">
        <v>248</v>
      </c>
      <c r="G59" s="374" t="s">
        <v>362</v>
      </c>
      <c r="H59" s="374" t="s">
        <v>84</v>
      </c>
      <c r="I59" s="374" t="s">
        <v>135</v>
      </c>
      <c r="J59" s="378" t="s">
        <v>49</v>
      </c>
      <c r="K59" s="595"/>
      <c r="L59" s="595"/>
      <c r="M59" s="379" t="s">
        <v>60</v>
      </c>
      <c r="N59" s="379"/>
      <c r="O59" s="288"/>
      <c r="P59" s="288"/>
      <c r="R59" s="332"/>
      <c r="S59" s="332"/>
      <c r="T59" s="332"/>
      <c r="U59" s="332"/>
    </row>
    <row r="60" spans="2:23" ht="28.5" customHeight="1" x14ac:dyDescent="0.3">
      <c r="C60" s="586" t="s">
        <v>229</v>
      </c>
      <c r="D60" s="587" t="s">
        <v>230</v>
      </c>
      <c r="E60" s="588">
        <v>23.583362962962966</v>
      </c>
      <c r="F60" s="590" t="s">
        <v>249</v>
      </c>
      <c r="G60" s="18" t="s">
        <v>19</v>
      </c>
      <c r="H60" s="389" t="s">
        <v>42</v>
      </c>
      <c r="I60" s="371">
        <v>0</v>
      </c>
      <c r="J60" s="371">
        <v>2.0080465116279065</v>
      </c>
      <c r="K60" s="371">
        <v>3.6591069767441855</v>
      </c>
      <c r="L60" s="371">
        <v>0</v>
      </c>
      <c r="M60" s="371">
        <v>0</v>
      </c>
      <c r="N60" s="338" t="s">
        <v>361</v>
      </c>
      <c r="O60" s="525"/>
      <c r="Q60" s="528"/>
    </row>
    <row r="61" spans="2:23" ht="24.75" customHeight="1" x14ac:dyDescent="0.3">
      <c r="C61" s="586"/>
      <c r="D61" s="587"/>
      <c r="E61" s="589"/>
      <c r="F61" s="590"/>
      <c r="G61" s="18" t="s">
        <v>19</v>
      </c>
      <c r="H61" s="389" t="s">
        <v>42</v>
      </c>
      <c r="I61" s="371">
        <v>0</v>
      </c>
      <c r="J61" s="371">
        <v>7.8090697674418594</v>
      </c>
      <c r="K61" s="371">
        <v>18.131916279069767</v>
      </c>
      <c r="L61" s="371">
        <v>0</v>
      </c>
      <c r="M61" s="371">
        <v>0</v>
      </c>
      <c r="N61" s="338" t="s">
        <v>353</v>
      </c>
      <c r="O61" s="525"/>
    </row>
    <row r="62" spans="2:23" x14ac:dyDescent="0.3">
      <c r="C62" s="338" t="s">
        <v>231</v>
      </c>
      <c r="D62" s="338" t="s">
        <v>232</v>
      </c>
      <c r="E62" s="579"/>
      <c r="F62" s="364" t="s">
        <v>249</v>
      </c>
      <c r="G62" s="18" t="s">
        <v>19</v>
      </c>
      <c r="H62" s="389" t="s">
        <v>42</v>
      </c>
      <c r="I62" s="579"/>
      <c r="J62" s="579"/>
      <c r="K62" s="579"/>
      <c r="L62" s="579"/>
      <c r="M62" s="579"/>
      <c r="N62" s="365"/>
      <c r="O62" s="525"/>
      <c r="Q62" s="528"/>
      <c r="W62" s="15"/>
    </row>
    <row r="63" spans="2:23" x14ac:dyDescent="0.3">
      <c r="C63" s="338" t="s">
        <v>235</v>
      </c>
      <c r="D63" s="338" t="s">
        <v>236</v>
      </c>
      <c r="E63" s="579"/>
      <c r="F63" s="364" t="s">
        <v>249</v>
      </c>
      <c r="G63" s="18" t="s">
        <v>19</v>
      </c>
      <c r="H63" s="389" t="s">
        <v>42</v>
      </c>
      <c r="I63" s="579"/>
      <c r="J63" s="579"/>
      <c r="K63" s="579"/>
      <c r="L63" s="579"/>
      <c r="M63" s="579"/>
      <c r="N63" s="365"/>
      <c r="O63" s="525"/>
      <c r="Q63" s="528"/>
      <c r="W63" s="344"/>
    </row>
    <row r="64" spans="2:23" x14ac:dyDescent="0.3">
      <c r="C64" s="338" t="s">
        <v>237</v>
      </c>
      <c r="D64" s="338" t="s">
        <v>238</v>
      </c>
      <c r="E64" s="579"/>
      <c r="F64" s="364" t="s">
        <v>249</v>
      </c>
      <c r="G64" s="18" t="s">
        <v>19</v>
      </c>
      <c r="H64" s="389" t="s">
        <v>42</v>
      </c>
      <c r="I64" s="579"/>
      <c r="J64" s="579"/>
      <c r="K64" s="579"/>
      <c r="L64" s="579"/>
      <c r="M64" s="579"/>
      <c r="N64" s="365"/>
      <c r="O64" s="525"/>
      <c r="Q64" s="528"/>
      <c r="W64" s="15"/>
    </row>
    <row r="65" spans="2:23" x14ac:dyDescent="0.3">
      <c r="C65" s="338" t="s">
        <v>233</v>
      </c>
      <c r="D65" s="338" t="s">
        <v>239</v>
      </c>
      <c r="E65" s="371">
        <v>54.323421346402782</v>
      </c>
      <c r="F65" s="364" t="s">
        <v>249</v>
      </c>
      <c r="G65" s="18" t="s">
        <v>19</v>
      </c>
      <c r="H65" s="389" t="s">
        <v>42</v>
      </c>
      <c r="I65" s="371">
        <v>17.106573023255812</v>
      </c>
      <c r="J65" s="371">
        <v>3.182915551001432</v>
      </c>
      <c r="K65" s="371">
        <v>0</v>
      </c>
      <c r="L65" s="371">
        <v>30.203832018803993</v>
      </c>
      <c r="M65" s="371">
        <v>3.8301007533415401</v>
      </c>
      <c r="N65" s="367"/>
      <c r="O65" s="525"/>
      <c r="Q65" s="528"/>
      <c r="W65" s="15"/>
    </row>
    <row r="66" spans="2:23" ht="28.8" x14ac:dyDescent="0.3">
      <c r="C66" s="591" t="s">
        <v>234</v>
      </c>
      <c r="D66" s="339" t="s">
        <v>355</v>
      </c>
      <c r="E66" s="530">
        <v>13.845065722952473</v>
      </c>
      <c r="F66" s="386" t="s">
        <v>249</v>
      </c>
      <c r="G66" s="18" t="s">
        <v>19</v>
      </c>
      <c r="H66" s="389" t="s">
        <v>42</v>
      </c>
      <c r="I66" s="371">
        <v>0</v>
      </c>
      <c r="J66" s="371">
        <v>6.0629423660262889</v>
      </c>
      <c r="K66" s="371">
        <v>0</v>
      </c>
      <c r="L66" s="371">
        <v>7.782123356926185</v>
      </c>
      <c r="M66" s="371">
        <v>0</v>
      </c>
      <c r="N66" s="338"/>
      <c r="O66" s="525"/>
      <c r="Q66" s="528"/>
    </row>
    <row r="67" spans="2:23" x14ac:dyDescent="0.3">
      <c r="C67" s="591"/>
      <c r="D67" s="339" t="s">
        <v>356</v>
      </c>
      <c r="E67" s="530">
        <v>0.52060465116279064</v>
      </c>
      <c r="F67" s="364" t="s">
        <v>249</v>
      </c>
      <c r="G67" s="18" t="s">
        <v>19</v>
      </c>
      <c r="H67" s="389" t="s">
        <v>44</v>
      </c>
      <c r="I67" s="371">
        <v>0</v>
      </c>
      <c r="J67" s="371">
        <v>0</v>
      </c>
      <c r="K67" s="371">
        <v>0</v>
      </c>
      <c r="L67" s="371">
        <v>0.52060465116279064</v>
      </c>
      <c r="M67" s="371">
        <v>0</v>
      </c>
      <c r="N67" s="338"/>
      <c r="O67" s="525"/>
      <c r="Q67" s="528"/>
    </row>
    <row r="68" spans="2:23" ht="28.8" x14ac:dyDescent="0.3">
      <c r="C68" s="591"/>
      <c r="D68" s="400" t="s">
        <v>419</v>
      </c>
      <c r="E68" s="530">
        <v>3.0702704609462703</v>
      </c>
      <c r="F68" s="386" t="s">
        <v>249</v>
      </c>
      <c r="G68" s="395" t="s">
        <v>19</v>
      </c>
      <c r="H68" s="398" t="s">
        <v>44</v>
      </c>
      <c r="I68" s="529">
        <v>0</v>
      </c>
      <c r="J68" s="529">
        <v>0.14959903769045707</v>
      </c>
      <c r="K68" s="529">
        <v>0</v>
      </c>
      <c r="L68" s="529">
        <v>2.9206714232558131</v>
      </c>
      <c r="M68" s="529">
        <v>0</v>
      </c>
      <c r="N68" s="387"/>
      <c r="O68" s="525"/>
      <c r="Q68" s="528"/>
    </row>
    <row r="69" spans="2:23" x14ac:dyDescent="0.3">
      <c r="C69" s="591"/>
      <c r="D69" s="338" t="s">
        <v>354</v>
      </c>
      <c r="E69" s="402">
        <v>12.350725581395347</v>
      </c>
      <c r="F69" s="364" t="s">
        <v>249</v>
      </c>
      <c r="G69" s="18" t="s">
        <v>24</v>
      </c>
      <c r="H69" s="389" t="s">
        <v>382</v>
      </c>
      <c r="I69" s="402">
        <v>12.350725581395347</v>
      </c>
      <c r="J69" s="371">
        <v>0</v>
      </c>
      <c r="K69" s="371">
        <v>0</v>
      </c>
      <c r="L69" s="371">
        <v>0</v>
      </c>
      <c r="M69" s="371">
        <v>0</v>
      </c>
      <c r="N69" s="338"/>
      <c r="O69" s="525"/>
      <c r="Q69" s="528"/>
    </row>
    <row r="70" spans="2:23" x14ac:dyDescent="0.3">
      <c r="C70" s="591"/>
      <c r="D70" s="399" t="s">
        <v>388</v>
      </c>
      <c r="E70" s="402">
        <v>8.3465320930232547</v>
      </c>
      <c r="F70" s="364" t="s">
        <v>249</v>
      </c>
      <c r="G70" s="18" t="s">
        <v>24</v>
      </c>
      <c r="H70" s="389" t="s">
        <v>382</v>
      </c>
      <c r="I70" s="402">
        <v>8.3465320930232547</v>
      </c>
      <c r="J70" s="371">
        <v>0</v>
      </c>
      <c r="K70" s="371">
        <v>0</v>
      </c>
      <c r="L70" s="371">
        <v>0</v>
      </c>
      <c r="M70" s="371">
        <v>0</v>
      </c>
      <c r="N70" s="338"/>
      <c r="O70" s="525"/>
      <c r="Q70" s="528"/>
    </row>
    <row r="72" spans="2:23" x14ac:dyDescent="0.3">
      <c r="B72" s="25" t="s">
        <v>243</v>
      </c>
    </row>
    <row r="73" spans="2:23" ht="14.4" customHeight="1" x14ac:dyDescent="0.3">
      <c r="C73" s="373"/>
      <c r="D73" s="373"/>
      <c r="E73" s="375" t="s">
        <v>214</v>
      </c>
      <c r="F73" s="373"/>
      <c r="G73" s="380"/>
      <c r="H73" s="380"/>
      <c r="I73" s="373"/>
      <c r="J73" s="376"/>
      <c r="K73" s="595" t="s">
        <v>136</v>
      </c>
      <c r="L73" s="595" t="s">
        <v>137</v>
      </c>
      <c r="M73" s="381"/>
      <c r="N73" s="377"/>
    </row>
    <row r="74" spans="2:23" x14ac:dyDescent="0.3">
      <c r="C74" s="374" t="s">
        <v>215</v>
      </c>
      <c r="D74" s="374" t="s">
        <v>216</v>
      </c>
      <c r="E74" s="378" t="s">
        <v>219</v>
      </c>
      <c r="F74" s="374" t="s">
        <v>248</v>
      </c>
      <c r="G74" s="374" t="s">
        <v>362</v>
      </c>
      <c r="H74" s="374" t="s">
        <v>84</v>
      </c>
      <c r="I74" s="374" t="s">
        <v>135</v>
      </c>
      <c r="J74" s="378" t="s">
        <v>49</v>
      </c>
      <c r="K74" s="595"/>
      <c r="L74" s="595"/>
      <c r="M74" s="379" t="s">
        <v>60</v>
      </c>
      <c r="N74" s="392"/>
    </row>
    <row r="75" spans="2:23" x14ac:dyDescent="0.3">
      <c r="C75" s="592" t="s">
        <v>242</v>
      </c>
      <c r="D75" s="370" t="s">
        <v>366</v>
      </c>
      <c r="E75" s="371">
        <v>2.4398451616262502</v>
      </c>
      <c r="F75" s="364" t="s">
        <v>249</v>
      </c>
      <c r="G75" s="18" t="s">
        <v>19</v>
      </c>
      <c r="H75" s="389" t="s">
        <v>44</v>
      </c>
      <c r="I75" s="402">
        <v>0.71413154469158702</v>
      </c>
      <c r="J75" s="402">
        <v>0.3575228334887508</v>
      </c>
      <c r="K75" s="371">
        <v>0</v>
      </c>
      <c r="L75" s="402">
        <v>1.3681907834459122</v>
      </c>
      <c r="M75" s="402">
        <v>0</v>
      </c>
      <c r="N75" s="338"/>
      <c r="O75" s="525"/>
      <c r="Q75" s="528"/>
    </row>
    <row r="76" spans="2:23" x14ac:dyDescent="0.3">
      <c r="C76" s="594"/>
      <c r="D76" s="401" t="s">
        <v>241</v>
      </c>
      <c r="E76" s="371">
        <v>0.93167723294495319</v>
      </c>
      <c r="F76" s="364" t="s">
        <v>249</v>
      </c>
      <c r="G76" s="18" t="s">
        <v>19</v>
      </c>
      <c r="H76" s="389" t="s">
        <v>44</v>
      </c>
      <c r="I76" s="402">
        <v>0.27269767441860471</v>
      </c>
      <c r="J76" s="402">
        <v>0.13652337019510591</v>
      </c>
      <c r="K76" s="371">
        <v>0</v>
      </c>
      <c r="L76" s="402">
        <v>0.52245618833124263</v>
      </c>
      <c r="M76" s="402">
        <v>0</v>
      </c>
      <c r="N76" s="338"/>
      <c r="O76" s="525"/>
      <c r="Q76" s="528"/>
    </row>
    <row r="77" spans="2:23" x14ac:dyDescent="0.3">
      <c r="C77" s="592" t="s">
        <v>509</v>
      </c>
      <c r="D77" s="338" t="s">
        <v>511</v>
      </c>
      <c r="E77" s="402">
        <v>0.29447513812154696</v>
      </c>
      <c r="F77" s="364" t="s">
        <v>249</v>
      </c>
      <c r="G77" s="18" t="s">
        <v>19</v>
      </c>
      <c r="H77" s="389" t="s">
        <v>44</v>
      </c>
      <c r="I77" s="402">
        <v>0</v>
      </c>
      <c r="J77" s="402">
        <v>0.29447513812154696</v>
      </c>
      <c r="K77" s="402">
        <v>0</v>
      </c>
      <c r="L77" s="402">
        <v>0</v>
      </c>
      <c r="M77" s="402">
        <v>0</v>
      </c>
      <c r="N77" s="338"/>
      <c r="Q77" s="528"/>
    </row>
    <row r="78" spans="2:23" x14ac:dyDescent="0.3">
      <c r="C78" s="593"/>
      <c r="D78" s="338" t="s">
        <v>512</v>
      </c>
      <c r="E78" s="402">
        <v>9.8158379373848987</v>
      </c>
      <c r="F78" s="364" t="s">
        <v>249</v>
      </c>
      <c r="G78" s="18" t="s">
        <v>19</v>
      </c>
      <c r="H78" s="389" t="s">
        <v>44</v>
      </c>
      <c r="I78" s="402">
        <v>0</v>
      </c>
      <c r="J78" s="402">
        <v>9.8158379373848987</v>
      </c>
      <c r="K78" s="402">
        <v>0</v>
      </c>
      <c r="L78" s="402">
        <v>0</v>
      </c>
      <c r="M78" s="402">
        <v>0</v>
      </c>
      <c r="N78" s="338"/>
      <c r="Q78" s="528"/>
    </row>
    <row r="79" spans="2:23" x14ac:dyDescent="0.3">
      <c r="C79" s="593"/>
      <c r="D79" s="338" t="s">
        <v>513</v>
      </c>
      <c r="E79" s="402">
        <v>20.858655616942912</v>
      </c>
      <c r="F79" s="364" t="s">
        <v>249</v>
      </c>
      <c r="G79" s="18" t="s">
        <v>19</v>
      </c>
      <c r="H79" s="389" t="s">
        <v>44</v>
      </c>
      <c r="I79" s="402">
        <v>4.9079189686924494</v>
      </c>
      <c r="J79" s="402">
        <v>0</v>
      </c>
      <c r="K79" s="402">
        <v>0</v>
      </c>
      <c r="L79" s="402">
        <v>15.95073664825046</v>
      </c>
      <c r="M79" s="402">
        <v>0</v>
      </c>
      <c r="N79" s="338"/>
      <c r="Q79" s="528"/>
    </row>
    <row r="80" spans="2:23" x14ac:dyDescent="0.3">
      <c r="C80" s="594"/>
      <c r="D80" s="368" t="s">
        <v>539</v>
      </c>
      <c r="E80" s="402">
        <v>0.24035060773480663</v>
      </c>
      <c r="F80" s="364" t="s">
        <v>249</v>
      </c>
      <c r="G80" s="18" t="s">
        <v>19</v>
      </c>
      <c r="H80" s="389" t="s">
        <v>44</v>
      </c>
      <c r="I80" s="402">
        <v>9.8158379373848997E-2</v>
      </c>
      <c r="J80" s="402">
        <v>0</v>
      </c>
      <c r="K80" s="402">
        <v>0</v>
      </c>
      <c r="L80" s="402">
        <v>0.14219222836095763</v>
      </c>
      <c r="M80" s="402">
        <v>0</v>
      </c>
      <c r="N80" s="338"/>
      <c r="Q80" s="528"/>
    </row>
    <row r="81" spans="2:22" x14ac:dyDescent="0.3">
      <c r="C81" s="479" t="s">
        <v>60</v>
      </c>
      <c r="D81" s="368" t="s">
        <v>638</v>
      </c>
      <c r="E81" s="402">
        <v>65.766114180478823</v>
      </c>
      <c r="F81" s="364" t="s">
        <v>249</v>
      </c>
      <c r="G81" s="18" t="s">
        <v>19</v>
      </c>
      <c r="H81" s="389" t="s">
        <v>42</v>
      </c>
      <c r="I81" s="402">
        <v>29.447513812154696</v>
      </c>
      <c r="J81" s="402">
        <v>0</v>
      </c>
      <c r="K81" s="402">
        <v>0</v>
      </c>
      <c r="L81" s="402">
        <v>36.318600368324127</v>
      </c>
      <c r="M81" s="402">
        <v>0</v>
      </c>
      <c r="N81" s="338"/>
      <c r="Q81" s="528"/>
    </row>
    <row r="83" spans="2:22" x14ac:dyDescent="0.3">
      <c r="B83" s="25" t="s">
        <v>217</v>
      </c>
    </row>
    <row r="84" spans="2:22" ht="14.4" customHeight="1" x14ac:dyDescent="0.3">
      <c r="C84" s="373"/>
      <c r="D84" s="373"/>
      <c r="E84" s="375" t="s">
        <v>214</v>
      </c>
      <c r="F84" s="373"/>
      <c r="G84" s="380"/>
      <c r="H84" s="380"/>
      <c r="I84" s="373"/>
      <c r="J84" s="376"/>
      <c r="K84" s="595" t="s">
        <v>136</v>
      </c>
      <c r="L84" s="595" t="s">
        <v>137</v>
      </c>
      <c r="M84" s="381"/>
      <c r="N84" s="377"/>
    </row>
    <row r="85" spans="2:22" x14ac:dyDescent="0.3">
      <c r="C85" s="374" t="s">
        <v>215</v>
      </c>
      <c r="D85" s="374" t="s">
        <v>216</v>
      </c>
      <c r="E85" s="378" t="s">
        <v>219</v>
      </c>
      <c r="F85" s="374" t="s">
        <v>248</v>
      </c>
      <c r="G85" s="374" t="s">
        <v>362</v>
      </c>
      <c r="H85" s="374" t="s">
        <v>84</v>
      </c>
      <c r="I85" s="374" t="s">
        <v>135</v>
      </c>
      <c r="J85" s="378" t="s">
        <v>49</v>
      </c>
      <c r="K85" s="595"/>
      <c r="L85" s="595"/>
      <c r="M85" s="379" t="s">
        <v>60</v>
      </c>
      <c r="N85" s="392"/>
    </row>
    <row r="86" spans="2:22" x14ac:dyDescent="0.3">
      <c r="C86" s="338" t="s">
        <v>221</v>
      </c>
      <c r="D86" s="338" t="s">
        <v>222</v>
      </c>
      <c r="E86" s="371">
        <v>39.469772398837215</v>
      </c>
      <c r="F86" s="364" t="s">
        <v>249</v>
      </c>
      <c r="G86" s="18" t="s">
        <v>19</v>
      </c>
      <c r="H86" s="389" t="s">
        <v>44</v>
      </c>
      <c r="I86" s="371">
        <v>22.447723472706969</v>
      </c>
      <c r="J86" s="371">
        <v>6.4191393427043169</v>
      </c>
      <c r="K86" s="371">
        <v>0</v>
      </c>
      <c r="L86" s="371">
        <v>10.579635367055353</v>
      </c>
      <c r="M86" s="371">
        <v>2.327421637057529E-2</v>
      </c>
      <c r="N86" s="338"/>
      <c r="Q86" s="528"/>
    </row>
    <row r="87" spans="2:22" x14ac:dyDescent="0.3">
      <c r="C87" s="338" t="s">
        <v>223</v>
      </c>
      <c r="D87" s="338" t="s">
        <v>224</v>
      </c>
      <c r="E87" s="371">
        <v>62.716765012148542</v>
      </c>
      <c r="F87" s="364" t="s">
        <v>249</v>
      </c>
      <c r="G87" s="18" t="s">
        <v>19</v>
      </c>
      <c r="H87" s="389" t="s">
        <v>44</v>
      </c>
      <c r="I87" s="371">
        <v>21.323700104130506</v>
      </c>
      <c r="J87" s="371">
        <v>6.8988441513363394</v>
      </c>
      <c r="K87" s="371">
        <v>4.3901735508503981</v>
      </c>
      <c r="L87" s="371">
        <v>23.832370704616444</v>
      </c>
      <c r="M87" s="371">
        <v>6.2716765012148539</v>
      </c>
      <c r="N87" s="338"/>
      <c r="Q87" s="528"/>
    </row>
    <row r="88" spans="2:22" x14ac:dyDescent="0.3">
      <c r="C88" s="338" t="s">
        <v>225</v>
      </c>
      <c r="D88" s="338" t="s">
        <v>226</v>
      </c>
      <c r="E88" s="371">
        <v>46.582464651162795</v>
      </c>
      <c r="F88" s="364" t="s">
        <v>249</v>
      </c>
      <c r="G88" s="18" t="s">
        <v>19</v>
      </c>
      <c r="H88" s="389" t="s">
        <v>44</v>
      </c>
      <c r="I88" s="371">
        <v>14.297621705426357</v>
      </c>
      <c r="J88" s="402">
        <v>21.812963023255811</v>
      </c>
      <c r="K88" s="402">
        <v>0</v>
      </c>
      <c r="L88" s="402">
        <v>10.471879922480621</v>
      </c>
      <c r="M88" s="371">
        <v>0</v>
      </c>
      <c r="N88" s="338"/>
      <c r="Q88" s="528"/>
    </row>
    <row r="89" spans="2:22" x14ac:dyDescent="0.3">
      <c r="C89" s="338" t="s">
        <v>227</v>
      </c>
      <c r="D89" s="338" t="s">
        <v>228</v>
      </c>
      <c r="E89" s="371">
        <v>337.0941791069767</v>
      </c>
      <c r="F89" s="364" t="s">
        <v>249</v>
      </c>
      <c r="G89" s="18" t="s">
        <v>19</v>
      </c>
      <c r="H89" s="389" t="s">
        <v>44</v>
      </c>
      <c r="I89" s="371">
        <v>182.28643631627907</v>
      </c>
      <c r="J89" s="402">
        <v>33.832484883720923</v>
      </c>
      <c r="K89" s="402">
        <v>0</v>
      </c>
      <c r="L89" s="402">
        <v>120.97525790697672</v>
      </c>
      <c r="M89" s="371">
        <v>0</v>
      </c>
      <c r="N89" s="338"/>
      <c r="Q89" s="528"/>
    </row>
    <row r="90" spans="2:22" x14ac:dyDescent="0.3">
      <c r="F90" s="52"/>
    </row>
    <row r="92" spans="2:22" x14ac:dyDescent="0.3">
      <c r="B92" s="25" t="s">
        <v>244</v>
      </c>
      <c r="E92" s="134"/>
      <c r="I92" s="454"/>
    </row>
    <row r="93" spans="2:22" ht="14.4" customHeight="1" x14ac:dyDescent="0.3">
      <c r="C93" s="373"/>
      <c r="D93" s="373"/>
      <c r="E93" s="375" t="s">
        <v>214</v>
      </c>
      <c r="F93" s="373"/>
      <c r="G93" s="380"/>
      <c r="H93" s="380"/>
      <c r="I93" s="373"/>
      <c r="J93" s="376"/>
      <c r="K93" s="595" t="s">
        <v>136</v>
      </c>
      <c r="L93" s="595" t="s">
        <v>137</v>
      </c>
      <c r="M93" s="381"/>
      <c r="N93" s="377"/>
    </row>
    <row r="94" spans="2:22" x14ac:dyDescent="0.3">
      <c r="C94" s="374" t="s">
        <v>215</v>
      </c>
      <c r="D94" s="374" t="s">
        <v>216</v>
      </c>
      <c r="E94" s="378" t="s">
        <v>219</v>
      </c>
      <c r="F94" s="374" t="s">
        <v>248</v>
      </c>
      <c r="G94" s="374" t="s">
        <v>362</v>
      </c>
      <c r="H94" s="374" t="s">
        <v>84</v>
      </c>
      <c r="I94" s="374" t="s">
        <v>135</v>
      </c>
      <c r="J94" s="378" t="s">
        <v>49</v>
      </c>
      <c r="K94" s="595"/>
      <c r="L94" s="595"/>
      <c r="M94" s="379" t="s">
        <v>60</v>
      </c>
      <c r="N94" s="392"/>
    </row>
    <row r="95" spans="2:22" ht="28.8" x14ac:dyDescent="0.3">
      <c r="C95" s="585" t="s">
        <v>245</v>
      </c>
      <c r="D95" s="339" t="s">
        <v>544</v>
      </c>
      <c r="E95" s="511">
        <v>735.30729411969673</v>
      </c>
      <c r="F95" s="386" t="s">
        <v>249</v>
      </c>
      <c r="G95" s="395" t="s">
        <v>19</v>
      </c>
      <c r="H95" s="398" t="s">
        <v>42</v>
      </c>
      <c r="I95" s="511">
        <v>490.33390034070919</v>
      </c>
      <c r="J95" s="511">
        <v>77.359931840057925</v>
      </c>
      <c r="K95" s="511">
        <v>0</v>
      </c>
      <c r="L95" s="511">
        <v>128.93321973342987</v>
      </c>
      <c r="M95" s="511">
        <v>38.680242205499823</v>
      </c>
      <c r="N95" s="368"/>
      <c r="Q95" s="5"/>
      <c r="R95" s="5"/>
      <c r="S95" s="5"/>
      <c r="T95" s="5"/>
      <c r="U95" s="5"/>
      <c r="V95" s="11"/>
    </row>
    <row r="96" spans="2:22" x14ac:dyDescent="0.3">
      <c r="C96" s="585"/>
      <c r="D96" s="339" t="s">
        <v>487</v>
      </c>
      <c r="E96" s="511">
        <v>976.10817281749769</v>
      </c>
      <c r="F96" s="432" t="s">
        <v>249</v>
      </c>
      <c r="G96" s="431" t="s">
        <v>19</v>
      </c>
      <c r="H96" s="398" t="s">
        <v>42</v>
      </c>
      <c r="I96" s="511">
        <v>440.92036005674521</v>
      </c>
      <c r="J96" s="511">
        <v>79.721155511077257</v>
      </c>
      <c r="K96" s="511">
        <v>0</v>
      </c>
      <c r="L96" s="511">
        <v>427.32977883400093</v>
      </c>
      <c r="M96" s="511">
        <v>28.136878415674321</v>
      </c>
      <c r="N96" s="368"/>
      <c r="Q96" s="5"/>
      <c r="R96" s="5"/>
      <c r="S96" s="5"/>
      <c r="T96" s="5"/>
      <c r="U96" s="5"/>
      <c r="V96" s="11"/>
    </row>
    <row r="97" spans="2:22" x14ac:dyDescent="0.3">
      <c r="C97" s="585"/>
      <c r="D97" s="339" t="s">
        <v>488</v>
      </c>
      <c r="E97" s="511">
        <v>991.42647502744262</v>
      </c>
      <c r="F97" s="432" t="s">
        <v>249</v>
      </c>
      <c r="G97" s="431" t="s">
        <v>19</v>
      </c>
      <c r="H97" s="398" t="s">
        <v>42</v>
      </c>
      <c r="I97" s="511">
        <v>464.96470387554706</v>
      </c>
      <c r="J97" s="511">
        <v>66.3257730571152</v>
      </c>
      <c r="K97" s="511">
        <v>0</v>
      </c>
      <c r="L97" s="511">
        <v>431.71066678458811</v>
      </c>
      <c r="M97" s="511">
        <v>28.425331310192227</v>
      </c>
      <c r="N97" s="368"/>
      <c r="Q97" s="5"/>
      <c r="R97" s="5"/>
      <c r="S97" s="5"/>
      <c r="T97" s="5"/>
      <c r="U97" s="5"/>
      <c r="V97" s="11"/>
    </row>
    <row r="98" spans="2:22" x14ac:dyDescent="0.3">
      <c r="C98" s="585"/>
      <c r="D98" s="417" t="s">
        <v>591</v>
      </c>
      <c r="E98" s="511">
        <v>78.526703499079204</v>
      </c>
      <c r="F98" s="432" t="s">
        <v>249</v>
      </c>
      <c r="G98" s="431" t="s">
        <v>19</v>
      </c>
      <c r="H98" s="398" t="s">
        <v>44</v>
      </c>
      <c r="I98" s="511">
        <v>26.699079189686927</v>
      </c>
      <c r="J98" s="511">
        <v>8.6379373848987111</v>
      </c>
      <c r="K98" s="511">
        <v>5.4968692449355441</v>
      </c>
      <c r="L98" s="511">
        <v>29.840147329650094</v>
      </c>
      <c r="M98" s="511">
        <v>7.8526703499079193</v>
      </c>
      <c r="N98" s="368"/>
      <c r="Q98" s="5"/>
      <c r="R98" s="5"/>
      <c r="S98" s="5"/>
      <c r="T98" s="5"/>
      <c r="U98" s="5"/>
      <c r="V98" s="11"/>
    </row>
    <row r="100" spans="2:22" ht="14.4" customHeight="1" x14ac:dyDescent="0.3">
      <c r="B100" s="25" t="s">
        <v>246</v>
      </c>
    </row>
    <row r="101" spans="2:22" ht="14.4" customHeight="1" x14ac:dyDescent="0.3">
      <c r="C101" s="373"/>
      <c r="D101" s="373"/>
      <c r="E101" s="375" t="s">
        <v>214</v>
      </c>
      <c r="F101" s="373"/>
      <c r="G101" s="380"/>
      <c r="H101" s="380"/>
      <c r="I101" s="373"/>
      <c r="J101" s="376"/>
      <c r="K101" s="595" t="s">
        <v>136</v>
      </c>
      <c r="L101" s="595" t="s">
        <v>137</v>
      </c>
      <c r="M101" s="381"/>
      <c r="N101" s="377"/>
    </row>
    <row r="102" spans="2:22" x14ac:dyDescent="0.3">
      <c r="C102" s="374" t="s">
        <v>215</v>
      </c>
      <c r="D102" s="374" t="s">
        <v>216</v>
      </c>
      <c r="E102" s="378" t="s">
        <v>219</v>
      </c>
      <c r="F102" s="374" t="s">
        <v>248</v>
      </c>
      <c r="G102" s="374" t="s">
        <v>362</v>
      </c>
      <c r="H102" s="374" t="s">
        <v>84</v>
      </c>
      <c r="I102" s="374" t="s">
        <v>135</v>
      </c>
      <c r="J102" s="378" t="s">
        <v>49</v>
      </c>
      <c r="K102" s="595"/>
      <c r="L102" s="595"/>
      <c r="M102" s="379" t="s">
        <v>60</v>
      </c>
      <c r="N102" s="392"/>
    </row>
    <row r="103" spans="2:22" x14ac:dyDescent="0.3">
      <c r="C103" s="585" t="s">
        <v>247</v>
      </c>
      <c r="D103" s="338" t="s">
        <v>378</v>
      </c>
      <c r="E103" s="582"/>
      <c r="F103" s="364" t="s">
        <v>249</v>
      </c>
      <c r="G103" s="18" t="s">
        <v>19</v>
      </c>
      <c r="H103" s="389" t="s">
        <v>44</v>
      </c>
      <c r="I103" s="579"/>
      <c r="J103" s="579"/>
      <c r="K103" s="579"/>
      <c r="L103" s="579"/>
      <c r="M103" s="579"/>
      <c r="N103" s="338"/>
      <c r="Q103" s="5"/>
      <c r="R103" s="5"/>
      <c r="S103" s="5"/>
      <c r="T103" s="5"/>
      <c r="U103" s="5"/>
    </row>
    <row r="104" spans="2:22" x14ac:dyDescent="0.3">
      <c r="C104" s="585"/>
      <c r="D104" s="394" t="s">
        <v>379</v>
      </c>
      <c r="E104" s="582"/>
      <c r="F104" s="364" t="s">
        <v>249</v>
      </c>
      <c r="G104" s="439" t="s">
        <v>22</v>
      </c>
      <c r="H104" s="389" t="s">
        <v>44</v>
      </c>
      <c r="I104" s="579"/>
      <c r="J104" s="579"/>
      <c r="K104" s="579"/>
      <c r="L104" s="579"/>
      <c r="M104" s="579"/>
      <c r="N104" s="338"/>
      <c r="Q104" s="5"/>
      <c r="R104" s="5"/>
      <c r="S104" s="5"/>
      <c r="T104" s="5"/>
      <c r="U104" s="5"/>
    </row>
    <row r="105" spans="2:22" x14ac:dyDescent="0.3">
      <c r="C105" s="585"/>
      <c r="D105" s="393" t="s">
        <v>380</v>
      </c>
      <c r="E105" s="582"/>
      <c r="F105" s="364" t="s">
        <v>249</v>
      </c>
      <c r="G105" s="18" t="s">
        <v>19</v>
      </c>
      <c r="H105" s="389" t="s">
        <v>44</v>
      </c>
      <c r="I105" s="579"/>
      <c r="J105" s="579"/>
      <c r="K105" s="579"/>
      <c r="L105" s="579"/>
      <c r="M105" s="579"/>
      <c r="N105" s="338"/>
      <c r="Q105" s="5"/>
      <c r="R105" s="5"/>
      <c r="S105" s="5"/>
      <c r="T105" s="5"/>
      <c r="U105" s="5"/>
    </row>
    <row r="106" spans="2:22" x14ac:dyDescent="0.3">
      <c r="E106" s="582"/>
      <c r="I106" s="582"/>
      <c r="J106" s="582"/>
      <c r="K106" s="582"/>
      <c r="L106" s="582"/>
      <c r="M106" s="582"/>
    </row>
    <row r="107" spans="2:22" x14ac:dyDescent="0.3">
      <c r="B107" s="25" t="s">
        <v>258</v>
      </c>
    </row>
    <row r="108" spans="2:22" ht="14.4" customHeight="1" x14ac:dyDescent="0.3">
      <c r="C108" s="373"/>
      <c r="D108" s="373"/>
      <c r="E108" s="375" t="s">
        <v>214</v>
      </c>
      <c r="F108" s="373"/>
      <c r="G108" s="380"/>
      <c r="H108" s="380"/>
      <c r="I108" s="373"/>
      <c r="J108" s="376"/>
      <c r="K108" s="595" t="s">
        <v>136</v>
      </c>
      <c r="L108" s="595" t="s">
        <v>137</v>
      </c>
      <c r="M108" s="381"/>
      <c r="N108" s="377"/>
    </row>
    <row r="109" spans="2:22" x14ac:dyDescent="0.3">
      <c r="C109" s="374" t="s">
        <v>215</v>
      </c>
      <c r="D109" s="374" t="s">
        <v>216</v>
      </c>
      <c r="E109" s="378" t="s">
        <v>219</v>
      </c>
      <c r="F109" s="374" t="s">
        <v>248</v>
      </c>
      <c r="G109" s="374" t="s">
        <v>362</v>
      </c>
      <c r="H109" s="374" t="s">
        <v>84</v>
      </c>
      <c r="I109" s="374" t="s">
        <v>135</v>
      </c>
      <c r="J109" s="378" t="s">
        <v>49</v>
      </c>
      <c r="K109" s="595"/>
      <c r="L109" s="595"/>
      <c r="M109" s="379" t="s">
        <v>60</v>
      </c>
      <c r="N109" s="392"/>
    </row>
    <row r="110" spans="2:22" ht="57.6" x14ac:dyDescent="0.3">
      <c r="C110" s="338" t="s">
        <v>250</v>
      </c>
      <c r="D110" s="417" t="s">
        <v>420</v>
      </c>
      <c r="E110" s="371">
        <v>15.866046511627905</v>
      </c>
      <c r="F110" s="364" t="s">
        <v>249</v>
      </c>
      <c r="G110" s="18" t="s">
        <v>24</v>
      </c>
      <c r="H110" s="389" t="s">
        <v>382</v>
      </c>
      <c r="I110" s="371">
        <v>15.866046511627905</v>
      </c>
      <c r="J110" s="371">
        <v>0</v>
      </c>
      <c r="K110" s="371">
        <v>0</v>
      </c>
      <c r="L110" s="371">
        <v>0</v>
      </c>
      <c r="M110" s="371">
        <v>0</v>
      </c>
      <c r="N110" s="338"/>
      <c r="Q110" s="528"/>
    </row>
    <row r="111" spans="2:22" x14ac:dyDescent="0.3">
      <c r="C111" s="338" t="s">
        <v>251</v>
      </c>
      <c r="D111" s="417" t="s">
        <v>421</v>
      </c>
      <c r="E111" s="371">
        <v>1.8741767441860462</v>
      </c>
      <c r="F111" s="364" t="s">
        <v>249</v>
      </c>
      <c r="G111" s="18" t="s">
        <v>24</v>
      </c>
      <c r="H111" s="389" t="s">
        <v>382</v>
      </c>
      <c r="I111" s="371">
        <v>1.8741767441860462</v>
      </c>
      <c r="J111" s="371">
        <v>0</v>
      </c>
      <c r="K111" s="371">
        <v>0</v>
      </c>
      <c r="L111" s="371">
        <v>0</v>
      </c>
      <c r="M111" s="371">
        <v>0</v>
      </c>
      <c r="N111" s="338"/>
      <c r="Q111" s="528"/>
    </row>
    <row r="112" spans="2:22" ht="28.8" x14ac:dyDescent="0.3">
      <c r="C112" s="338" t="s">
        <v>252</v>
      </c>
      <c r="D112" s="417" t="s">
        <v>422</v>
      </c>
      <c r="E112" s="371">
        <v>1.0015441860465115</v>
      </c>
      <c r="F112" s="364" t="s">
        <v>249</v>
      </c>
      <c r="G112" s="18" t="s">
        <v>24</v>
      </c>
      <c r="H112" s="389" t="s">
        <v>382</v>
      </c>
      <c r="I112" s="371">
        <v>1.0015441860465115</v>
      </c>
      <c r="J112" s="371">
        <v>0</v>
      </c>
      <c r="K112" s="371">
        <v>0</v>
      </c>
      <c r="L112" s="371">
        <v>0</v>
      </c>
      <c r="M112" s="371">
        <v>0</v>
      </c>
      <c r="N112" s="338"/>
      <c r="Q112" s="528"/>
    </row>
    <row r="113" spans="3:17" x14ac:dyDescent="0.3">
      <c r="C113" s="338" t="s">
        <v>253</v>
      </c>
      <c r="D113" s="338" t="s">
        <v>423</v>
      </c>
      <c r="E113" s="371">
        <v>0.2340241860465116</v>
      </c>
      <c r="F113" s="364" t="s">
        <v>254</v>
      </c>
      <c r="G113" s="18" t="s">
        <v>24</v>
      </c>
      <c r="H113" s="389" t="s">
        <v>382</v>
      </c>
      <c r="I113" s="371">
        <v>0.2340241860465116</v>
      </c>
      <c r="J113" s="371">
        <v>0</v>
      </c>
      <c r="K113" s="371">
        <v>0</v>
      </c>
      <c r="L113" s="371">
        <v>0</v>
      </c>
      <c r="M113" s="371">
        <v>0</v>
      </c>
      <c r="N113" s="338"/>
      <c r="Q113" s="528"/>
    </row>
    <row r="115" spans="3:17" x14ac:dyDescent="0.3">
      <c r="F115" s="216"/>
    </row>
  </sheetData>
  <mergeCells count="21">
    <mergeCell ref="K58:K59"/>
    <mergeCell ref="L58:L59"/>
    <mergeCell ref="K101:K102"/>
    <mergeCell ref="L101:L102"/>
    <mergeCell ref="K108:K109"/>
    <mergeCell ref="L108:L109"/>
    <mergeCell ref="K93:K94"/>
    <mergeCell ref="L93:L94"/>
    <mergeCell ref="K84:K85"/>
    <mergeCell ref="L84:L85"/>
    <mergeCell ref="K73:K74"/>
    <mergeCell ref="L73:L74"/>
    <mergeCell ref="C103:C105"/>
    <mergeCell ref="C60:C61"/>
    <mergeCell ref="D60:D61"/>
    <mergeCell ref="E60:E61"/>
    <mergeCell ref="F60:F61"/>
    <mergeCell ref="C66:C70"/>
    <mergeCell ref="C95:C98"/>
    <mergeCell ref="C77:C80"/>
    <mergeCell ref="C75:C7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Rpt_Cat!$F$3:$F$4</xm:f>
          </x14:formula1>
          <xm:sqref>F44:F54 F110:F113 F103:F105 F95:F98 F86:F89 F7:F39 F60:F70 F75:F81</xm:sqref>
        </x14:dataValidation>
        <x14:dataValidation type="list" allowBlank="1" showInputMessage="1" showErrorMessage="1">
          <x14:formula1>
            <xm:f>Rpt_Cat!$B$3:$B$8</xm:f>
          </x14:formula1>
          <xm:sqref>G95:G98 G44:G54 G60:G70 G7:G39 G86:G89 G110:G113 G103:G105 G75:G81</xm:sqref>
        </x14:dataValidation>
        <x14:dataValidation type="list" allowBlank="1" showInputMessage="1" showErrorMessage="1">
          <x14:formula1>
            <xm:f>Rpt_Cat!$D$3:$D$6</xm:f>
          </x14:formula1>
          <xm:sqref>H95:H98 H75:H81 H60:H70 H7:H39 H86:H89 H110:H113 H103:H105 H44:H54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Q70"/>
  <sheetViews>
    <sheetView zoomScale="85" zoomScaleNormal="85" workbookViewId="0">
      <selection activeCell="C6" sqref="C6"/>
    </sheetView>
  </sheetViews>
  <sheetFormatPr defaultRowHeight="14.4" outlineLevelRow="1" x14ac:dyDescent="0.3"/>
  <cols>
    <col min="1" max="1" width="5" customWidth="1"/>
    <col min="2" max="2" width="15.6640625" customWidth="1"/>
    <col min="3" max="3" width="10.33203125" customWidth="1"/>
    <col min="4" max="4" width="11.6640625" customWidth="1"/>
    <col min="5" max="5" width="11.88671875" customWidth="1"/>
    <col min="6" max="6" width="9.33203125" customWidth="1"/>
    <col min="8" max="8" width="10" customWidth="1"/>
    <col min="13" max="13" width="9.6640625" customWidth="1"/>
  </cols>
  <sheetData>
    <row r="2" spans="2:17" x14ac:dyDescent="0.3">
      <c r="B2" s="22" t="s">
        <v>391</v>
      </c>
      <c r="F2" s="440" t="s">
        <v>426</v>
      </c>
    </row>
    <row r="3" spans="2:17" x14ac:dyDescent="0.3">
      <c r="B3" s="25"/>
    </row>
    <row r="4" spans="2:17" x14ac:dyDescent="0.3">
      <c r="B4" s="25" t="s">
        <v>17</v>
      </c>
    </row>
    <row r="5" spans="2:17" ht="45" x14ac:dyDescent="0.25">
      <c r="C5" s="13" t="s">
        <v>394</v>
      </c>
      <c r="D5" s="13" t="s">
        <v>395</v>
      </c>
      <c r="E5" s="13" t="s">
        <v>403</v>
      </c>
      <c r="F5" s="13" t="s">
        <v>397</v>
      </c>
      <c r="G5" s="13" t="s">
        <v>398</v>
      </c>
      <c r="H5" s="13" t="s">
        <v>399</v>
      </c>
      <c r="I5" s="13" t="s">
        <v>402</v>
      </c>
      <c r="J5" s="13" t="s">
        <v>404</v>
      </c>
      <c r="K5" s="13" t="s">
        <v>400</v>
      </c>
      <c r="L5" s="13" t="s">
        <v>401</v>
      </c>
      <c r="M5" s="13" t="s">
        <v>405</v>
      </c>
      <c r="N5" s="13" t="s">
        <v>396</v>
      </c>
      <c r="O5" s="388" t="s">
        <v>406</v>
      </c>
    </row>
    <row r="6" spans="2:17" hidden="1" outlineLevel="1" x14ac:dyDescent="0.3">
      <c r="C6" s="13"/>
      <c r="D6" s="13"/>
      <c r="E6" s="13">
        <v>1</v>
      </c>
      <c r="F6" s="13">
        <v>2</v>
      </c>
      <c r="G6" s="13">
        <v>3</v>
      </c>
      <c r="H6" s="13"/>
      <c r="I6" s="13"/>
      <c r="J6" s="13">
        <v>4</v>
      </c>
      <c r="K6" s="13"/>
      <c r="L6" s="13"/>
      <c r="M6" s="13">
        <v>5</v>
      </c>
      <c r="N6" s="13">
        <v>6</v>
      </c>
      <c r="O6" s="388">
        <v>7</v>
      </c>
    </row>
    <row r="7" spans="2:17" ht="15" collapsed="1" x14ac:dyDescent="0.25">
      <c r="B7" t="str">
        <f>STN_1</f>
        <v>RWN</v>
      </c>
      <c r="C7" s="437">
        <v>7</v>
      </c>
      <c r="D7" s="437">
        <v>1</v>
      </c>
      <c r="E7" s="403">
        <f>SUM(C7:D7)</f>
        <v>8</v>
      </c>
      <c r="F7" s="437">
        <v>5</v>
      </c>
      <c r="G7" s="437">
        <v>0</v>
      </c>
      <c r="H7" s="437">
        <v>9</v>
      </c>
      <c r="I7" s="437"/>
      <c r="J7" s="403">
        <f>SUM(H7:I7)</f>
        <v>9</v>
      </c>
      <c r="K7" s="437">
        <v>0</v>
      </c>
      <c r="L7" s="437">
        <v>5</v>
      </c>
      <c r="M7" s="403">
        <f>SUM(K7:L7)</f>
        <v>5</v>
      </c>
      <c r="N7" s="437">
        <v>43</v>
      </c>
      <c r="O7" s="437">
        <v>8</v>
      </c>
      <c r="Q7">
        <f>N7+E7</f>
        <v>51</v>
      </c>
    </row>
    <row r="8" spans="2:17" ht="15" x14ac:dyDescent="0.25">
      <c r="B8" t="str">
        <f>STN_2</f>
        <v>ELM</v>
      </c>
      <c r="C8" s="437">
        <v>8</v>
      </c>
      <c r="D8" s="437">
        <v>3</v>
      </c>
      <c r="E8" s="403">
        <f t="shared" ref="E8:E15" si="0">SUM(C8:D8)</f>
        <v>11</v>
      </c>
      <c r="F8" s="437">
        <v>24</v>
      </c>
      <c r="G8" s="437">
        <v>2</v>
      </c>
      <c r="H8" s="437">
        <v>15</v>
      </c>
      <c r="I8" s="437"/>
      <c r="J8" s="403">
        <f t="shared" ref="J8:J15" si="1">SUM(H8:I8)</f>
        <v>15</v>
      </c>
      <c r="K8" s="437">
        <v>1</v>
      </c>
      <c r="L8" s="437">
        <v>17</v>
      </c>
      <c r="M8" s="403">
        <f t="shared" ref="M8:M15" si="2">SUM(K8:L8)</f>
        <v>18</v>
      </c>
      <c r="N8" s="437">
        <v>63</v>
      </c>
      <c r="O8" s="437">
        <v>21</v>
      </c>
      <c r="Q8">
        <f t="shared" ref="Q8:Q14" si="3">N8+E8</f>
        <v>74</v>
      </c>
    </row>
    <row r="9" spans="2:17" ht="15" x14ac:dyDescent="0.25">
      <c r="B9" t="str">
        <f>STN_3</f>
        <v>FGY</v>
      </c>
      <c r="C9" s="437">
        <v>10</v>
      </c>
      <c r="D9" s="437">
        <v>2</v>
      </c>
      <c r="E9" s="403">
        <f t="shared" si="0"/>
        <v>12</v>
      </c>
      <c r="F9" s="437">
        <v>0</v>
      </c>
      <c r="G9" s="437">
        <v>0</v>
      </c>
      <c r="H9" s="437">
        <v>0</v>
      </c>
      <c r="I9" s="437"/>
      <c r="J9" s="403">
        <f t="shared" si="1"/>
        <v>0</v>
      </c>
      <c r="K9" s="437">
        <v>0</v>
      </c>
      <c r="L9" s="437">
        <v>12</v>
      </c>
      <c r="M9" s="403">
        <f t="shared" si="2"/>
        <v>12</v>
      </c>
      <c r="N9" s="437">
        <v>36</v>
      </c>
      <c r="O9" s="437">
        <v>7</v>
      </c>
      <c r="Q9">
        <f t="shared" si="3"/>
        <v>48</v>
      </c>
    </row>
    <row r="10" spans="2:17" ht="15" x14ac:dyDescent="0.25">
      <c r="B10" t="str">
        <f>STN_4</f>
        <v>WOTS22</v>
      </c>
      <c r="C10" s="437">
        <v>6</v>
      </c>
      <c r="D10" s="437">
        <v>0</v>
      </c>
      <c r="E10" s="403">
        <f t="shared" si="0"/>
        <v>6</v>
      </c>
      <c r="F10" s="437">
        <v>1</v>
      </c>
      <c r="G10" s="437">
        <v>0</v>
      </c>
      <c r="H10" s="437">
        <v>191</v>
      </c>
      <c r="I10" s="437"/>
      <c r="J10" s="403">
        <f t="shared" si="1"/>
        <v>191</v>
      </c>
      <c r="K10" s="437">
        <v>7</v>
      </c>
      <c r="L10" s="437">
        <v>29</v>
      </c>
      <c r="M10" s="403">
        <f t="shared" si="2"/>
        <v>36</v>
      </c>
      <c r="N10" s="437">
        <v>36</v>
      </c>
      <c r="O10" s="437">
        <v>45</v>
      </c>
      <c r="Q10">
        <f t="shared" si="3"/>
        <v>42</v>
      </c>
    </row>
    <row r="11" spans="2:17" ht="15" x14ac:dyDescent="0.25">
      <c r="B11" t="str">
        <f>STN_5</f>
        <v>MOE</v>
      </c>
      <c r="C11" s="437">
        <v>8</v>
      </c>
      <c r="D11" s="437">
        <v>1</v>
      </c>
      <c r="E11" s="403">
        <f t="shared" si="0"/>
        <v>9</v>
      </c>
      <c r="F11" s="437">
        <v>9</v>
      </c>
      <c r="G11" s="437">
        <v>1</v>
      </c>
      <c r="H11" s="437">
        <v>56</v>
      </c>
      <c r="I11" s="437"/>
      <c r="J11" s="403">
        <f t="shared" si="1"/>
        <v>56</v>
      </c>
      <c r="K11" s="437">
        <v>8</v>
      </c>
      <c r="L11" s="437">
        <v>22</v>
      </c>
      <c r="M11" s="403">
        <f t="shared" si="2"/>
        <v>30</v>
      </c>
      <c r="N11" s="437">
        <v>45</v>
      </c>
      <c r="O11" s="437">
        <v>38</v>
      </c>
      <c r="Q11">
        <f t="shared" si="3"/>
        <v>54</v>
      </c>
    </row>
    <row r="12" spans="2:17" ht="15" x14ac:dyDescent="0.25">
      <c r="B12" t="str">
        <f>STN_6</f>
        <v>BGE</v>
      </c>
      <c r="C12" s="437">
        <v>6</v>
      </c>
      <c r="D12" s="437">
        <v>1</v>
      </c>
      <c r="E12" s="403">
        <f t="shared" si="0"/>
        <v>7</v>
      </c>
      <c r="F12" s="437">
        <v>38</v>
      </c>
      <c r="G12" s="437">
        <v>3</v>
      </c>
      <c r="H12" s="437">
        <v>22</v>
      </c>
      <c r="I12" s="437"/>
      <c r="J12" s="403">
        <f t="shared" si="1"/>
        <v>22</v>
      </c>
      <c r="K12" s="437">
        <v>11</v>
      </c>
      <c r="L12" s="437">
        <v>20</v>
      </c>
      <c r="M12" s="403">
        <f t="shared" si="2"/>
        <v>31</v>
      </c>
      <c r="N12" s="437">
        <v>54</v>
      </c>
      <c r="O12" s="437">
        <v>34</v>
      </c>
      <c r="Q12">
        <f t="shared" si="3"/>
        <v>61</v>
      </c>
    </row>
    <row r="13" spans="2:17" ht="15" x14ac:dyDescent="0.25">
      <c r="B13" t="str">
        <f>STN_7</f>
        <v>LDL</v>
      </c>
      <c r="C13" s="437">
        <v>8</v>
      </c>
      <c r="D13" s="437">
        <v>2</v>
      </c>
      <c r="E13" s="403">
        <f t="shared" si="0"/>
        <v>10</v>
      </c>
      <c r="F13" s="437">
        <v>10</v>
      </c>
      <c r="G13" s="437">
        <v>5</v>
      </c>
      <c r="H13" s="437">
        <v>8</v>
      </c>
      <c r="I13" s="437"/>
      <c r="J13" s="403">
        <f t="shared" si="1"/>
        <v>8</v>
      </c>
      <c r="K13" s="437">
        <v>2</v>
      </c>
      <c r="L13" s="437">
        <v>10</v>
      </c>
      <c r="M13" s="403">
        <f t="shared" si="2"/>
        <v>12</v>
      </c>
      <c r="N13" s="437">
        <v>46</v>
      </c>
      <c r="O13" s="437">
        <v>15</v>
      </c>
      <c r="Q13">
        <f t="shared" si="3"/>
        <v>56</v>
      </c>
    </row>
    <row r="14" spans="2:17" ht="15" x14ac:dyDescent="0.25">
      <c r="B14" t="str">
        <f>STN_8</f>
        <v>BDL</v>
      </c>
      <c r="C14" s="437">
        <v>8</v>
      </c>
      <c r="D14" s="437">
        <v>1</v>
      </c>
      <c r="E14" s="403">
        <f t="shared" si="0"/>
        <v>9</v>
      </c>
      <c r="F14" s="437">
        <v>18</v>
      </c>
      <c r="G14" s="437">
        <v>2</v>
      </c>
      <c r="H14" s="437">
        <v>93</v>
      </c>
      <c r="I14" s="437"/>
      <c r="J14" s="403">
        <f t="shared" si="1"/>
        <v>93</v>
      </c>
      <c r="K14" s="437">
        <v>5</v>
      </c>
      <c r="L14" s="437">
        <v>30</v>
      </c>
      <c r="M14" s="403">
        <f t="shared" si="2"/>
        <v>35</v>
      </c>
      <c r="N14" s="437">
        <v>60</v>
      </c>
      <c r="O14" s="437">
        <v>34</v>
      </c>
      <c r="Q14">
        <f t="shared" si="3"/>
        <v>69</v>
      </c>
    </row>
    <row r="15" spans="2:17" x14ac:dyDescent="0.3">
      <c r="B15" t="str">
        <f>STN_9</f>
        <v>[spare]</v>
      </c>
      <c r="C15" s="437"/>
      <c r="D15" s="437"/>
      <c r="E15" s="403">
        <f t="shared" si="0"/>
        <v>0</v>
      </c>
      <c r="F15" s="437"/>
      <c r="G15" s="437"/>
      <c r="H15" s="437"/>
      <c r="I15" s="437"/>
      <c r="J15" s="403">
        <f t="shared" si="1"/>
        <v>0</v>
      </c>
      <c r="K15" s="437"/>
      <c r="L15" s="437"/>
      <c r="M15" s="403">
        <f t="shared" si="2"/>
        <v>0</v>
      </c>
      <c r="N15" s="437"/>
      <c r="O15" s="437"/>
    </row>
    <row r="16" spans="2:17" x14ac:dyDescent="0.3">
      <c r="B16" t="s">
        <v>6</v>
      </c>
      <c r="C16" s="44">
        <f>SUM(C7:C15)</f>
        <v>61</v>
      </c>
      <c r="D16" s="44">
        <f t="shared" ref="D16:M16" si="4">SUM(D7:D15)</f>
        <v>11</v>
      </c>
      <c r="E16" s="404">
        <f t="shared" si="4"/>
        <v>72</v>
      </c>
      <c r="F16" s="44">
        <f t="shared" si="4"/>
        <v>105</v>
      </c>
      <c r="G16" s="44">
        <f t="shared" si="4"/>
        <v>13</v>
      </c>
      <c r="H16" s="44">
        <f t="shared" si="4"/>
        <v>394</v>
      </c>
      <c r="I16" s="44">
        <f>SUM(I7:I15)</f>
        <v>0</v>
      </c>
      <c r="J16" s="404">
        <f t="shared" si="4"/>
        <v>394</v>
      </c>
      <c r="K16" s="44">
        <f t="shared" si="4"/>
        <v>34</v>
      </c>
      <c r="L16" s="44">
        <f t="shared" si="4"/>
        <v>145</v>
      </c>
      <c r="M16" s="404">
        <f t="shared" si="4"/>
        <v>179</v>
      </c>
      <c r="N16" s="44">
        <f>SUM(N7:N15)</f>
        <v>383</v>
      </c>
      <c r="O16" s="44">
        <f>SUM(O7:O15)</f>
        <v>202</v>
      </c>
      <c r="Q16">
        <f>SUM(Q7:Q14)</f>
        <v>455</v>
      </c>
    </row>
    <row r="17" spans="2:15" x14ac:dyDescent="0.3">
      <c r="C17" s="171"/>
      <c r="D17" s="171"/>
      <c r="E17" s="236"/>
      <c r="F17" s="236"/>
      <c r="G17" s="236"/>
      <c r="H17" s="236"/>
      <c r="I17" s="236"/>
      <c r="J17" s="236"/>
      <c r="K17" s="236"/>
      <c r="L17" s="236"/>
      <c r="M17" s="236"/>
      <c r="N17" s="171"/>
      <c r="O17" s="171"/>
    </row>
    <row r="18" spans="2:15" x14ac:dyDescent="0.3">
      <c r="B18" s="25" t="s">
        <v>492</v>
      </c>
    </row>
    <row r="19" spans="2:15" ht="15" x14ac:dyDescent="0.25">
      <c r="B19" s="25" t="s">
        <v>8</v>
      </c>
      <c r="G19" s="25" t="s">
        <v>509</v>
      </c>
      <c r="H19" t="s">
        <v>531</v>
      </c>
    </row>
    <row r="20" spans="2:15" x14ac:dyDescent="0.3">
      <c r="C20" s="4" t="s">
        <v>139</v>
      </c>
      <c r="D20" s="179" t="s">
        <v>15</v>
      </c>
      <c r="H20" t="s">
        <v>505</v>
      </c>
      <c r="I20" t="s">
        <v>506</v>
      </c>
      <c r="J20" t="s">
        <v>507</v>
      </c>
      <c r="K20" t="s">
        <v>508</v>
      </c>
    </row>
    <row r="21" spans="2:15" ht="15" x14ac:dyDescent="0.25">
      <c r="B21" t="str">
        <f>STN_1</f>
        <v>RWN</v>
      </c>
      <c r="C21" s="437">
        <v>142</v>
      </c>
      <c r="D21" s="124">
        <f>IF(ISERROR($D$31),0,C21*$D$31)</f>
        <v>339.3056905919359</v>
      </c>
      <c r="E21" s="213"/>
      <c r="G21" t="str">
        <f>STN_1</f>
        <v>RWN</v>
      </c>
      <c r="H21" s="437">
        <v>84</v>
      </c>
      <c r="I21" s="469">
        <v>25</v>
      </c>
      <c r="J21" s="469">
        <v>10</v>
      </c>
      <c r="K21" s="469">
        <v>1073.01</v>
      </c>
    </row>
    <row r="22" spans="2:15" ht="15" x14ac:dyDescent="0.25">
      <c r="B22" t="str">
        <f>STN_2</f>
        <v>ELM</v>
      </c>
      <c r="C22" s="437">
        <v>219</v>
      </c>
      <c r="D22" s="124">
        <f t="shared" ref="D22:D29" si="5">IF(ISERROR($D$31),0,C22*$D$31)</f>
        <v>523.29539605376033</v>
      </c>
      <c r="E22" s="213"/>
      <c r="G22" t="str">
        <f>STN_2</f>
        <v>ELM</v>
      </c>
      <c r="H22" s="437">
        <v>194</v>
      </c>
      <c r="I22" s="469">
        <v>56</v>
      </c>
      <c r="J22" s="469">
        <v>22</v>
      </c>
      <c r="K22" s="469">
        <v>2247.63</v>
      </c>
    </row>
    <row r="23" spans="2:15" ht="15" x14ac:dyDescent="0.25">
      <c r="B23" t="str">
        <f>STN_3</f>
        <v>FGY</v>
      </c>
      <c r="C23" s="437">
        <v>129</v>
      </c>
      <c r="D23" s="124">
        <f t="shared" si="5"/>
        <v>308.24249356591361</v>
      </c>
      <c r="E23" s="213"/>
      <c r="G23" t="str">
        <f>STN_3</f>
        <v>FGY</v>
      </c>
      <c r="H23" s="437">
        <v>182</v>
      </c>
      <c r="I23" s="469">
        <v>88</v>
      </c>
      <c r="J23" s="469">
        <v>35</v>
      </c>
      <c r="K23" s="469">
        <v>3241.62</v>
      </c>
    </row>
    <row r="24" spans="2:15" ht="15" x14ac:dyDescent="0.25">
      <c r="B24" t="str">
        <f>STN_4</f>
        <v>WOTS22</v>
      </c>
      <c r="C24" s="437">
        <v>917</v>
      </c>
      <c r="D24" s="124">
        <f t="shared" si="5"/>
        <v>2191.150128681727</v>
      </c>
      <c r="E24" s="213"/>
      <c r="G24" t="str">
        <f>STN_4</f>
        <v>WOTS22</v>
      </c>
      <c r="H24" s="437">
        <v>105</v>
      </c>
      <c r="I24" s="469">
        <v>70</v>
      </c>
      <c r="J24" s="469">
        <v>28</v>
      </c>
      <c r="K24" s="469">
        <v>2598.88</v>
      </c>
    </row>
    <row r="25" spans="2:15" ht="15" x14ac:dyDescent="0.25">
      <c r="B25" t="str">
        <f>STN_5</f>
        <v>MOE</v>
      </c>
      <c r="C25" s="437">
        <v>790</v>
      </c>
      <c r="D25" s="124">
        <f t="shared" si="5"/>
        <v>1887.6865885044322</v>
      </c>
      <c r="E25" s="213"/>
      <c r="G25" t="str">
        <f>STN_5</f>
        <v>MOE</v>
      </c>
      <c r="H25" s="437">
        <v>75</v>
      </c>
      <c r="I25" s="469">
        <v>31</v>
      </c>
      <c r="J25" s="469">
        <v>12</v>
      </c>
      <c r="K25" s="469">
        <v>1332.16</v>
      </c>
    </row>
    <row r="26" spans="2:15" ht="15" x14ac:dyDescent="0.25">
      <c r="B26" t="str">
        <f>STN_6</f>
        <v>BGE</v>
      </c>
      <c r="C26" s="437">
        <v>262</v>
      </c>
      <c r="D26" s="124">
        <f t="shared" si="5"/>
        <v>626.0428939090649</v>
      </c>
      <c r="E26" s="213"/>
      <c r="G26" t="str">
        <f>STN_6</f>
        <v>BGE</v>
      </c>
      <c r="H26" s="437">
        <v>115</v>
      </c>
      <c r="I26" s="469">
        <v>30</v>
      </c>
      <c r="J26" s="469">
        <v>12</v>
      </c>
      <c r="K26" s="469">
        <v>3966.76</v>
      </c>
    </row>
    <row r="27" spans="2:15" ht="15" x14ac:dyDescent="0.25">
      <c r="B27" t="str">
        <f>STN_7</f>
        <v>LDL</v>
      </c>
      <c r="C27" s="437">
        <v>224</v>
      </c>
      <c r="D27" s="124">
        <f t="shared" si="5"/>
        <v>535.24277952530736</v>
      </c>
      <c r="E27" s="213"/>
      <c r="G27" t="str">
        <f>STN_7</f>
        <v>LDL</v>
      </c>
      <c r="H27" s="437">
        <v>146</v>
      </c>
      <c r="I27" s="469">
        <v>42</v>
      </c>
      <c r="J27" s="469">
        <v>17</v>
      </c>
      <c r="K27" s="469">
        <v>2332.63</v>
      </c>
    </row>
    <row r="28" spans="2:15" ht="15" x14ac:dyDescent="0.25">
      <c r="B28" t="str">
        <f>STN_8</f>
        <v>BDL</v>
      </c>
      <c r="C28" s="437">
        <v>814</v>
      </c>
      <c r="D28" s="124">
        <f t="shared" si="5"/>
        <v>1945.0340291678581</v>
      </c>
      <c r="E28" s="213"/>
      <c r="G28" t="str">
        <f>STN_8</f>
        <v>BDL</v>
      </c>
      <c r="H28" s="437">
        <v>135</v>
      </c>
      <c r="I28" s="469">
        <v>57</v>
      </c>
      <c r="J28" s="469">
        <v>23</v>
      </c>
      <c r="K28" s="469">
        <v>1596.97</v>
      </c>
    </row>
    <row r="29" spans="2:15" x14ac:dyDescent="0.3">
      <c r="B29" t="str">
        <f>STN_9</f>
        <v>[spare]</v>
      </c>
      <c r="C29" s="437"/>
      <c r="D29" s="124">
        <f t="shared" si="5"/>
        <v>0</v>
      </c>
      <c r="E29" s="213"/>
      <c r="G29" t="str">
        <f>STN_9</f>
        <v>[spare]</v>
      </c>
      <c r="H29" s="437"/>
      <c r="I29" s="437"/>
      <c r="J29" s="437"/>
      <c r="K29" s="437"/>
    </row>
    <row r="30" spans="2:15" x14ac:dyDescent="0.3">
      <c r="B30" t="s">
        <v>6</v>
      </c>
      <c r="C30" s="44">
        <f>SUM(C21:C29)</f>
        <v>3497</v>
      </c>
      <c r="D30" s="438">
        <v>8356</v>
      </c>
      <c r="G30" t="s">
        <v>6</v>
      </c>
      <c r="H30" s="44">
        <f>SUM(H21:H29)</f>
        <v>1036</v>
      </c>
      <c r="I30" s="44">
        <f>SUM(I21:I29)</f>
        <v>399</v>
      </c>
      <c r="J30" s="44">
        <f>SUM(J21:J29)</f>
        <v>159</v>
      </c>
      <c r="K30" s="44">
        <f>SUM(K21:K29)</f>
        <v>18389.66</v>
      </c>
    </row>
    <row r="31" spans="2:15" x14ac:dyDescent="0.3">
      <c r="C31" s="171"/>
      <c r="D31" s="11">
        <f>D30/C30</f>
        <v>2.3894766943094079</v>
      </c>
      <c r="E31" t="s">
        <v>140</v>
      </c>
      <c r="N31" s="124"/>
    </row>
    <row r="32" spans="2:15" x14ac:dyDescent="0.3">
      <c r="C32" s="171"/>
      <c r="D32" s="11"/>
    </row>
    <row r="33" spans="2:9" x14ac:dyDescent="0.3">
      <c r="B33" s="25" t="s">
        <v>46</v>
      </c>
    </row>
    <row r="34" spans="2:9" ht="43.2" x14ac:dyDescent="0.3">
      <c r="C34" s="13" t="s">
        <v>389</v>
      </c>
      <c r="D34" s="13" t="s">
        <v>390</v>
      </c>
      <c r="E34" s="13" t="s">
        <v>392</v>
      </c>
      <c r="F34" s="13" t="s">
        <v>393</v>
      </c>
      <c r="G34" s="13"/>
    </row>
    <row r="35" spans="2:9" x14ac:dyDescent="0.3">
      <c r="B35" t="str">
        <f>STN_1</f>
        <v>RWN</v>
      </c>
      <c r="C35" s="437">
        <v>6</v>
      </c>
      <c r="D35" s="437">
        <v>1</v>
      </c>
      <c r="E35" s="437"/>
      <c r="F35" s="437"/>
      <c r="G35" s="236"/>
    </row>
    <row r="36" spans="2:9" x14ac:dyDescent="0.3">
      <c r="B36" t="str">
        <f>STN_2</f>
        <v>ELM</v>
      </c>
      <c r="C36" s="437">
        <v>3</v>
      </c>
      <c r="D36" s="437">
        <v>6</v>
      </c>
      <c r="E36" s="437"/>
      <c r="F36" s="437"/>
      <c r="G36" s="236"/>
    </row>
    <row r="37" spans="2:9" x14ac:dyDescent="0.3">
      <c r="B37" t="str">
        <f>STN_3</f>
        <v>FGY</v>
      </c>
      <c r="C37" s="437">
        <v>3</v>
      </c>
      <c r="D37" s="437">
        <v>0</v>
      </c>
      <c r="E37" s="437"/>
      <c r="F37" s="437"/>
      <c r="G37" s="236"/>
    </row>
    <row r="38" spans="2:9" x14ac:dyDescent="0.3">
      <c r="B38" t="str">
        <f>STN_4</f>
        <v>WOTS22</v>
      </c>
      <c r="C38" s="437">
        <v>2</v>
      </c>
      <c r="D38" s="437">
        <v>15</v>
      </c>
      <c r="E38" s="437"/>
      <c r="F38" s="437"/>
      <c r="G38" s="236"/>
    </row>
    <row r="39" spans="2:9" x14ac:dyDescent="0.3">
      <c r="B39" t="str">
        <f>STN_5</f>
        <v>MOE</v>
      </c>
      <c r="C39" s="437">
        <v>12</v>
      </c>
      <c r="D39" s="437">
        <v>11</v>
      </c>
      <c r="E39" s="437"/>
      <c r="F39" s="437"/>
      <c r="G39" s="236"/>
    </row>
    <row r="40" spans="2:9" x14ac:dyDescent="0.3">
      <c r="B40" t="str">
        <f>STN_6</f>
        <v>BGE</v>
      </c>
      <c r="C40" s="437">
        <v>4</v>
      </c>
      <c r="D40" s="437">
        <v>2</v>
      </c>
      <c r="E40" s="437"/>
      <c r="F40" s="437"/>
      <c r="G40" s="236"/>
    </row>
    <row r="41" spans="2:9" x14ac:dyDescent="0.3">
      <c r="B41" t="str">
        <f>STN_7</f>
        <v>LDL</v>
      </c>
      <c r="C41" s="437">
        <v>7</v>
      </c>
      <c r="D41" s="437">
        <v>3</v>
      </c>
      <c r="E41" s="437"/>
      <c r="F41" s="437"/>
      <c r="G41" s="236"/>
    </row>
    <row r="42" spans="2:9" x14ac:dyDescent="0.3">
      <c r="B42" t="str">
        <f>STN_8</f>
        <v>BDL</v>
      </c>
      <c r="C42" s="437">
        <v>5</v>
      </c>
      <c r="D42" s="437">
        <v>19</v>
      </c>
      <c r="E42" s="437"/>
      <c r="F42" s="437"/>
      <c r="G42" s="236"/>
    </row>
    <row r="43" spans="2:9" x14ac:dyDescent="0.3">
      <c r="B43" t="str">
        <f>STN_9</f>
        <v>[spare]</v>
      </c>
      <c r="C43" s="437"/>
      <c r="D43" s="437"/>
      <c r="E43" s="437"/>
      <c r="F43" s="437"/>
      <c r="G43" s="236"/>
    </row>
    <row r="44" spans="2:9" x14ac:dyDescent="0.3">
      <c r="B44" t="s">
        <v>6</v>
      </c>
      <c r="C44" s="44">
        <f>SUM(C35:C43)</f>
        <v>42</v>
      </c>
      <c r="D44" s="44">
        <f>SUM(D35:D43)</f>
        <v>57</v>
      </c>
      <c r="E44" s="44">
        <f>SUM(E35:E43)</f>
        <v>0</v>
      </c>
      <c r="F44" s="44">
        <f>SUM(F35:F43)</f>
        <v>0</v>
      </c>
      <c r="G44" s="236"/>
    </row>
    <row r="46" spans="2:9" x14ac:dyDescent="0.3">
      <c r="B46" s="25" t="s">
        <v>476</v>
      </c>
      <c r="I46" s="25" t="s">
        <v>295</v>
      </c>
    </row>
    <row r="47" spans="2:9" x14ac:dyDescent="0.3">
      <c r="B47" s="140"/>
      <c r="C47" s="13" t="s">
        <v>543</v>
      </c>
      <c r="D47" s="433" t="s">
        <v>477</v>
      </c>
      <c r="E47" s="433" t="s">
        <v>478</v>
      </c>
      <c r="F47" s="433" t="s">
        <v>479</v>
      </c>
      <c r="G47" s="475" t="s">
        <v>6</v>
      </c>
    </row>
    <row r="48" spans="2:9" x14ac:dyDescent="0.3">
      <c r="B48" t="str">
        <f>STN_1</f>
        <v>RWN</v>
      </c>
      <c r="C48" s="437">
        <v>0</v>
      </c>
      <c r="D48" s="437">
        <v>0</v>
      </c>
      <c r="E48" s="437">
        <v>0</v>
      </c>
      <c r="F48" s="437"/>
      <c r="G48" s="171">
        <f t="shared" ref="G48:G56" si="6">SUM(C48:F48)</f>
        <v>0</v>
      </c>
      <c r="I48" s="437">
        <v>0</v>
      </c>
    </row>
    <row r="49" spans="2:9" x14ac:dyDescent="0.3">
      <c r="B49" t="str">
        <f>STN_2</f>
        <v>ELM</v>
      </c>
      <c r="C49" s="437">
        <v>1</v>
      </c>
      <c r="D49" s="437">
        <v>0</v>
      </c>
      <c r="E49" s="437">
        <v>0</v>
      </c>
      <c r="F49" s="437"/>
      <c r="G49" s="171">
        <f t="shared" si="6"/>
        <v>1</v>
      </c>
      <c r="I49" s="437">
        <v>3</v>
      </c>
    </row>
    <row r="50" spans="2:9" x14ac:dyDescent="0.3">
      <c r="B50" t="str">
        <f>STN_3</f>
        <v>FGY</v>
      </c>
      <c r="C50" s="437">
        <v>1</v>
      </c>
      <c r="D50" s="437">
        <v>0</v>
      </c>
      <c r="E50" s="437">
        <v>0</v>
      </c>
      <c r="F50" s="437"/>
      <c r="G50" s="171">
        <f t="shared" si="6"/>
        <v>1</v>
      </c>
      <c r="I50" s="437">
        <v>3</v>
      </c>
    </row>
    <row r="51" spans="2:9" x14ac:dyDescent="0.3">
      <c r="B51" t="str">
        <f>STN_4</f>
        <v>WOTS22</v>
      </c>
      <c r="C51" s="437">
        <v>5</v>
      </c>
      <c r="D51" s="437">
        <v>0</v>
      </c>
      <c r="E51" s="437">
        <v>0</v>
      </c>
      <c r="F51" s="437"/>
      <c r="G51" s="171">
        <f t="shared" si="6"/>
        <v>5</v>
      </c>
      <c r="I51" s="437">
        <v>0</v>
      </c>
    </row>
    <row r="52" spans="2:9" x14ac:dyDescent="0.3">
      <c r="B52" t="str">
        <f>STN_5</f>
        <v>MOE</v>
      </c>
      <c r="C52" s="437">
        <v>2</v>
      </c>
      <c r="D52" s="437">
        <v>0</v>
      </c>
      <c r="E52" s="437">
        <v>1</v>
      </c>
      <c r="F52" s="437"/>
      <c r="G52" s="171">
        <f t="shared" si="6"/>
        <v>3</v>
      </c>
      <c r="I52" s="437">
        <v>1</v>
      </c>
    </row>
    <row r="53" spans="2:9" x14ac:dyDescent="0.3">
      <c r="B53" t="str">
        <f>STN_6</f>
        <v>BGE</v>
      </c>
      <c r="C53" s="437">
        <v>2</v>
      </c>
      <c r="D53" s="437">
        <v>1</v>
      </c>
      <c r="E53" s="437"/>
      <c r="F53" s="437"/>
      <c r="G53" s="171">
        <f t="shared" si="6"/>
        <v>3</v>
      </c>
      <c r="I53" s="437">
        <v>1</v>
      </c>
    </row>
    <row r="54" spans="2:9" x14ac:dyDescent="0.3">
      <c r="B54" t="str">
        <f>STN_7</f>
        <v>LDL</v>
      </c>
      <c r="C54" s="437">
        <v>4</v>
      </c>
      <c r="D54" s="437">
        <v>1</v>
      </c>
      <c r="E54" s="437">
        <v>0</v>
      </c>
      <c r="F54" s="437"/>
      <c r="G54" s="171">
        <f t="shared" si="6"/>
        <v>5</v>
      </c>
      <c r="I54" s="437">
        <v>0</v>
      </c>
    </row>
    <row r="55" spans="2:9" x14ac:dyDescent="0.3">
      <c r="B55" t="str">
        <f>STN_8</f>
        <v>BDL</v>
      </c>
      <c r="C55" s="437">
        <v>0</v>
      </c>
      <c r="D55" s="437">
        <v>0</v>
      </c>
      <c r="E55" s="437">
        <v>0</v>
      </c>
      <c r="F55" s="437"/>
      <c r="G55" s="171">
        <f t="shared" si="6"/>
        <v>0</v>
      </c>
      <c r="I55" s="437">
        <v>0</v>
      </c>
    </row>
    <row r="56" spans="2:9" x14ac:dyDescent="0.3">
      <c r="B56" t="str">
        <f>STN_9</f>
        <v>[spare]</v>
      </c>
      <c r="C56" s="437"/>
      <c r="D56" s="437"/>
      <c r="E56" s="437"/>
      <c r="F56" s="437"/>
      <c r="G56" s="171">
        <f t="shared" si="6"/>
        <v>0</v>
      </c>
      <c r="I56" s="437">
        <v>0</v>
      </c>
    </row>
    <row r="57" spans="2:9" x14ac:dyDescent="0.3">
      <c r="B57" t="s">
        <v>6</v>
      </c>
      <c r="C57" s="44">
        <f>SUM(C48:C56)</f>
        <v>15</v>
      </c>
      <c r="D57" s="44">
        <f t="shared" ref="D57:I57" si="7">SUM(D48:D56)</f>
        <v>2</v>
      </c>
      <c r="E57" s="44">
        <f t="shared" si="7"/>
        <v>1</v>
      </c>
      <c r="F57" s="44">
        <f t="shared" si="7"/>
        <v>0</v>
      </c>
      <c r="G57" s="44">
        <f t="shared" si="7"/>
        <v>18</v>
      </c>
      <c r="I57" s="44">
        <f t="shared" si="7"/>
        <v>8</v>
      </c>
    </row>
    <row r="59" spans="2:9" x14ac:dyDescent="0.3">
      <c r="B59" s="25" t="s">
        <v>637</v>
      </c>
    </row>
    <row r="61" spans="2:9" x14ac:dyDescent="0.3">
      <c r="B61" t="str">
        <f>STN_1</f>
        <v>RWN</v>
      </c>
      <c r="C61" s="437"/>
    </row>
    <row r="62" spans="2:9" x14ac:dyDescent="0.3">
      <c r="B62" t="str">
        <f>STN_2</f>
        <v>ELM</v>
      </c>
      <c r="C62" s="437"/>
    </row>
    <row r="63" spans="2:9" x14ac:dyDescent="0.3">
      <c r="B63" t="str">
        <f>STN_3</f>
        <v>FGY</v>
      </c>
      <c r="C63" s="437"/>
    </row>
    <row r="64" spans="2:9" x14ac:dyDescent="0.3">
      <c r="B64" t="str">
        <f>STN_4</f>
        <v>WOTS22</v>
      </c>
      <c r="C64" s="437"/>
    </row>
    <row r="65" spans="2:3" x14ac:dyDescent="0.3">
      <c r="B65" t="str">
        <f>STN_5</f>
        <v>MOE</v>
      </c>
      <c r="C65" s="437"/>
    </row>
    <row r="66" spans="2:3" x14ac:dyDescent="0.3">
      <c r="B66" t="str">
        <f>STN_6</f>
        <v>BGE</v>
      </c>
      <c r="C66" s="437"/>
    </row>
    <row r="67" spans="2:3" x14ac:dyDescent="0.3">
      <c r="B67" t="str">
        <f>STN_7</f>
        <v>LDL</v>
      </c>
      <c r="C67" s="437"/>
    </row>
    <row r="68" spans="2:3" x14ac:dyDescent="0.3">
      <c r="B68" t="str">
        <f>STN_8</f>
        <v>BDL</v>
      </c>
      <c r="C68" s="437">
        <v>1</v>
      </c>
    </row>
    <row r="69" spans="2:3" x14ac:dyDescent="0.3">
      <c r="B69" t="str">
        <f>STN_9</f>
        <v>[spare]</v>
      </c>
      <c r="C69" s="437"/>
    </row>
    <row r="70" spans="2:3" x14ac:dyDescent="0.3">
      <c r="C70" s="44">
        <f>SUM(C61:C69)</f>
        <v>1</v>
      </c>
    </row>
  </sheetData>
  <pageMargins left="0.7" right="0.7" top="0.75" bottom="0.75" header="0.3" footer="0.3"/>
  <pageSetup paperSize="9" orientation="portrait" r:id="rId1"/>
  <ignoredErrors>
    <ignoredError sqref="F16:O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E93"/>
  <sheetViews>
    <sheetView zoomScale="85" zoomScaleNormal="85" workbookViewId="0">
      <pane ySplit="2" topLeftCell="A3" activePane="bottomLeft" state="frozen"/>
      <selection activeCell="C6" sqref="C6"/>
      <selection pane="bottomLeft" activeCell="C6" sqref="C6"/>
    </sheetView>
  </sheetViews>
  <sheetFormatPr defaultRowHeight="14.4" x14ac:dyDescent="0.3"/>
  <cols>
    <col min="1" max="1" width="4.88671875" customWidth="1"/>
    <col min="2" max="2" width="30.5546875" customWidth="1"/>
    <col min="3" max="5" width="13.33203125" customWidth="1"/>
  </cols>
  <sheetData>
    <row r="1" spans="2:5" x14ac:dyDescent="0.3">
      <c r="B1" s="25" t="s">
        <v>484</v>
      </c>
    </row>
    <row r="2" spans="2:5" ht="28.95" x14ac:dyDescent="0.3">
      <c r="C2" s="459" t="s">
        <v>7</v>
      </c>
      <c r="D2" s="458" t="s">
        <v>12</v>
      </c>
      <c r="E2" s="459" t="s">
        <v>483</v>
      </c>
    </row>
    <row r="3" spans="2:5" x14ac:dyDescent="0.3">
      <c r="B3" s="25" t="s">
        <v>261</v>
      </c>
      <c r="C3" s="459"/>
      <c r="D3" s="458"/>
      <c r="E3" s="459"/>
    </row>
    <row r="4" spans="2:5" x14ac:dyDescent="0.3">
      <c r="B4" s="174" t="str">
        <f>STN_1</f>
        <v>RWN</v>
      </c>
      <c r="C4" s="445">
        <v>43191</v>
      </c>
      <c r="D4" s="445">
        <v>43466</v>
      </c>
      <c r="E4" s="445">
        <v>43709</v>
      </c>
    </row>
    <row r="5" spans="2:5" x14ac:dyDescent="0.3">
      <c r="B5" s="174" t="str">
        <f>STN_2</f>
        <v>ELM</v>
      </c>
      <c r="C5" s="445">
        <v>43282</v>
      </c>
      <c r="D5" s="445">
        <v>43647</v>
      </c>
      <c r="E5" s="445">
        <v>44105</v>
      </c>
    </row>
    <row r="6" spans="2:5" x14ac:dyDescent="0.3">
      <c r="B6" s="174" t="str">
        <f>STN_3</f>
        <v>FGY</v>
      </c>
      <c r="C6" s="445">
        <v>43330</v>
      </c>
      <c r="D6" s="445">
        <v>43586</v>
      </c>
      <c r="E6" s="445">
        <v>44075</v>
      </c>
    </row>
    <row r="7" spans="2:5" x14ac:dyDescent="0.3">
      <c r="B7" s="174" t="str">
        <f>STN_4</f>
        <v>WOTS22</v>
      </c>
      <c r="C7" s="445">
        <v>43238</v>
      </c>
      <c r="D7" s="445">
        <v>43525</v>
      </c>
      <c r="E7" s="445">
        <v>44061</v>
      </c>
    </row>
    <row r="8" spans="2:5" x14ac:dyDescent="0.3">
      <c r="B8" s="174" t="str">
        <f>STN_5</f>
        <v>MOE</v>
      </c>
      <c r="C8" s="445">
        <v>43330</v>
      </c>
      <c r="D8" s="445">
        <v>43739</v>
      </c>
      <c r="E8" s="445">
        <v>44136</v>
      </c>
    </row>
    <row r="9" spans="2:5" x14ac:dyDescent="0.3">
      <c r="B9" s="174" t="str">
        <f>STN_6</f>
        <v>BGE</v>
      </c>
      <c r="C9" s="445">
        <v>43282</v>
      </c>
      <c r="D9" s="445">
        <v>43617</v>
      </c>
      <c r="E9" s="445">
        <v>44013</v>
      </c>
    </row>
    <row r="10" spans="2:5" x14ac:dyDescent="0.3">
      <c r="B10" s="174" t="str">
        <f>STN_7</f>
        <v>LDL</v>
      </c>
      <c r="C10" s="445">
        <v>43422</v>
      </c>
      <c r="D10" s="445">
        <v>43739</v>
      </c>
      <c r="E10" s="445">
        <v>44044</v>
      </c>
    </row>
    <row r="11" spans="2:5" x14ac:dyDescent="0.3">
      <c r="B11" s="174" t="str">
        <f>STN_8</f>
        <v>BDL</v>
      </c>
      <c r="C11" s="445">
        <v>43282</v>
      </c>
      <c r="D11" s="445">
        <v>43603</v>
      </c>
      <c r="E11" s="445">
        <v>43952</v>
      </c>
    </row>
    <row r="12" spans="2:5" x14ac:dyDescent="0.3">
      <c r="B12" s="174" t="str">
        <f>STN_9</f>
        <v>[spare]</v>
      </c>
      <c r="C12" s="445"/>
      <c r="D12" s="445"/>
      <c r="E12" s="445"/>
    </row>
    <row r="14" spans="2:5" x14ac:dyDescent="0.3">
      <c r="B14" s="25" t="s">
        <v>17</v>
      </c>
    </row>
    <row r="15" spans="2:5" x14ac:dyDescent="0.3">
      <c r="B15" s="174" t="str">
        <f>STN_1</f>
        <v>RWN</v>
      </c>
      <c r="C15" s="445">
        <v>43191</v>
      </c>
      <c r="D15" s="445">
        <v>43466</v>
      </c>
      <c r="E15" s="445">
        <v>43709</v>
      </c>
    </row>
    <row r="16" spans="2:5" x14ac:dyDescent="0.3">
      <c r="B16" s="174" t="str">
        <f>STN_2</f>
        <v>ELM</v>
      </c>
      <c r="C16" s="445">
        <v>43282</v>
      </c>
      <c r="D16" s="445">
        <v>43647</v>
      </c>
      <c r="E16" s="445">
        <v>44105</v>
      </c>
    </row>
    <row r="17" spans="2:5" x14ac:dyDescent="0.3">
      <c r="B17" s="174" t="str">
        <f>STN_3</f>
        <v>FGY</v>
      </c>
      <c r="C17" s="445">
        <v>43330</v>
      </c>
      <c r="D17" s="445">
        <v>43586</v>
      </c>
      <c r="E17" s="445">
        <v>44075</v>
      </c>
    </row>
    <row r="18" spans="2:5" x14ac:dyDescent="0.3">
      <c r="B18" s="174" t="str">
        <f>STN_4</f>
        <v>WOTS22</v>
      </c>
      <c r="C18" s="445">
        <v>43238</v>
      </c>
      <c r="D18" s="445">
        <v>43525</v>
      </c>
      <c r="E18" s="445">
        <v>44061</v>
      </c>
    </row>
    <row r="19" spans="2:5" x14ac:dyDescent="0.3">
      <c r="B19" s="174" t="str">
        <f>STN_5</f>
        <v>MOE</v>
      </c>
      <c r="C19" s="445">
        <v>43330</v>
      </c>
      <c r="D19" s="445">
        <v>43739</v>
      </c>
      <c r="E19" s="445">
        <v>44136</v>
      </c>
    </row>
    <row r="20" spans="2:5" x14ac:dyDescent="0.3">
      <c r="B20" s="174" t="str">
        <f>STN_6</f>
        <v>BGE</v>
      </c>
      <c r="C20" s="445">
        <v>43282</v>
      </c>
      <c r="D20" s="445">
        <v>43617</v>
      </c>
      <c r="E20" s="445">
        <v>44013</v>
      </c>
    </row>
    <row r="21" spans="2:5" x14ac:dyDescent="0.3">
      <c r="B21" s="174" t="str">
        <f>STN_7</f>
        <v>LDL</v>
      </c>
      <c r="C21" s="445">
        <v>43422</v>
      </c>
      <c r="D21" s="445">
        <v>43739</v>
      </c>
      <c r="E21" s="445">
        <v>44044</v>
      </c>
    </row>
    <row r="22" spans="2:5" x14ac:dyDescent="0.3">
      <c r="B22" s="174" t="str">
        <f>STN_8</f>
        <v>BDL</v>
      </c>
      <c r="C22" s="445">
        <v>43282</v>
      </c>
      <c r="D22" s="445">
        <v>43603</v>
      </c>
      <c r="E22" s="445">
        <v>43952</v>
      </c>
    </row>
    <row r="23" spans="2:5" x14ac:dyDescent="0.3">
      <c r="B23" s="174" t="str">
        <f>STN_9</f>
        <v>[spare]</v>
      </c>
      <c r="C23" s="445"/>
      <c r="D23" s="445"/>
      <c r="E23" s="445"/>
    </row>
    <row r="25" spans="2:5" x14ac:dyDescent="0.3">
      <c r="B25" s="25" t="s">
        <v>119</v>
      </c>
    </row>
    <row r="26" spans="2:5" x14ac:dyDescent="0.3">
      <c r="B26" s="174" t="str">
        <f>STN_1</f>
        <v>RWN</v>
      </c>
      <c r="C26" s="445">
        <v>43191</v>
      </c>
      <c r="D26" s="445">
        <v>43466</v>
      </c>
      <c r="E26" s="445">
        <v>43709</v>
      </c>
    </row>
    <row r="27" spans="2:5" ht="15" x14ac:dyDescent="0.25">
      <c r="B27" s="174" t="str">
        <f>STN_2</f>
        <v>ELM</v>
      </c>
      <c r="C27" s="445">
        <v>43282</v>
      </c>
      <c r="D27" s="445">
        <v>43647</v>
      </c>
      <c r="E27" s="445">
        <v>44105</v>
      </c>
    </row>
    <row r="28" spans="2:5" ht="15" x14ac:dyDescent="0.25">
      <c r="B28" s="174" t="str">
        <f>STN_3</f>
        <v>FGY</v>
      </c>
      <c r="C28" s="445">
        <v>43330</v>
      </c>
      <c r="D28" s="445">
        <v>43586</v>
      </c>
      <c r="E28" s="445">
        <v>44075</v>
      </c>
    </row>
    <row r="29" spans="2:5" ht="15" x14ac:dyDescent="0.25">
      <c r="B29" s="174" t="str">
        <f>STN_4</f>
        <v>WOTS22</v>
      </c>
      <c r="C29" s="445">
        <v>43238</v>
      </c>
      <c r="D29" s="445">
        <v>43525</v>
      </c>
      <c r="E29" s="445">
        <v>44061</v>
      </c>
    </row>
    <row r="30" spans="2:5" ht="15" x14ac:dyDescent="0.25">
      <c r="B30" s="174" t="str">
        <f>STN_5</f>
        <v>MOE</v>
      </c>
      <c r="C30" s="445">
        <v>43330</v>
      </c>
      <c r="D30" s="445">
        <v>43739</v>
      </c>
      <c r="E30" s="445">
        <v>44136</v>
      </c>
    </row>
    <row r="31" spans="2:5" ht="15" x14ac:dyDescent="0.25">
      <c r="B31" s="174" t="str">
        <f>STN_6</f>
        <v>BGE</v>
      </c>
      <c r="C31" s="445">
        <v>43282</v>
      </c>
      <c r="D31" s="445">
        <v>43617</v>
      </c>
      <c r="E31" s="445">
        <v>44013</v>
      </c>
    </row>
    <row r="32" spans="2:5" ht="15" x14ac:dyDescent="0.25">
      <c r="B32" s="174" t="str">
        <f>STN_7</f>
        <v>LDL</v>
      </c>
      <c r="C32" s="445">
        <v>43422</v>
      </c>
      <c r="D32" s="445">
        <v>43739</v>
      </c>
      <c r="E32" s="445">
        <v>44044</v>
      </c>
    </row>
    <row r="33" spans="2:5" x14ac:dyDescent="0.3">
      <c r="B33" s="174" t="str">
        <f>STN_8</f>
        <v>BDL</v>
      </c>
      <c r="C33" s="445">
        <v>43282</v>
      </c>
      <c r="D33" s="445">
        <v>43603</v>
      </c>
      <c r="E33" s="445">
        <v>43952</v>
      </c>
    </row>
    <row r="34" spans="2:5" x14ac:dyDescent="0.3">
      <c r="B34" s="174" t="str">
        <f>STN_9</f>
        <v>[spare]</v>
      </c>
      <c r="C34" s="445"/>
      <c r="D34" s="445"/>
      <c r="E34" s="445"/>
    </row>
    <row r="36" spans="2:5" x14ac:dyDescent="0.3">
      <c r="B36" s="25" t="s">
        <v>491</v>
      </c>
    </row>
    <row r="37" spans="2:5" x14ac:dyDescent="0.3">
      <c r="B37" s="174" t="str">
        <f>STN_1</f>
        <v>RWN</v>
      </c>
      <c r="C37" s="445">
        <v>43191</v>
      </c>
      <c r="D37" s="445">
        <v>43466</v>
      </c>
      <c r="E37" s="445">
        <v>43709</v>
      </c>
    </row>
    <row r="38" spans="2:5" x14ac:dyDescent="0.3">
      <c r="B38" s="174" t="str">
        <f>STN_2</f>
        <v>ELM</v>
      </c>
      <c r="C38" s="445">
        <v>43282</v>
      </c>
      <c r="D38" s="445">
        <v>43647</v>
      </c>
      <c r="E38" s="445">
        <v>44105</v>
      </c>
    </row>
    <row r="39" spans="2:5" x14ac:dyDescent="0.3">
      <c r="B39" s="174" t="str">
        <f>STN_3</f>
        <v>FGY</v>
      </c>
      <c r="C39" s="445">
        <v>43330</v>
      </c>
      <c r="D39" s="445">
        <v>43586</v>
      </c>
      <c r="E39" s="445">
        <v>44075</v>
      </c>
    </row>
    <row r="40" spans="2:5" x14ac:dyDescent="0.3">
      <c r="B40" s="174" t="str">
        <f>STN_4</f>
        <v>WOTS22</v>
      </c>
      <c r="C40" s="445">
        <v>43238</v>
      </c>
      <c r="D40" s="445">
        <v>43525</v>
      </c>
      <c r="E40" s="445">
        <v>44061</v>
      </c>
    </row>
    <row r="41" spans="2:5" x14ac:dyDescent="0.3">
      <c r="B41" s="174" t="str">
        <f>STN_5</f>
        <v>MOE</v>
      </c>
      <c r="C41" s="445">
        <v>43330</v>
      </c>
      <c r="D41" s="445">
        <v>43739</v>
      </c>
      <c r="E41" s="445">
        <v>44136</v>
      </c>
    </row>
    <row r="42" spans="2:5" x14ac:dyDescent="0.3">
      <c r="B42" s="174" t="str">
        <f>STN_6</f>
        <v>BGE</v>
      </c>
      <c r="C42" s="445">
        <v>43282</v>
      </c>
      <c r="D42" s="445">
        <v>43617</v>
      </c>
      <c r="E42" s="445">
        <v>44013</v>
      </c>
    </row>
    <row r="43" spans="2:5" x14ac:dyDescent="0.3">
      <c r="B43" s="174" t="str">
        <f>STN_7</f>
        <v>LDL</v>
      </c>
      <c r="C43" s="445">
        <v>43422</v>
      </c>
      <c r="D43" s="445">
        <v>43739</v>
      </c>
      <c r="E43" s="445">
        <v>44044</v>
      </c>
    </row>
    <row r="44" spans="2:5" x14ac:dyDescent="0.3">
      <c r="B44" s="174" t="str">
        <f>STN_8</f>
        <v>BDL</v>
      </c>
      <c r="C44" s="445">
        <v>43282</v>
      </c>
      <c r="D44" s="445">
        <v>43603</v>
      </c>
      <c r="E44" s="445">
        <v>43952</v>
      </c>
    </row>
    <row r="45" spans="2:5" x14ac:dyDescent="0.3">
      <c r="B45" s="174" t="str">
        <f>STN_9</f>
        <v>[spare]</v>
      </c>
      <c r="C45" s="445"/>
      <c r="D45" s="445"/>
      <c r="E45" s="445"/>
    </row>
    <row r="47" spans="2:5" x14ac:dyDescent="0.3">
      <c r="B47" s="25" t="s">
        <v>118</v>
      </c>
    </row>
    <row r="48" spans="2:5" x14ac:dyDescent="0.3">
      <c r="B48" s="174" t="str">
        <f>STN_1</f>
        <v>RWN</v>
      </c>
      <c r="C48" s="445">
        <v>43191</v>
      </c>
      <c r="D48" s="445">
        <v>43466</v>
      </c>
      <c r="E48" s="445">
        <v>43709</v>
      </c>
    </row>
    <row r="49" spans="2:5" x14ac:dyDescent="0.3">
      <c r="B49" s="174" t="str">
        <f>STN_2</f>
        <v>ELM</v>
      </c>
      <c r="C49" s="445">
        <v>43282</v>
      </c>
      <c r="D49" s="445">
        <v>43647</v>
      </c>
      <c r="E49" s="445">
        <v>44105</v>
      </c>
    </row>
    <row r="50" spans="2:5" x14ac:dyDescent="0.3">
      <c r="B50" s="174" t="str">
        <f>STN_3</f>
        <v>FGY</v>
      </c>
      <c r="C50" s="445">
        <v>43330</v>
      </c>
      <c r="D50" s="445">
        <v>43586</v>
      </c>
      <c r="E50" s="445">
        <v>44075</v>
      </c>
    </row>
    <row r="51" spans="2:5" x14ac:dyDescent="0.3">
      <c r="B51" s="174" t="str">
        <f>STN_4</f>
        <v>WOTS22</v>
      </c>
      <c r="C51" s="445">
        <v>43238</v>
      </c>
      <c r="D51" s="445">
        <v>43525</v>
      </c>
      <c r="E51" s="445">
        <v>44061</v>
      </c>
    </row>
    <row r="52" spans="2:5" x14ac:dyDescent="0.3">
      <c r="B52" s="174" t="str">
        <f>STN_5</f>
        <v>MOE</v>
      </c>
      <c r="C52" s="445">
        <v>43330</v>
      </c>
      <c r="D52" s="445">
        <v>43739</v>
      </c>
      <c r="E52" s="445">
        <v>44136</v>
      </c>
    </row>
    <row r="53" spans="2:5" x14ac:dyDescent="0.3">
      <c r="B53" s="174" t="str">
        <f>STN_6</f>
        <v>BGE</v>
      </c>
      <c r="C53" s="445">
        <v>43282</v>
      </c>
      <c r="D53" s="445">
        <v>43617</v>
      </c>
      <c r="E53" s="445">
        <v>44013</v>
      </c>
    </row>
    <row r="54" spans="2:5" x14ac:dyDescent="0.3">
      <c r="B54" s="174" t="str">
        <f>STN_7</f>
        <v>LDL</v>
      </c>
      <c r="C54" s="445">
        <v>43422</v>
      </c>
      <c r="D54" s="445">
        <v>43739</v>
      </c>
      <c r="E54" s="445">
        <v>44044</v>
      </c>
    </row>
    <row r="55" spans="2:5" x14ac:dyDescent="0.3">
      <c r="B55" s="174" t="str">
        <f>STN_8</f>
        <v>BDL</v>
      </c>
      <c r="C55" s="445">
        <v>43282</v>
      </c>
      <c r="D55" s="445">
        <v>43603</v>
      </c>
      <c r="E55" s="445">
        <v>43952</v>
      </c>
    </row>
    <row r="56" spans="2:5" x14ac:dyDescent="0.3">
      <c r="B56" s="174" t="str">
        <f>STN_9</f>
        <v>[spare]</v>
      </c>
      <c r="C56" s="445"/>
      <c r="D56" s="445"/>
      <c r="E56" s="445"/>
    </row>
    <row r="58" spans="2:5" x14ac:dyDescent="0.3">
      <c r="B58" s="25" t="s">
        <v>9</v>
      </c>
    </row>
    <row r="59" spans="2:5" x14ac:dyDescent="0.3">
      <c r="B59" s="174" t="str">
        <f>STN_1</f>
        <v>RWN</v>
      </c>
      <c r="C59" s="445">
        <v>43191</v>
      </c>
      <c r="D59" s="445">
        <v>43466</v>
      </c>
      <c r="E59" s="445">
        <v>43709</v>
      </c>
    </row>
    <row r="60" spans="2:5" x14ac:dyDescent="0.3">
      <c r="B60" s="174" t="str">
        <f>STN_2</f>
        <v>ELM</v>
      </c>
      <c r="C60" s="445">
        <v>43282</v>
      </c>
      <c r="D60" s="445">
        <v>43647</v>
      </c>
      <c r="E60" s="445">
        <v>44105</v>
      </c>
    </row>
    <row r="61" spans="2:5" x14ac:dyDescent="0.3">
      <c r="B61" s="174" t="str">
        <f>STN_3</f>
        <v>FGY</v>
      </c>
      <c r="C61" s="445">
        <v>43330</v>
      </c>
      <c r="D61" s="445">
        <v>43586</v>
      </c>
      <c r="E61" s="445">
        <v>44075</v>
      </c>
    </row>
    <row r="62" spans="2:5" x14ac:dyDescent="0.3">
      <c r="B62" s="174" t="str">
        <f>STN_4</f>
        <v>WOTS22</v>
      </c>
      <c r="C62" s="445">
        <v>43238</v>
      </c>
      <c r="D62" s="445">
        <v>43525</v>
      </c>
      <c r="E62" s="445">
        <v>44061</v>
      </c>
    </row>
    <row r="63" spans="2:5" x14ac:dyDescent="0.3">
      <c r="B63" s="174" t="str">
        <f>STN_5</f>
        <v>MOE</v>
      </c>
      <c r="C63" s="445">
        <v>43330</v>
      </c>
      <c r="D63" s="445">
        <v>43739</v>
      </c>
      <c r="E63" s="445">
        <v>44136</v>
      </c>
    </row>
    <row r="64" spans="2:5" x14ac:dyDescent="0.3">
      <c r="B64" s="174" t="str">
        <f>STN_6</f>
        <v>BGE</v>
      </c>
      <c r="C64" s="445">
        <v>43282</v>
      </c>
      <c r="D64" s="445">
        <v>43617</v>
      </c>
      <c r="E64" s="445">
        <v>44013</v>
      </c>
    </row>
    <row r="65" spans="2:5" x14ac:dyDescent="0.3">
      <c r="B65" s="174" t="str">
        <f>STN_7</f>
        <v>LDL</v>
      </c>
      <c r="C65" s="445">
        <v>43422</v>
      </c>
      <c r="D65" s="445">
        <v>43739</v>
      </c>
      <c r="E65" s="445">
        <v>44044</v>
      </c>
    </row>
    <row r="66" spans="2:5" x14ac:dyDescent="0.3">
      <c r="B66" s="174" t="str">
        <f>STN_8</f>
        <v>BDL</v>
      </c>
      <c r="C66" s="445">
        <v>43282</v>
      </c>
      <c r="D66" s="445">
        <v>43603</v>
      </c>
      <c r="E66" s="445">
        <v>43952</v>
      </c>
    </row>
    <row r="67" spans="2:5" x14ac:dyDescent="0.3">
      <c r="B67" s="174" t="str">
        <f>STN_9</f>
        <v>[spare]</v>
      </c>
      <c r="C67" s="445"/>
      <c r="D67" s="445"/>
      <c r="E67" s="445"/>
    </row>
    <row r="69" spans="2:5" x14ac:dyDescent="0.3">
      <c r="B69" s="25" t="s">
        <v>117</v>
      </c>
    </row>
    <row r="70" spans="2:5" x14ac:dyDescent="0.3">
      <c r="B70" s="174" t="str">
        <f>STN_1</f>
        <v>RWN</v>
      </c>
      <c r="C70" s="445"/>
      <c r="D70" s="445"/>
      <c r="E70" s="445"/>
    </row>
    <row r="71" spans="2:5" x14ac:dyDescent="0.3">
      <c r="B71" s="174" t="str">
        <f>STN_2</f>
        <v>ELM</v>
      </c>
      <c r="C71" s="445"/>
      <c r="D71" s="445"/>
      <c r="E71" s="445"/>
    </row>
    <row r="72" spans="2:5" x14ac:dyDescent="0.3">
      <c r="B72" s="174" t="str">
        <f>STN_3</f>
        <v>FGY</v>
      </c>
      <c r="C72" s="445"/>
      <c r="D72" s="445"/>
      <c r="E72" s="445"/>
    </row>
    <row r="73" spans="2:5" x14ac:dyDescent="0.3">
      <c r="B73" s="174" t="str">
        <f>STN_4</f>
        <v>WOTS22</v>
      </c>
      <c r="C73" s="445"/>
      <c r="D73" s="445"/>
      <c r="E73" s="445"/>
    </row>
    <row r="74" spans="2:5" x14ac:dyDescent="0.3">
      <c r="B74" s="174" t="str">
        <f>STN_5</f>
        <v>MOE</v>
      </c>
      <c r="C74" s="445"/>
      <c r="D74" s="445"/>
      <c r="E74" s="445"/>
    </row>
    <row r="75" spans="2:5" x14ac:dyDescent="0.3">
      <c r="B75" s="174" t="str">
        <f>STN_6</f>
        <v>BGE</v>
      </c>
      <c r="C75" s="445"/>
      <c r="D75" s="445"/>
      <c r="E75" s="445"/>
    </row>
    <row r="76" spans="2:5" x14ac:dyDescent="0.3">
      <c r="B76" s="174" t="str">
        <f>STN_7</f>
        <v>LDL</v>
      </c>
      <c r="C76" s="445"/>
      <c r="D76" s="445"/>
      <c r="E76" s="445"/>
    </row>
    <row r="77" spans="2:5" x14ac:dyDescent="0.3">
      <c r="B77" s="174" t="str">
        <f>STN_8</f>
        <v>BDL</v>
      </c>
      <c r="C77" s="445"/>
      <c r="D77" s="445"/>
      <c r="E77" s="445"/>
    </row>
    <row r="78" spans="2:5" x14ac:dyDescent="0.3">
      <c r="B78" s="174" t="str">
        <f>STN_9</f>
        <v>[spare]</v>
      </c>
      <c r="C78" s="445"/>
      <c r="D78" s="445"/>
      <c r="E78" s="445"/>
    </row>
    <row r="80" spans="2:5" x14ac:dyDescent="0.3">
      <c r="B80" s="25" t="s">
        <v>116</v>
      </c>
    </row>
    <row r="81" spans="2:5" x14ac:dyDescent="0.3">
      <c r="B81" s="174" t="str">
        <f>STN_1</f>
        <v>RWN</v>
      </c>
      <c r="C81" s="445"/>
      <c r="D81" s="445"/>
      <c r="E81" s="445"/>
    </row>
    <row r="82" spans="2:5" x14ac:dyDescent="0.3">
      <c r="B82" s="174" t="str">
        <f>STN_2</f>
        <v>ELM</v>
      </c>
      <c r="C82" s="445">
        <v>43282</v>
      </c>
      <c r="D82" s="445">
        <v>43647</v>
      </c>
      <c r="E82" s="445">
        <v>44105</v>
      </c>
    </row>
    <row r="83" spans="2:5" x14ac:dyDescent="0.3">
      <c r="B83" s="174" t="str">
        <f>STN_3</f>
        <v>FGY</v>
      </c>
      <c r="C83" s="445">
        <v>43330</v>
      </c>
      <c r="D83" s="445">
        <v>43586</v>
      </c>
      <c r="E83" s="445">
        <v>44075</v>
      </c>
    </row>
    <row r="84" spans="2:5" x14ac:dyDescent="0.3">
      <c r="B84" s="174" t="str">
        <f>STN_4</f>
        <v>WOTS22</v>
      </c>
      <c r="C84" s="445">
        <v>43238</v>
      </c>
      <c r="D84" s="445">
        <v>43525</v>
      </c>
      <c r="E84" s="445">
        <v>44061</v>
      </c>
    </row>
    <row r="85" spans="2:5" x14ac:dyDescent="0.3">
      <c r="B85" s="174" t="str">
        <f>STN_5</f>
        <v>MOE</v>
      </c>
      <c r="C85" s="445">
        <v>43330</v>
      </c>
      <c r="D85" s="445">
        <v>43739</v>
      </c>
      <c r="E85" s="445">
        <v>44136</v>
      </c>
    </row>
    <row r="86" spans="2:5" x14ac:dyDescent="0.3">
      <c r="B86" s="174" t="str">
        <f>STN_6</f>
        <v>BGE</v>
      </c>
      <c r="C86" s="445">
        <v>43282</v>
      </c>
      <c r="D86" s="445">
        <v>43617</v>
      </c>
      <c r="E86" s="445">
        <v>44013</v>
      </c>
    </row>
    <row r="87" spans="2:5" x14ac:dyDescent="0.3">
      <c r="B87" s="174" t="str">
        <f>STN_7</f>
        <v>LDL</v>
      </c>
      <c r="C87" s="445">
        <v>43422</v>
      </c>
      <c r="D87" s="445">
        <v>43739</v>
      </c>
      <c r="E87" s="445">
        <v>44044</v>
      </c>
    </row>
    <row r="88" spans="2:5" x14ac:dyDescent="0.3">
      <c r="B88" s="174" t="str">
        <f>STN_8</f>
        <v>BDL</v>
      </c>
      <c r="C88" s="445">
        <v>43282</v>
      </c>
      <c r="D88" s="445">
        <v>43603</v>
      </c>
      <c r="E88" s="445">
        <v>43952</v>
      </c>
    </row>
    <row r="89" spans="2:5" x14ac:dyDescent="0.3">
      <c r="B89" s="174" t="str">
        <f>STN_9</f>
        <v>[spare]</v>
      </c>
      <c r="C89" s="445"/>
      <c r="D89" s="445"/>
      <c r="E89" s="445"/>
    </row>
    <row r="91" spans="2:5" x14ac:dyDescent="0.3">
      <c r="B91" s="25" t="s">
        <v>122</v>
      </c>
    </row>
    <row r="92" spans="2:5" x14ac:dyDescent="0.3">
      <c r="B92" s="174" t="s">
        <v>121</v>
      </c>
      <c r="C92" s="445">
        <v>43556</v>
      </c>
      <c r="D92" s="445">
        <v>43739</v>
      </c>
      <c r="E92" s="445">
        <v>44470</v>
      </c>
    </row>
    <row r="93" spans="2:5" x14ac:dyDescent="0.3">
      <c r="B93" s="175" t="s">
        <v>431</v>
      </c>
      <c r="C93" s="445">
        <v>43556</v>
      </c>
      <c r="D93" s="445">
        <v>43617</v>
      </c>
      <c r="E93" s="445">
        <v>43739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V36"/>
  <sheetViews>
    <sheetView zoomScaleNormal="100" workbookViewId="0">
      <selection activeCell="C6" sqref="C6"/>
    </sheetView>
  </sheetViews>
  <sheetFormatPr defaultRowHeight="14.4" x14ac:dyDescent="0.3"/>
  <cols>
    <col min="1" max="1" width="3.44140625" customWidth="1"/>
    <col min="2" max="2" width="42.33203125" customWidth="1"/>
    <col min="6" max="6" width="9.33203125" bestFit="1" customWidth="1"/>
    <col min="14" max="14" width="9.5546875" bestFit="1" customWidth="1"/>
    <col min="15" max="15" width="9.33203125" bestFit="1" customWidth="1"/>
    <col min="16" max="20" width="9.5546875" bestFit="1" customWidth="1"/>
    <col min="22" max="22" width="9.5546875" bestFit="1" customWidth="1"/>
  </cols>
  <sheetData>
    <row r="1" spans="2:22" x14ac:dyDescent="0.3">
      <c r="B1" s="22" t="s">
        <v>82</v>
      </c>
    </row>
    <row r="3" spans="2:22" x14ac:dyDescent="0.3">
      <c r="B3" s="25" t="s">
        <v>618</v>
      </c>
      <c r="F3" s="440" t="s">
        <v>426</v>
      </c>
    </row>
    <row r="4" spans="2:22" x14ac:dyDescent="0.3">
      <c r="B4" t="s">
        <v>115</v>
      </c>
    </row>
    <row r="5" spans="2:22" x14ac:dyDescent="0.3">
      <c r="C5" s="4">
        <v>2016</v>
      </c>
      <c r="D5" s="4">
        <v>2017</v>
      </c>
      <c r="E5" s="4">
        <v>2018</v>
      </c>
      <c r="F5" s="4">
        <v>2019</v>
      </c>
      <c r="G5" s="4">
        <v>2020</v>
      </c>
      <c r="H5" s="433">
        <v>2021</v>
      </c>
      <c r="I5" s="433">
        <v>2022</v>
      </c>
      <c r="J5" s="433">
        <v>2023</v>
      </c>
      <c r="K5" s="4" t="s">
        <v>6</v>
      </c>
      <c r="L5" s="538"/>
      <c r="M5" s="45"/>
      <c r="N5" s="45"/>
      <c r="O5" s="538"/>
      <c r="P5" s="538"/>
      <c r="Q5" s="538"/>
      <c r="R5" s="538"/>
      <c r="S5" s="538"/>
      <c r="T5" s="538"/>
      <c r="U5" s="45"/>
      <c r="V5" s="45"/>
    </row>
    <row r="6" spans="2:22" x14ac:dyDescent="0.3">
      <c r="B6" s="45" t="s">
        <v>109</v>
      </c>
      <c r="C6" s="446">
        <v>0</v>
      </c>
      <c r="D6" s="446"/>
      <c r="E6" s="446"/>
      <c r="F6" s="446">
        <v>24.098156189253128</v>
      </c>
      <c r="G6" s="446">
        <v>96.392624757012513</v>
      </c>
      <c r="H6" s="446">
        <v>96.392624757012513</v>
      </c>
      <c r="I6" s="446">
        <v>96.392624757012513</v>
      </c>
      <c r="J6" s="446">
        <v>96.392624757012513</v>
      </c>
      <c r="K6" s="14">
        <f>SUM(C6:J6)</f>
        <v>409.66865521730318</v>
      </c>
      <c r="L6" s="476"/>
      <c r="M6" s="45"/>
      <c r="N6" s="45"/>
      <c r="O6" s="150"/>
      <c r="P6" s="150"/>
      <c r="Q6" s="150"/>
      <c r="R6" s="150"/>
      <c r="S6" s="150"/>
      <c r="T6" s="150"/>
      <c r="U6" s="45"/>
      <c r="V6" s="150"/>
    </row>
    <row r="7" spans="2:22" x14ac:dyDescent="0.3">
      <c r="B7" s="45" t="s">
        <v>110</v>
      </c>
      <c r="C7" s="446">
        <v>0</v>
      </c>
      <c r="D7" s="446"/>
      <c r="E7" s="446"/>
      <c r="F7" s="446">
        <v>0</v>
      </c>
      <c r="G7" s="446">
        <v>4.4623255813953486</v>
      </c>
      <c r="H7" s="446">
        <v>4.4623255813953486</v>
      </c>
      <c r="I7" s="446">
        <v>4.4623255813953486</v>
      </c>
      <c r="J7" s="446">
        <v>4.4623255813953486</v>
      </c>
      <c r="K7" s="14">
        <f t="shared" ref="K7:K16" si="0">SUM(C7:J7)</f>
        <v>17.849302325581395</v>
      </c>
      <c r="L7" s="476"/>
      <c r="M7" s="45"/>
      <c r="N7" s="45"/>
      <c r="O7" s="150"/>
      <c r="P7" s="150"/>
      <c r="Q7" s="150"/>
      <c r="R7" s="150"/>
      <c r="S7" s="150"/>
      <c r="T7" s="150"/>
      <c r="U7" s="45"/>
      <c r="V7" s="150"/>
    </row>
    <row r="8" spans="2:22" x14ac:dyDescent="0.3">
      <c r="B8" s="45" t="s">
        <v>111</v>
      </c>
      <c r="C8" s="446">
        <v>0</v>
      </c>
      <c r="D8" s="446"/>
      <c r="E8" s="446"/>
      <c r="F8" s="446">
        <v>0</v>
      </c>
      <c r="G8" s="446">
        <v>9.382783255813953</v>
      </c>
      <c r="H8" s="446">
        <v>46.913916279069767</v>
      </c>
      <c r="I8" s="446">
        <v>46.913916279069767</v>
      </c>
      <c r="J8" s="446">
        <v>46.913916279069767</v>
      </c>
      <c r="K8" s="14">
        <f t="shared" si="0"/>
        <v>150.12453209302328</v>
      </c>
      <c r="L8" s="476"/>
      <c r="M8" s="45"/>
      <c r="N8" s="45"/>
      <c r="O8" s="150"/>
      <c r="P8" s="150"/>
      <c r="Q8" s="150"/>
      <c r="R8" s="150"/>
      <c r="S8" s="150"/>
      <c r="T8" s="150"/>
      <c r="U8" s="45"/>
      <c r="V8" s="150"/>
    </row>
    <row r="9" spans="2:22" x14ac:dyDescent="0.3">
      <c r="B9" t="s">
        <v>17</v>
      </c>
      <c r="C9" s="446">
        <v>0</v>
      </c>
      <c r="D9" s="446"/>
      <c r="E9" s="446"/>
      <c r="F9" s="446">
        <v>18.314598703832381</v>
      </c>
      <c r="G9" s="446">
        <v>77.981633428423137</v>
      </c>
      <c r="H9" s="446">
        <v>238.66813889836303</v>
      </c>
      <c r="I9" s="446">
        <v>238.66813889836303</v>
      </c>
      <c r="J9" s="446">
        <v>238.66813889836303</v>
      </c>
      <c r="K9" s="14">
        <f t="shared" si="0"/>
        <v>812.30064882734462</v>
      </c>
      <c r="L9" s="476"/>
      <c r="M9" s="45"/>
      <c r="N9" s="45"/>
      <c r="O9" s="150"/>
      <c r="P9" s="150"/>
      <c r="Q9" s="150"/>
      <c r="R9" s="150"/>
      <c r="S9" s="150"/>
      <c r="T9" s="150"/>
      <c r="U9" s="45"/>
      <c r="V9" s="150"/>
    </row>
    <row r="10" spans="2:22" x14ac:dyDescent="0.3">
      <c r="B10" t="s">
        <v>30</v>
      </c>
      <c r="C10" s="446">
        <v>0</v>
      </c>
      <c r="D10" s="446"/>
      <c r="E10" s="446"/>
      <c r="F10" s="446">
        <v>0</v>
      </c>
      <c r="G10" s="446">
        <v>142.91539720930231</v>
      </c>
      <c r="H10" s="446">
        <v>680.07230139534875</v>
      </c>
      <c r="I10" s="446">
        <v>680.07230139534875</v>
      </c>
      <c r="J10" s="446">
        <v>680.07230139534875</v>
      </c>
      <c r="K10" s="14">
        <f t="shared" si="0"/>
        <v>2183.1323013953488</v>
      </c>
      <c r="L10" s="476"/>
      <c r="M10" s="45"/>
      <c r="N10" s="45"/>
      <c r="O10" s="150"/>
      <c r="P10" s="150"/>
      <c r="Q10" s="150"/>
      <c r="R10" s="150"/>
      <c r="S10" s="150"/>
      <c r="T10" s="150"/>
      <c r="U10" s="45"/>
      <c r="V10" s="150"/>
    </row>
    <row r="11" spans="2:22" x14ac:dyDescent="0.3">
      <c r="B11" s="45" t="s">
        <v>16</v>
      </c>
      <c r="C11" s="446">
        <v>0</v>
      </c>
      <c r="D11" s="446"/>
      <c r="E11" s="446"/>
      <c r="F11" s="446">
        <v>1013.2522271815956</v>
      </c>
      <c r="G11" s="446">
        <v>1100.3187096861998</v>
      </c>
      <c r="H11" s="446">
        <v>116.02320441988951</v>
      </c>
      <c r="I11" s="446">
        <v>116.02320441988951</v>
      </c>
      <c r="J11" s="446">
        <v>116.02320441988951</v>
      </c>
      <c r="K11" s="14">
        <f t="shared" si="0"/>
        <v>2461.6405501274644</v>
      </c>
      <c r="L11" s="476"/>
      <c r="M11" s="45"/>
      <c r="N11" s="45"/>
      <c r="O11" s="150"/>
      <c r="P11" s="150"/>
      <c r="Q11" s="150"/>
      <c r="R11" s="150"/>
      <c r="S11" s="150"/>
      <c r="T11" s="150"/>
      <c r="U11" s="45"/>
      <c r="V11" s="150"/>
    </row>
    <row r="12" spans="2:22" x14ac:dyDescent="0.3">
      <c r="B12" t="s">
        <v>530</v>
      </c>
      <c r="C12" s="446"/>
      <c r="D12" s="446"/>
      <c r="E12" s="446"/>
      <c r="F12" s="446">
        <v>0</v>
      </c>
      <c r="G12" s="446">
        <v>11.013370165745858</v>
      </c>
      <c r="H12" s="446">
        <v>10.873003683241253</v>
      </c>
      <c r="I12" s="446">
        <v>10.733618784530387</v>
      </c>
      <c r="J12" s="446">
        <v>10.593252302025784</v>
      </c>
      <c r="K12" s="14">
        <f t="shared" si="0"/>
        <v>43.21324493554328</v>
      </c>
      <c r="L12" s="476"/>
      <c r="M12" s="45"/>
      <c r="N12" s="45"/>
      <c r="O12" s="150"/>
      <c r="P12" s="150"/>
      <c r="Q12" s="150"/>
      <c r="R12" s="150"/>
      <c r="S12" s="150"/>
      <c r="T12" s="150"/>
      <c r="U12" s="45"/>
      <c r="V12" s="150"/>
    </row>
    <row r="13" spans="2:22" x14ac:dyDescent="0.3">
      <c r="B13" s="508" t="s">
        <v>106</v>
      </c>
      <c r="C13" s="446"/>
      <c r="D13" s="446"/>
      <c r="E13" s="446"/>
      <c r="F13" s="446">
        <v>115.84197209302324</v>
      </c>
      <c r="G13" s="446">
        <v>347.52591627906975</v>
      </c>
      <c r="H13" s="446">
        <v>0</v>
      </c>
      <c r="I13" s="446">
        <v>0</v>
      </c>
      <c r="J13" s="446">
        <v>0</v>
      </c>
      <c r="K13" s="14">
        <f t="shared" si="0"/>
        <v>463.36788837209298</v>
      </c>
      <c r="L13" s="476"/>
      <c r="M13" s="45"/>
      <c r="N13" s="45"/>
      <c r="O13" s="150"/>
      <c r="P13" s="150"/>
      <c r="Q13" s="150"/>
      <c r="R13" s="150"/>
      <c r="S13" s="150"/>
      <c r="T13" s="150"/>
      <c r="U13" s="45"/>
      <c r="V13" s="150"/>
    </row>
    <row r="14" spans="2:22" x14ac:dyDescent="0.3">
      <c r="B14" s="508" t="s">
        <v>31</v>
      </c>
      <c r="C14" s="446"/>
      <c r="D14" s="446"/>
      <c r="E14" s="446"/>
      <c r="F14" s="446"/>
      <c r="G14" s="446"/>
      <c r="H14" s="446"/>
      <c r="I14" s="446"/>
      <c r="J14" s="446"/>
      <c r="K14" s="14">
        <f t="shared" si="0"/>
        <v>0</v>
      </c>
      <c r="L14" s="476"/>
      <c r="M14" s="45"/>
      <c r="N14" s="45"/>
      <c r="O14" s="150"/>
      <c r="P14" s="150"/>
      <c r="Q14" s="150"/>
      <c r="R14" s="150"/>
      <c r="S14" s="150"/>
      <c r="T14" s="150"/>
      <c r="U14" s="45"/>
      <c r="V14" s="150"/>
    </row>
    <row r="15" spans="2:22" x14ac:dyDescent="0.3">
      <c r="B15" s="508" t="s">
        <v>32</v>
      </c>
      <c r="C15" s="446"/>
      <c r="D15" s="446"/>
      <c r="E15" s="446">
        <v>24.419464938443173</v>
      </c>
      <c r="F15" s="446">
        <v>0</v>
      </c>
      <c r="G15" s="446">
        <v>0</v>
      </c>
      <c r="H15" s="446">
        <v>5.8606715852263624</v>
      </c>
      <c r="I15" s="446">
        <v>5.8606715852263624</v>
      </c>
      <c r="J15" s="446">
        <v>5.8606715852263624</v>
      </c>
      <c r="K15" s="14">
        <f t="shared" si="0"/>
        <v>42.00147969412226</v>
      </c>
      <c r="L15" s="476"/>
      <c r="M15" s="45"/>
      <c r="N15" s="45"/>
      <c r="O15" s="150"/>
      <c r="P15" s="150"/>
      <c r="Q15" s="150"/>
      <c r="R15" s="150"/>
      <c r="S15" s="150"/>
      <c r="T15" s="150"/>
      <c r="U15" s="45"/>
      <c r="V15" s="150"/>
    </row>
    <row r="16" spans="2:22" x14ac:dyDescent="0.3">
      <c r="B16" s="476" t="s">
        <v>108</v>
      </c>
      <c r="C16" s="446"/>
      <c r="D16" s="446"/>
      <c r="E16" s="446"/>
      <c r="F16" s="446">
        <v>925.88971086556171</v>
      </c>
      <c r="G16" s="446">
        <v>435.0978139963168</v>
      </c>
      <c r="H16" s="446">
        <v>0</v>
      </c>
      <c r="I16" s="446">
        <v>0</v>
      </c>
      <c r="J16" s="446">
        <v>0</v>
      </c>
      <c r="K16" s="14">
        <f t="shared" si="0"/>
        <v>1360.9875248618785</v>
      </c>
      <c r="L16" s="476"/>
      <c r="M16" s="45"/>
      <c r="N16" s="45"/>
      <c r="O16" s="150"/>
      <c r="P16" s="150"/>
      <c r="Q16" s="150"/>
      <c r="R16" s="150"/>
      <c r="S16" s="150"/>
      <c r="T16" s="150"/>
      <c r="U16" s="45"/>
      <c r="V16" s="150"/>
    </row>
    <row r="17" spans="2:22" x14ac:dyDescent="0.3">
      <c r="B17" s="25" t="s">
        <v>51</v>
      </c>
      <c r="C17" s="168">
        <f t="shared" ref="C17:K17" si="1">SUM(C6:C16)</f>
        <v>0</v>
      </c>
      <c r="D17" s="168">
        <f t="shared" si="1"/>
        <v>0</v>
      </c>
      <c r="E17" s="168">
        <f t="shared" si="1"/>
        <v>24.419464938443173</v>
      </c>
      <c r="F17" s="168">
        <f t="shared" si="1"/>
        <v>2097.3966650332659</v>
      </c>
      <c r="G17" s="168">
        <f t="shared" si="1"/>
        <v>2225.0905743592793</v>
      </c>
      <c r="H17" s="168">
        <f t="shared" si="1"/>
        <v>1199.2661865995465</v>
      </c>
      <c r="I17" s="168">
        <f t="shared" si="1"/>
        <v>1199.1268017008356</v>
      </c>
      <c r="J17" s="168">
        <f t="shared" si="1"/>
        <v>1198.9864352183311</v>
      </c>
      <c r="K17" s="26">
        <f t="shared" si="1"/>
        <v>7944.2861278497021</v>
      </c>
      <c r="L17" s="45"/>
      <c r="M17" s="45"/>
      <c r="N17" s="45"/>
      <c r="O17" s="150"/>
      <c r="P17" s="150"/>
      <c r="Q17" s="150"/>
      <c r="R17" s="150"/>
      <c r="S17" s="150"/>
      <c r="T17" s="150"/>
      <c r="U17" s="45"/>
      <c r="V17" s="150"/>
    </row>
    <row r="18" spans="2:22" x14ac:dyDescent="0.3">
      <c r="B18" s="209" t="s">
        <v>55</v>
      </c>
      <c r="D18" s="212"/>
      <c r="E18" s="212"/>
      <c r="F18" s="212"/>
      <c r="G18" s="212"/>
      <c r="H18" s="212"/>
      <c r="I18" s="212"/>
      <c r="J18" s="212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2:22" x14ac:dyDescent="0.3"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2:22" x14ac:dyDescent="0.3">
      <c r="B20" s="25" t="s">
        <v>220</v>
      </c>
      <c r="F20" s="19"/>
      <c r="G20" s="19"/>
      <c r="L20" s="45"/>
      <c r="M20" s="45"/>
      <c r="N20" s="45"/>
      <c r="O20" s="45"/>
      <c r="P20" s="38"/>
      <c r="Q20" s="38"/>
      <c r="R20" s="38"/>
      <c r="S20" s="45"/>
      <c r="T20" s="45"/>
      <c r="U20" s="45"/>
      <c r="V20" s="45"/>
    </row>
    <row r="21" spans="2:22" ht="15" x14ac:dyDescent="0.25">
      <c r="B21" t="s">
        <v>115</v>
      </c>
    </row>
    <row r="22" spans="2:22" ht="15" x14ac:dyDescent="0.25">
      <c r="C22" s="4">
        <v>2016</v>
      </c>
      <c r="D22" s="4">
        <v>2017</v>
      </c>
      <c r="E22" s="4">
        <v>2018</v>
      </c>
      <c r="F22" s="4">
        <v>2019</v>
      </c>
      <c r="G22" s="4">
        <v>2020</v>
      </c>
      <c r="H22" s="433">
        <v>2021</v>
      </c>
      <c r="I22" s="433">
        <v>2022</v>
      </c>
      <c r="J22" s="433">
        <v>2023</v>
      </c>
      <c r="K22" s="4" t="s">
        <v>6</v>
      </c>
    </row>
    <row r="23" spans="2:22" ht="15" x14ac:dyDescent="0.25">
      <c r="B23" s="45" t="s">
        <v>109</v>
      </c>
      <c r="C23" s="19">
        <f>C6*Escalators!D$8</f>
        <v>0</v>
      </c>
      <c r="D23" s="19">
        <f>D6*Escalators!E$8</f>
        <v>0</v>
      </c>
      <c r="E23" s="19">
        <f>E6*Escalators!F$8</f>
        <v>0</v>
      </c>
      <c r="F23" s="19">
        <f>F6*Escalators!G$8</f>
        <v>25.816931672776409</v>
      </c>
      <c r="G23" s="19">
        <f>G6*Escalators!H$8</f>
        <v>105.66671841146564</v>
      </c>
      <c r="H23" s="19">
        <f>H6*Escalators!I$8</f>
        <v>108.12144062438864</v>
      </c>
      <c r="I23" s="19">
        <f>I6*Escalators!J$8</f>
        <v>110.6331879937015</v>
      </c>
      <c r="J23" s="19">
        <f>J6*Escalators!K$8</f>
        <v>113.20328525930522</v>
      </c>
      <c r="K23" s="14">
        <f t="shared" ref="K23:K33" si="2">SUM(C23:J23)</f>
        <v>463.44156396163743</v>
      </c>
    </row>
    <row r="24" spans="2:22" ht="15" x14ac:dyDescent="0.25">
      <c r="B24" s="45" t="s">
        <v>110</v>
      </c>
      <c r="C24" s="19">
        <f>C7*Escalators!D$8</f>
        <v>0</v>
      </c>
      <c r="D24" s="19">
        <f>D7*Escalators!E$8</f>
        <v>0</v>
      </c>
      <c r="E24" s="19">
        <f>E7*Escalators!F$8</f>
        <v>0</v>
      </c>
      <c r="F24" s="19">
        <f>F7*Escalators!G$8</f>
        <v>0</v>
      </c>
      <c r="G24" s="19">
        <f>G7*Escalators!H$8</f>
        <v>4.8916532966935238</v>
      </c>
      <c r="H24" s="19">
        <f>H7*Escalators!I$8</f>
        <v>5.0052903073419843</v>
      </c>
      <c r="I24" s="19">
        <f>I7*Escalators!J$8</f>
        <v>5.1215671964539995</v>
      </c>
      <c r="J24" s="19">
        <f>J7*Escalators!K$8</f>
        <v>5.2405452905134551</v>
      </c>
      <c r="K24" s="14">
        <f t="shared" si="2"/>
        <v>20.259056091002964</v>
      </c>
    </row>
    <row r="25" spans="2:22" ht="15" x14ac:dyDescent="0.25">
      <c r="B25" s="45" t="s">
        <v>111</v>
      </c>
      <c r="C25" s="19">
        <f>C8*Escalators!D$8</f>
        <v>0</v>
      </c>
      <c r="D25" s="19">
        <f>D8*Escalators!E$8</f>
        <v>0</v>
      </c>
      <c r="E25" s="19">
        <f>E8*Escalators!F$8</f>
        <v>0</v>
      </c>
      <c r="F25" s="19">
        <f>F8*Escalators!G$8</f>
        <v>0</v>
      </c>
      <c r="G25" s="19">
        <f>G8*Escalators!H$8</f>
        <v>10.285516331847582</v>
      </c>
      <c r="H25" s="19">
        <f>H8*Escalators!I$8</f>
        <v>52.622285431188729</v>
      </c>
      <c r="I25" s="19">
        <f>I8*Escalators!J$8</f>
        <v>53.84474312538638</v>
      </c>
      <c r="J25" s="19">
        <f>J8*Escalators!K$8</f>
        <v>55.095599487598129</v>
      </c>
      <c r="K25" s="14">
        <f t="shared" si="2"/>
        <v>171.84814437602083</v>
      </c>
    </row>
    <row r="26" spans="2:22" x14ac:dyDescent="0.3">
      <c r="B26" t="s">
        <v>17</v>
      </c>
      <c r="C26" s="19">
        <f>C9*Escalators!D$8</f>
        <v>0</v>
      </c>
      <c r="D26" s="19">
        <f>D9*Escalators!E$8</f>
        <v>0</v>
      </c>
      <c r="E26" s="19">
        <f>E9*Escalators!F$8</f>
        <v>0</v>
      </c>
      <c r="F26" s="19">
        <f>F9*Escalators!G$8</f>
        <v>19.620868071310074</v>
      </c>
      <c r="G26" s="19">
        <f>G9*Escalators!H$8</f>
        <v>85.484375194875724</v>
      </c>
      <c r="H26" s="19">
        <f>H9*Escalators!I$8</f>
        <v>267.70868698598633</v>
      </c>
      <c r="I26" s="19">
        <f>I9*Escalators!J$8</f>
        <v>273.92777347240497</v>
      </c>
      <c r="J26" s="19">
        <f>J9*Escalators!K$8</f>
        <v>280.29133430203979</v>
      </c>
      <c r="K26" s="14">
        <f t="shared" si="2"/>
        <v>927.03303802661685</v>
      </c>
    </row>
    <row r="27" spans="2:22" x14ac:dyDescent="0.3">
      <c r="B27" t="s">
        <v>30</v>
      </c>
      <c r="C27" s="19">
        <f>C10*Escalators!D$8</f>
        <v>0</v>
      </c>
      <c r="D27" s="19">
        <f>D10*Escalators!E$8</f>
        <v>0</v>
      </c>
      <c r="E27" s="19">
        <f>E10*Escalators!F$8</f>
        <v>0</v>
      </c>
      <c r="F27" s="19">
        <f>F10*Escalators!G$8</f>
        <v>0</v>
      </c>
      <c r="G27" s="19">
        <f>G10*Escalators!H$8</f>
        <v>156.66552365023642</v>
      </c>
      <c r="H27" s="19">
        <f>H10*Escalators!I$8</f>
        <v>762.8218148532078</v>
      </c>
      <c r="I27" s="19">
        <f>I10*Escalators!J$8</f>
        <v>780.54277450420057</v>
      </c>
      <c r="J27" s="19">
        <f>J10*Escalators!K$8</f>
        <v>798.6754061929322</v>
      </c>
      <c r="K27" s="14">
        <f t="shared" si="2"/>
        <v>2498.7055192005769</v>
      </c>
    </row>
    <row r="28" spans="2:22" x14ac:dyDescent="0.3">
      <c r="B28" t="s">
        <v>16</v>
      </c>
      <c r="C28" s="19">
        <f>C11*Escalators!D$8</f>
        <v>0</v>
      </c>
      <c r="D28" s="19">
        <f>D11*Escalators!E$8</f>
        <v>0</v>
      </c>
      <c r="E28" s="19">
        <f>E11*Escalators!F$8</f>
        <v>0</v>
      </c>
      <c r="F28" s="19">
        <f>F11*Escalators!G$8</f>
        <v>1085.5213698092691</v>
      </c>
      <c r="G28" s="19">
        <f>G11*Escalators!H$8</f>
        <v>1206.1821903114067</v>
      </c>
      <c r="H28" s="19">
        <f>H11*Escalators!I$8</f>
        <v>130.14062060618156</v>
      </c>
      <c r="I28" s="19">
        <f>I11*Escalators!J$8</f>
        <v>133.16389110239973</v>
      </c>
      <c r="J28" s="19">
        <f>J11*Escalators!K$8</f>
        <v>136.25739458544962</v>
      </c>
      <c r="K28" s="14">
        <f t="shared" ref="K28" si="3">SUM(C28:J28)</f>
        <v>2691.2654664147067</v>
      </c>
    </row>
    <row r="29" spans="2:22" x14ac:dyDescent="0.3">
      <c r="B29" t="s">
        <v>530</v>
      </c>
      <c r="C29" s="19">
        <f>C12*Escalators!D$8</f>
        <v>0</v>
      </c>
      <c r="D29" s="19">
        <f>D12*Escalators!E$8</f>
        <v>0</v>
      </c>
      <c r="E29" s="19">
        <f>E12*Escalators!F$8</f>
        <v>0</v>
      </c>
      <c r="F29" s="19">
        <f>F12*Escalators!G$8</f>
        <v>0</v>
      </c>
      <c r="G29" s="19">
        <f>G12*Escalators!H$8</f>
        <v>12.072984701876191</v>
      </c>
      <c r="H29" s="19">
        <f>H12*Escalators!I$8</f>
        <v>12.196003844794188</v>
      </c>
      <c r="I29" s="19">
        <f>I12*Escalators!J$8</f>
        <v>12.319349824067183</v>
      </c>
      <c r="J29" s="19">
        <f>J12*Escalators!K$8</f>
        <v>12.440692067395705</v>
      </c>
      <c r="K29" s="14">
        <f t="shared" ref="K29" si="4">SUM(C29:J29)</f>
        <v>49.029030438133262</v>
      </c>
    </row>
    <row r="30" spans="2:22" x14ac:dyDescent="0.3">
      <c r="B30" t="s">
        <v>106</v>
      </c>
      <c r="C30" s="347">
        <f>C13*Escalators!D$8</f>
        <v>0</v>
      </c>
      <c r="D30" s="347">
        <f>D13*Escalators!E$8</f>
        <v>0</v>
      </c>
      <c r="E30" s="347">
        <f>E13*Escalators!F$8</f>
        <v>0</v>
      </c>
      <c r="F30" s="347">
        <f>F13*Escalators!G$8</f>
        <v>124.10427813971035</v>
      </c>
      <c r="G30" s="347">
        <f>G13*Escalators!H$8</f>
        <v>380.96195874649158</v>
      </c>
      <c r="H30" s="347">
        <f>H13*Escalators!I$8</f>
        <v>0</v>
      </c>
      <c r="I30" s="347">
        <f>I13*Escalators!J$8</f>
        <v>0</v>
      </c>
      <c r="J30" s="347">
        <f>J13*Escalators!K$8</f>
        <v>0</v>
      </c>
      <c r="K30" s="14">
        <f t="shared" si="2"/>
        <v>505.06623688620192</v>
      </c>
    </row>
    <row r="31" spans="2:22" x14ac:dyDescent="0.3">
      <c r="B31" t="s">
        <v>31</v>
      </c>
      <c r="C31" s="347">
        <f>C14*Escalators!D$8</f>
        <v>0</v>
      </c>
      <c r="D31" s="347">
        <f>D14*Escalators!E$8</f>
        <v>0</v>
      </c>
      <c r="E31" s="347">
        <f>E14*Escalators!F$8</f>
        <v>0</v>
      </c>
      <c r="F31" s="347">
        <f>F14*Escalators!G$8</f>
        <v>0</v>
      </c>
      <c r="G31" s="347">
        <f>G14*Escalators!H$8</f>
        <v>0</v>
      </c>
      <c r="H31" s="347">
        <f>H14*Escalators!I$8</f>
        <v>0</v>
      </c>
      <c r="I31" s="347">
        <f>I14*Escalators!J$8</f>
        <v>0</v>
      </c>
      <c r="J31" s="347">
        <f>J14*Escalators!K$8</f>
        <v>0</v>
      </c>
      <c r="K31" s="14">
        <f t="shared" si="2"/>
        <v>0</v>
      </c>
    </row>
    <row r="32" spans="2:22" x14ac:dyDescent="0.3">
      <c r="B32" t="s">
        <v>32</v>
      </c>
      <c r="C32" s="347">
        <f>C15*Escalators!D$8</f>
        <v>0</v>
      </c>
      <c r="D32" s="347">
        <f>D15*Escalators!E$8</f>
        <v>0</v>
      </c>
      <c r="E32" s="347">
        <f>E15*Escalators!F$8</f>
        <v>25.567210715490923</v>
      </c>
      <c r="F32" s="347">
        <f>F15*Escalators!G$8</f>
        <v>0</v>
      </c>
      <c r="G32" s="347">
        <f>G15*Escalators!H$8</f>
        <v>0</v>
      </c>
      <c r="H32" s="347">
        <f>H15*Escalators!I$8</f>
        <v>6.5737835899628312</v>
      </c>
      <c r="I32" s="347">
        <f>I15*Escalators!J$8</f>
        <v>6.7264978300170526</v>
      </c>
      <c r="J32" s="347">
        <f>J15*Escalators!K$8</f>
        <v>6.8827597437657593</v>
      </c>
      <c r="K32" s="14">
        <f t="shared" si="2"/>
        <v>45.750251879236565</v>
      </c>
    </row>
    <row r="33" spans="2:11" x14ac:dyDescent="0.3">
      <c r="B33" t="s">
        <v>108</v>
      </c>
      <c r="C33" s="347">
        <f>C16*Escalators!D$8</f>
        <v>0</v>
      </c>
      <c r="D33" s="347">
        <f>D16*Escalators!E$8</f>
        <v>0</v>
      </c>
      <c r="E33" s="347">
        <f>E16*Escalators!F$8</f>
        <v>0</v>
      </c>
      <c r="F33" s="347">
        <f>F16*Escalators!G$8</f>
        <v>991.92781448578341</v>
      </c>
      <c r="G33" s="347">
        <f>G16*Escalators!H$8</f>
        <v>476.9592933991392</v>
      </c>
      <c r="H33" s="347">
        <f>H16*Escalators!I$8</f>
        <v>0</v>
      </c>
      <c r="I33" s="347">
        <f>I16*Escalators!J$8</f>
        <v>0</v>
      </c>
      <c r="J33" s="347">
        <f>J16*Escalators!K$8</f>
        <v>0</v>
      </c>
      <c r="K33" s="14">
        <f t="shared" si="2"/>
        <v>1468.8871078849227</v>
      </c>
    </row>
    <row r="34" spans="2:11" x14ac:dyDescent="0.3">
      <c r="B34" s="25" t="s">
        <v>133</v>
      </c>
      <c r="C34" s="26">
        <f t="shared" ref="C34:G34" si="5">SUM(C23:C33)</f>
        <v>0</v>
      </c>
      <c r="D34" s="26">
        <f t="shared" si="5"/>
        <v>0</v>
      </c>
      <c r="E34" s="26">
        <f t="shared" si="5"/>
        <v>25.567210715490923</v>
      </c>
      <c r="F34" s="26">
        <f t="shared" si="5"/>
        <v>2246.9912621788494</v>
      </c>
      <c r="G34" s="26">
        <f t="shared" si="5"/>
        <v>2439.1702140440325</v>
      </c>
      <c r="H34" s="26">
        <f t="shared" ref="H34:J34" si="6">SUM(H23:H33)</f>
        <v>1345.189926243052</v>
      </c>
      <c r="I34" s="26">
        <f t="shared" si="6"/>
        <v>1376.2797850486311</v>
      </c>
      <c r="J34" s="26">
        <f t="shared" si="6"/>
        <v>1408.0870169289999</v>
      </c>
      <c r="K34" s="26">
        <f>SUM(K23:K33)</f>
        <v>8841.2854151590564</v>
      </c>
    </row>
    <row r="35" spans="2:11" x14ac:dyDescent="0.3">
      <c r="B35" s="209" t="s">
        <v>55</v>
      </c>
      <c r="C35" s="203">
        <f>C17*Escalators!D8-C34</f>
        <v>0</v>
      </c>
      <c r="D35" s="203">
        <f>D17*Escalators!E8-D34</f>
        <v>0</v>
      </c>
      <c r="E35" s="203">
        <f>E17*Escalators!F8-E34</f>
        <v>0</v>
      </c>
      <c r="F35" s="203">
        <f>F17*Escalators!G8-F34</f>
        <v>0</v>
      </c>
      <c r="G35" s="203">
        <f>G17*Escalators!H8-G34</f>
        <v>0</v>
      </c>
      <c r="H35" s="203">
        <f>H17*Escalators!I8-H34</f>
        <v>0</v>
      </c>
      <c r="I35" s="203">
        <f>I17*Escalators!J8-I34</f>
        <v>0</v>
      </c>
      <c r="J35" s="203">
        <f>J17*Escalators!K8-J34</f>
        <v>0</v>
      </c>
      <c r="K35" s="206">
        <f>SUM(C35:G35)</f>
        <v>0</v>
      </c>
    </row>
    <row r="36" spans="2:11" x14ac:dyDescent="0.3">
      <c r="F36" s="11"/>
      <c r="G36" s="14"/>
      <c r="H36" s="14"/>
      <c r="I36" s="14"/>
      <c r="J36" s="14"/>
    </row>
  </sheetData>
  <pageMargins left="0.7" right="0.7" top="0.75" bottom="0.75" header="0.3" footer="0.3"/>
  <pageSetup paperSize="9" orientation="landscape" r:id="rId1"/>
  <ignoredErrors>
    <ignoredError sqref="C17 D17:J17" formulaRange="1"/>
    <ignoredError sqref="K3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B1:AZ118"/>
  <sheetViews>
    <sheetView zoomScale="85" zoomScaleNormal="85" workbookViewId="0">
      <pane xSplit="3" ySplit="4" topLeftCell="G5" activePane="bottomRight" state="frozen"/>
      <selection activeCell="C6" sqref="C6"/>
      <selection pane="topRight" activeCell="C6" sqref="C6"/>
      <selection pane="bottomLeft" activeCell="C6" sqref="C6"/>
      <selection pane="bottomRight" activeCell="N1" sqref="N1"/>
    </sheetView>
  </sheetViews>
  <sheetFormatPr defaultRowHeight="14.4" outlineLevelRow="1" outlineLevelCol="1" x14ac:dyDescent="0.3"/>
  <cols>
    <col min="1" max="1" width="2.33203125" customWidth="1"/>
    <col min="2" max="2" width="3" customWidth="1"/>
    <col min="3" max="3" width="52" customWidth="1"/>
    <col min="4" max="4" width="22.33203125" hidden="1" customWidth="1" outlineLevel="1"/>
    <col min="5" max="5" width="15.33203125" hidden="1" customWidth="1" outlineLevel="1"/>
    <col min="6" max="6" width="31.33203125" hidden="1" customWidth="1" outlineLevel="1"/>
    <col min="7" max="7" width="9.33203125" customWidth="1" collapsed="1"/>
    <col min="8" max="8" width="8.6640625" customWidth="1"/>
    <col min="9" max="9" width="10.6640625" customWidth="1"/>
    <col min="10" max="10" width="2.33203125" customWidth="1"/>
    <col min="11" max="11" width="9.6640625" customWidth="1"/>
    <col min="12" max="12" width="9.5546875" bestFit="1" customWidth="1"/>
    <col min="13" max="13" width="9.44140625" customWidth="1"/>
    <col min="14" max="14" width="12.33203125" customWidth="1"/>
    <col min="15" max="15" width="9.33203125" bestFit="1" customWidth="1"/>
    <col min="16" max="16" width="11.44140625" customWidth="1"/>
    <col min="17" max="18" width="9.6640625" bestFit="1" customWidth="1"/>
    <col min="19" max="19" width="10.33203125" customWidth="1"/>
    <col min="20" max="20" width="9.6640625" bestFit="1" customWidth="1"/>
    <col min="21" max="22" width="9" bestFit="1" customWidth="1"/>
    <col min="26" max="35" width="9.109375" hidden="1" customWidth="1" outlineLevel="1"/>
    <col min="36" max="36" width="8.88671875" collapsed="1"/>
    <col min="41" max="41" width="44.33203125" customWidth="1"/>
    <col min="46" max="47" width="9.5546875" bestFit="1" customWidth="1"/>
  </cols>
  <sheetData>
    <row r="1" spans="2:36" x14ac:dyDescent="0.3">
      <c r="N1" s="567" t="s">
        <v>425</v>
      </c>
    </row>
    <row r="2" spans="2:36" x14ac:dyDescent="0.3">
      <c r="B2" s="22" t="str">
        <f>STN_1&amp;" Volumes &amp; Unit Rates"</f>
        <v>RWN Volumes &amp; Unit Rates</v>
      </c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</row>
    <row r="3" spans="2:36" x14ac:dyDescent="0.3">
      <c r="B3" t="str">
        <f>STN_1</f>
        <v>RWN</v>
      </c>
      <c r="G3" s="596" t="s">
        <v>135</v>
      </c>
      <c r="H3" s="597"/>
      <c r="I3" s="598"/>
      <c r="K3" s="596" t="s">
        <v>633</v>
      </c>
      <c r="L3" s="597"/>
      <c r="M3" s="597"/>
      <c r="N3" s="597"/>
      <c r="O3" s="597"/>
      <c r="P3" s="598"/>
      <c r="R3" s="596" t="s">
        <v>352</v>
      </c>
      <c r="S3" s="597"/>
      <c r="T3" s="597"/>
      <c r="U3" s="597"/>
      <c r="V3" s="597"/>
      <c r="W3" s="597"/>
      <c r="X3" s="598"/>
    </row>
    <row r="4" spans="2:36" ht="45" customHeight="1" x14ac:dyDescent="0.3">
      <c r="D4" t="s">
        <v>362</v>
      </c>
      <c r="E4" t="s">
        <v>84</v>
      </c>
      <c r="G4" s="221" t="s">
        <v>634</v>
      </c>
      <c r="H4" s="230" t="s">
        <v>265</v>
      </c>
      <c r="I4" s="220" t="s">
        <v>293</v>
      </c>
      <c r="K4" s="220" t="s">
        <v>135</v>
      </c>
      <c r="L4" s="220" t="s">
        <v>290</v>
      </c>
      <c r="M4" s="273" t="s">
        <v>136</v>
      </c>
      <c r="N4" s="273" t="s">
        <v>137</v>
      </c>
      <c r="O4" s="220" t="s">
        <v>60</v>
      </c>
      <c r="P4" s="220" t="s">
        <v>291</v>
      </c>
      <c r="Q4" s="266" t="s">
        <v>114</v>
      </c>
      <c r="R4" s="298" t="s">
        <v>285</v>
      </c>
      <c r="S4" s="298" t="s">
        <v>289</v>
      </c>
      <c r="T4" s="298" t="s">
        <v>256</v>
      </c>
      <c r="U4" s="298" t="s">
        <v>286</v>
      </c>
      <c r="V4" s="298" t="s">
        <v>287</v>
      </c>
      <c r="W4" s="298" t="s">
        <v>288</v>
      </c>
      <c r="X4" s="298" t="s">
        <v>345</v>
      </c>
      <c r="Y4" s="460" t="s">
        <v>485</v>
      </c>
    </row>
    <row r="5" spans="2:36" x14ac:dyDescent="0.3">
      <c r="B5" s="248" t="s">
        <v>314</v>
      </c>
      <c r="C5" s="292"/>
      <c r="D5" s="292"/>
      <c r="E5" s="292"/>
      <c r="F5" s="292"/>
      <c r="G5" s="221"/>
      <c r="H5" s="293"/>
      <c r="I5" s="294"/>
      <c r="J5" s="292"/>
      <c r="K5" s="294"/>
      <c r="L5" s="294"/>
      <c r="M5" s="294"/>
      <c r="N5" s="295"/>
      <c r="O5" s="294"/>
      <c r="P5" s="294"/>
      <c r="R5" s="325">
        <f>Lab_Rates!$C$6*(1+Escalators!C5)*(1+Escalators!C15)</f>
        <v>158.45839054425579</v>
      </c>
      <c r="S5" s="325">
        <f>Lab_Rates!$C$7*(1+Escalators!C5)*(1+Escalators!C15)</f>
        <v>148.03349642950209</v>
      </c>
      <c r="T5" s="325">
        <f>Lab_Rates!$C$8*(1+Escalators!C5)*(1+Escalators!C15)</f>
        <v>172.01075289343555</v>
      </c>
      <c r="U5" s="325">
        <f>Lab_Rates!$C$9*(1+Escalators!C5)*(1+Escalators!C15)</f>
        <v>224.1352234672039</v>
      </c>
      <c r="V5" s="325">
        <f>Lab_Rates!$C$6*(1+Escalators!C5)*(1+Escalators!C15)</f>
        <v>158.45839054425579</v>
      </c>
      <c r="W5" s="325">
        <f>Lab_Rates!$C$10*(1+Escalators!C5)*(1+Escalators!C15)</f>
        <v>158.45839054425579</v>
      </c>
      <c r="X5" s="325">
        <f>Lab_Rates!$C$5*(1+Escalators!C5)*(1+Escalators!C15)</f>
        <v>130.31117643442087</v>
      </c>
    </row>
    <row r="6" spans="2:36" x14ac:dyDescent="0.3">
      <c r="B6" s="251"/>
      <c r="C6" s="171"/>
      <c r="D6" s="171"/>
      <c r="E6" s="171"/>
      <c r="F6" s="171"/>
      <c r="G6" s="271"/>
      <c r="H6" s="231"/>
      <c r="I6" s="264"/>
      <c r="K6" s="271"/>
      <c r="L6" s="271"/>
      <c r="M6" s="271"/>
      <c r="N6" s="222"/>
      <c r="O6" s="271"/>
      <c r="P6" s="223"/>
      <c r="R6" s="326"/>
      <c r="S6" s="326"/>
      <c r="T6" s="326"/>
      <c r="U6" s="326"/>
      <c r="V6" s="326"/>
      <c r="W6" s="326"/>
      <c r="X6" s="326"/>
    </row>
    <row r="7" spans="2:36" x14ac:dyDescent="0.3">
      <c r="B7" s="232" t="s">
        <v>315</v>
      </c>
      <c r="D7" t="s">
        <v>365</v>
      </c>
      <c r="E7" t="s">
        <v>365</v>
      </c>
      <c r="G7" s="309"/>
      <c r="H7" s="314"/>
      <c r="I7" s="315"/>
      <c r="K7" s="309"/>
      <c r="L7" s="271">
        <f>SUMPRODUCT(R$5:X$5,R7:X7)/Thousands</f>
        <v>0</v>
      </c>
      <c r="M7" s="447">
        <v>396.65116279069764</v>
      </c>
      <c r="N7" s="447"/>
      <c r="O7" s="309"/>
      <c r="P7" s="223">
        <f t="shared" ref="P7" si="0">SUM(K7:O7)</f>
        <v>396.65116279069764</v>
      </c>
      <c r="Q7" s="19"/>
      <c r="R7" s="327"/>
      <c r="S7" s="328"/>
      <c r="T7" s="328"/>
      <c r="U7" s="328"/>
      <c r="V7" s="328"/>
      <c r="W7" s="328"/>
      <c r="X7" s="328"/>
    </row>
    <row r="8" spans="2:36" x14ac:dyDescent="0.3">
      <c r="B8" s="234"/>
      <c r="C8" s="42"/>
      <c r="D8" s="42"/>
      <c r="E8" s="42"/>
      <c r="F8" s="42"/>
      <c r="G8" s="241"/>
      <c r="H8" s="284"/>
      <c r="I8" s="263"/>
      <c r="K8" s="241"/>
      <c r="L8" s="241"/>
      <c r="M8" s="241"/>
      <c r="N8" s="310"/>
      <c r="O8" s="310"/>
      <c r="P8" s="242"/>
      <c r="R8" s="326"/>
      <c r="S8" s="326"/>
      <c r="T8" s="326"/>
      <c r="U8" s="326"/>
      <c r="V8" s="326"/>
      <c r="W8" s="326"/>
      <c r="X8" s="326"/>
    </row>
    <row r="9" spans="2:36" x14ac:dyDescent="0.3">
      <c r="B9" s="237" t="s">
        <v>269</v>
      </c>
      <c r="C9" s="238"/>
      <c r="D9" s="292"/>
      <c r="E9" s="292"/>
      <c r="F9" s="292"/>
      <c r="G9" s="239"/>
      <c r="H9" s="285"/>
      <c r="I9" s="220"/>
      <c r="K9" s="239"/>
      <c r="L9" s="239"/>
      <c r="M9" s="354"/>
      <c r="N9" s="311"/>
      <c r="O9" s="311"/>
      <c r="P9" s="243"/>
      <c r="R9" s="326"/>
      <c r="S9" s="326"/>
      <c r="T9" s="326"/>
      <c r="U9" s="326"/>
      <c r="V9" s="326"/>
      <c r="W9" s="326"/>
      <c r="X9" s="326"/>
    </row>
    <row r="10" spans="2:36" x14ac:dyDescent="0.3">
      <c r="B10" s="232"/>
      <c r="C10" s="171" t="s">
        <v>270</v>
      </c>
      <c r="D10" s="171" t="s">
        <v>365</v>
      </c>
      <c r="E10" s="171" t="s">
        <v>365</v>
      </c>
      <c r="F10" s="171"/>
      <c r="G10" s="309"/>
      <c r="H10" s="314"/>
      <c r="I10" s="315"/>
      <c r="K10" s="307"/>
      <c r="L10" s="225">
        <f>SUMPRODUCT(R$5:X$5,R10:X10)/Thousands</f>
        <v>48.69400000000001</v>
      </c>
      <c r="M10" s="306"/>
      <c r="N10" s="306">
        <v>0</v>
      </c>
      <c r="O10" s="307"/>
      <c r="P10" s="223">
        <f>SUM(K10:O10)</f>
        <v>48.69400000000001</v>
      </c>
      <c r="Q10" s="19"/>
      <c r="R10" s="327">
        <v>207.21403142993012</v>
      </c>
      <c r="S10" s="327">
        <v>77.473237968352223</v>
      </c>
      <c r="T10" s="327">
        <v>15.400463648641695</v>
      </c>
      <c r="U10" s="327">
        <v>7.7699453535485574</v>
      </c>
      <c r="V10" s="327">
        <v>0</v>
      </c>
      <c r="W10" s="327">
        <v>0</v>
      </c>
      <c r="X10" s="327">
        <v>0</v>
      </c>
      <c r="Y10" s="14">
        <f>SUM(R10:X10)</f>
        <v>307.85767840047259</v>
      </c>
      <c r="AA10" s="15"/>
      <c r="AB10" s="15"/>
      <c r="AC10" s="15"/>
      <c r="AD10" s="15"/>
      <c r="AE10" s="15"/>
      <c r="AF10" s="15"/>
      <c r="AG10" s="15"/>
      <c r="AJ10">
        <f>41.744+6.992</f>
        <v>48.735999999999997</v>
      </c>
    </row>
    <row r="11" spans="2:36" x14ac:dyDescent="0.3">
      <c r="B11" s="232"/>
      <c r="C11" s="171" t="s">
        <v>271</v>
      </c>
      <c r="D11" s="171" t="s">
        <v>365</v>
      </c>
      <c r="E11" s="171" t="s">
        <v>365</v>
      </c>
      <c r="F11" s="171"/>
      <c r="G11" s="309"/>
      <c r="H11" s="314"/>
      <c r="I11" s="315"/>
      <c r="K11" s="307"/>
      <c r="L11" s="225">
        <f>SUMPRODUCT(R$5:X$5,R11:X11)/Thousands</f>
        <v>278.11200000000002</v>
      </c>
      <c r="M11" s="306"/>
      <c r="N11" s="447">
        <v>0</v>
      </c>
      <c r="O11" s="307"/>
      <c r="P11" s="223">
        <f>SUM(K11:O11)</f>
        <v>278.11200000000002</v>
      </c>
      <c r="Q11" s="19"/>
      <c r="R11" s="327">
        <v>239.4071567860793</v>
      </c>
      <c r="S11" s="327">
        <v>0</v>
      </c>
      <c r="T11" s="327">
        <v>503.54669633206413</v>
      </c>
      <c r="U11" s="327">
        <v>58.202665486307779</v>
      </c>
      <c r="V11" s="327">
        <v>421.3565959434996</v>
      </c>
      <c r="W11" s="327">
        <v>465.40751279213816</v>
      </c>
      <c r="X11" s="327">
        <v>0</v>
      </c>
      <c r="Y11" s="14">
        <f t="shared" ref="Y11:Y13" si="1">SUM(R11:X11)</f>
        <v>1687.9206273400891</v>
      </c>
      <c r="AA11" s="15"/>
      <c r="AB11" s="15"/>
      <c r="AC11" s="15"/>
      <c r="AD11" s="15"/>
      <c r="AE11" s="15"/>
      <c r="AF11" s="15"/>
      <c r="AG11" s="15"/>
    </row>
    <row r="12" spans="2:36" x14ac:dyDescent="0.3">
      <c r="B12" s="232"/>
      <c r="C12" s="171" t="s">
        <v>304</v>
      </c>
      <c r="D12" s="171" t="s">
        <v>365</v>
      </c>
      <c r="E12" s="171" t="s">
        <v>365</v>
      </c>
      <c r="F12" s="171"/>
      <c r="G12" s="309"/>
      <c r="H12" s="314"/>
      <c r="I12" s="315"/>
      <c r="K12" s="307"/>
      <c r="L12" s="225">
        <f>SUMPRODUCT(R$5:X$5,R12:X12)/Thousands</f>
        <v>158.19399999999999</v>
      </c>
      <c r="M12" s="306"/>
      <c r="N12" s="306">
        <v>0</v>
      </c>
      <c r="O12" s="307"/>
      <c r="P12" s="223">
        <f>SUM(K12:O12)</f>
        <v>158.19399999999999</v>
      </c>
      <c r="Q12" s="19"/>
      <c r="R12" s="327">
        <v>0</v>
      </c>
      <c r="S12" s="327">
        <v>0</v>
      </c>
      <c r="T12" s="327">
        <v>144.83343514661092</v>
      </c>
      <c r="U12" s="327">
        <v>0</v>
      </c>
      <c r="V12" s="327">
        <v>298.40921963812059</v>
      </c>
      <c r="W12" s="327">
        <v>71.714473751741878</v>
      </c>
      <c r="X12" s="327">
        <v>572.72053757410572</v>
      </c>
      <c r="Y12" s="14">
        <f t="shared" si="1"/>
        <v>1087.6776661105791</v>
      </c>
      <c r="AA12" s="15"/>
      <c r="AB12" s="15"/>
      <c r="AC12" s="15"/>
      <c r="AD12" s="15"/>
      <c r="AE12" s="15"/>
      <c r="AF12" s="15"/>
      <c r="AG12" s="15"/>
      <c r="AJ12">
        <f>13.2+145</f>
        <v>158.19999999999999</v>
      </c>
    </row>
    <row r="13" spans="2:36" x14ac:dyDescent="0.3">
      <c r="B13" s="232"/>
      <c r="C13" s="171" t="s">
        <v>272</v>
      </c>
      <c r="D13" s="171" t="s">
        <v>365</v>
      </c>
      <c r="E13" s="171" t="s">
        <v>365</v>
      </c>
      <c r="F13" s="171"/>
      <c r="G13" s="309"/>
      <c r="H13" s="314"/>
      <c r="I13" s="315"/>
      <c r="K13" s="307"/>
      <c r="L13" s="225">
        <f>SUMPRODUCT(R$5:X$5,R13:X13)/Thousands</f>
        <v>124.9875</v>
      </c>
      <c r="M13" s="306"/>
      <c r="N13" s="306">
        <v>0</v>
      </c>
      <c r="O13" s="307"/>
      <c r="P13" s="223">
        <f>SUM(K13:O13)</f>
        <v>124.9875</v>
      </c>
      <c r="Q13" s="19"/>
      <c r="R13" s="327">
        <v>0</v>
      </c>
      <c r="S13" s="327">
        <v>0</v>
      </c>
      <c r="T13" s="327">
        <v>726.62608527405553</v>
      </c>
      <c r="U13" s="327">
        <v>0</v>
      </c>
      <c r="V13" s="327">
        <v>0</v>
      </c>
      <c r="W13" s="327">
        <v>0</v>
      </c>
      <c r="X13" s="327">
        <v>0</v>
      </c>
      <c r="Y13" s="14">
        <f t="shared" si="1"/>
        <v>726.62608527405553</v>
      </c>
      <c r="AA13" s="15"/>
      <c r="AB13" s="15"/>
      <c r="AC13" s="15"/>
      <c r="AD13" s="15"/>
      <c r="AE13" s="15"/>
      <c r="AF13" s="15"/>
      <c r="AG13" s="15"/>
    </row>
    <row r="14" spans="2:36" x14ac:dyDescent="0.3">
      <c r="B14" s="234"/>
      <c r="C14" s="42"/>
      <c r="D14" s="42"/>
      <c r="E14" s="42"/>
      <c r="F14" s="42"/>
      <c r="G14" s="241"/>
      <c r="H14" s="240"/>
      <c r="I14" s="263"/>
      <c r="K14" s="244"/>
      <c r="L14" s="245"/>
      <c r="M14" s="245"/>
      <c r="N14" s="246"/>
      <c r="O14" s="244"/>
      <c r="P14" s="247"/>
      <c r="R14" s="326"/>
      <c r="S14" s="326"/>
      <c r="T14" s="326"/>
      <c r="U14" s="326"/>
      <c r="V14" s="326"/>
      <c r="W14" s="326"/>
      <c r="X14" s="326"/>
    </row>
    <row r="15" spans="2:36" x14ac:dyDescent="0.3">
      <c r="B15" s="237" t="s">
        <v>261</v>
      </c>
      <c r="C15" s="238"/>
      <c r="D15" s="292"/>
      <c r="E15" s="292"/>
      <c r="F15" s="292"/>
      <c r="G15" s="297"/>
      <c r="H15" s="248"/>
      <c r="I15" s="243"/>
      <c r="K15" s="249"/>
      <c r="L15" s="249"/>
      <c r="M15" s="355"/>
      <c r="N15" s="249"/>
      <c r="O15" s="249"/>
      <c r="P15" s="250"/>
      <c r="Q15" s="11"/>
      <c r="R15" s="329"/>
      <c r="S15" s="326"/>
      <c r="T15" s="326"/>
      <c r="U15" s="326"/>
      <c r="V15" s="326"/>
      <c r="W15" s="326"/>
      <c r="X15" s="326"/>
      <c r="AA15" s="28"/>
      <c r="AB15" s="28"/>
      <c r="AC15" s="28"/>
      <c r="AD15" s="28"/>
      <c r="AE15" s="28"/>
      <c r="AF15" s="28"/>
      <c r="AG15" s="28"/>
    </row>
    <row r="16" spans="2:36" x14ac:dyDescent="0.3">
      <c r="B16" s="251" t="s">
        <v>263</v>
      </c>
      <c r="C16" s="171"/>
      <c r="D16" s="171"/>
      <c r="E16" s="171"/>
      <c r="F16" s="171"/>
      <c r="G16" s="228"/>
      <c r="H16" s="232"/>
      <c r="I16" s="224"/>
      <c r="J16" s="157"/>
      <c r="K16" s="225"/>
      <c r="L16" s="225"/>
      <c r="M16" s="225"/>
      <c r="N16" s="225"/>
      <c r="O16" s="225"/>
      <c r="P16" s="224"/>
      <c r="R16" s="326"/>
      <c r="S16" s="326"/>
      <c r="T16" s="326"/>
      <c r="U16" s="326"/>
      <c r="V16" s="326"/>
      <c r="W16" s="326"/>
      <c r="X16" s="326"/>
      <c r="AA16" s="28"/>
      <c r="AB16" s="28"/>
      <c r="AC16" s="28"/>
      <c r="AD16" s="28"/>
      <c r="AE16" s="28"/>
      <c r="AF16" s="28"/>
      <c r="AG16" s="28"/>
    </row>
    <row r="17" spans="2:33" x14ac:dyDescent="0.3">
      <c r="B17" s="232"/>
      <c r="C17" s="171" t="s">
        <v>306</v>
      </c>
      <c r="D17" s="171" t="str">
        <f>INDEX(Unit_Rates!$C$7:$K$54,MATCH($C17,Unit_Rates!$C$7:$C$54,0),5)</f>
        <v>Subtransmission</v>
      </c>
      <c r="E17" s="171" t="str">
        <f>INDEX(Unit_Rates!$C$7:$K$54,MATCH($C17,Unit_Rates!$C$7:$C$54,0),6)</f>
        <v>Augmentation</v>
      </c>
      <c r="F17" s="171" t="str">
        <f>D17&amp;E17</f>
        <v>SubtransmissionAugmentation</v>
      </c>
      <c r="G17" s="268">
        <f>INDEX(Unit_Rates!$C$7:$K$54,MATCH($C17,Unit_Rates!$C$7:$C$54,0),7)</f>
        <v>78.838847145488032</v>
      </c>
      <c r="H17" s="299">
        <v>2</v>
      </c>
      <c r="I17" s="264" t="s">
        <v>292</v>
      </c>
      <c r="J17" s="157"/>
      <c r="K17" s="226">
        <f>G17*$H17</f>
        <v>157.67769429097606</v>
      </c>
      <c r="L17" s="302">
        <f t="shared" ref="L17:L40" si="2">SUMPRODUCT(R$5:X$5,R17:X17)/Thousands</f>
        <v>0</v>
      </c>
      <c r="M17" s="356"/>
      <c r="N17" s="568"/>
      <c r="O17" s="568"/>
      <c r="P17" s="569"/>
      <c r="Q17" s="336">
        <f>P17-H17*VLOOKUP(C17,Unit_Rates!$C$7:$E$39,3,FALSE)</f>
        <v>0</v>
      </c>
      <c r="R17" s="327">
        <v>0</v>
      </c>
      <c r="S17" s="327">
        <v>0</v>
      </c>
      <c r="T17" s="327">
        <v>0</v>
      </c>
      <c r="U17" s="327">
        <v>0</v>
      </c>
      <c r="V17" s="327">
        <v>0</v>
      </c>
      <c r="W17" s="327">
        <v>0</v>
      </c>
      <c r="X17" s="327">
        <v>0</v>
      </c>
      <c r="Y17" s="14">
        <f t="shared" ref="Y17:Y40" si="3">SUM(R17:X17)</f>
        <v>0</v>
      </c>
      <c r="AA17" s="28"/>
      <c r="AB17" s="28"/>
      <c r="AC17" s="28"/>
      <c r="AD17" s="28"/>
      <c r="AE17" s="28"/>
      <c r="AF17" s="28"/>
      <c r="AG17" s="28"/>
    </row>
    <row r="18" spans="2:33" x14ac:dyDescent="0.3">
      <c r="B18" s="232"/>
      <c r="C18" s="171" t="s">
        <v>329</v>
      </c>
      <c r="D18" s="171" t="str">
        <f>INDEX(Unit_Rates!$C$7:$K$54,MATCH($C18,Unit_Rates!$C$7:$C$54,0),5)</f>
        <v>Subtransmission</v>
      </c>
      <c r="E18" s="171" t="str">
        <f>INDEX(Unit_Rates!$C$7:$K$54,MATCH($C18,Unit_Rates!$C$7:$C$54,0),6)</f>
        <v>Augmentation</v>
      </c>
      <c r="F18" s="171" t="str">
        <f t="shared" ref="F18:F40" si="4">D18&amp;E18</f>
        <v>SubtransmissionAugmentation</v>
      </c>
      <c r="G18" s="268">
        <f>INDEX(Unit_Rates!$C$7:$K$54,MATCH($C18,Unit_Rates!$C$7:$C$54,0),7)</f>
        <v>90.745458563535905</v>
      </c>
      <c r="H18" s="299"/>
      <c r="I18" s="264" t="s">
        <v>292</v>
      </c>
      <c r="J18" s="157"/>
      <c r="K18" s="226">
        <f>G18*$H18</f>
        <v>0</v>
      </c>
      <c r="L18" s="302">
        <f t="shared" si="2"/>
        <v>0</v>
      </c>
      <c r="M18" s="356"/>
      <c r="N18" s="568"/>
      <c r="O18" s="568"/>
      <c r="P18" s="569"/>
      <c r="Q18" s="336">
        <f>P18-H18*VLOOKUP(C18,Unit_Rates!$C$7:$E$39,3,FALSE)</f>
        <v>0</v>
      </c>
      <c r="R18" s="327">
        <v>0</v>
      </c>
      <c r="S18" s="327">
        <v>0</v>
      </c>
      <c r="T18" s="327">
        <v>0</v>
      </c>
      <c r="U18" s="327">
        <v>0</v>
      </c>
      <c r="V18" s="327">
        <v>0</v>
      </c>
      <c r="W18" s="327">
        <v>0</v>
      </c>
      <c r="X18" s="327">
        <v>0</v>
      </c>
      <c r="Y18" s="14">
        <f t="shared" si="3"/>
        <v>0</v>
      </c>
      <c r="AA18" s="28"/>
      <c r="AB18" s="28"/>
      <c r="AC18" s="28"/>
      <c r="AD18" s="28"/>
      <c r="AE18" s="28"/>
      <c r="AF18" s="28"/>
      <c r="AG18" s="28"/>
    </row>
    <row r="19" spans="2:33" ht="15" x14ac:dyDescent="0.25">
      <c r="B19" s="232"/>
      <c r="C19" s="171" t="s">
        <v>502</v>
      </c>
      <c r="D19" t="str">
        <f>D18</f>
        <v>Subtransmission</v>
      </c>
      <c r="E19" t="str">
        <f>E18</f>
        <v>Augmentation</v>
      </c>
      <c r="F19" t="str">
        <f t="shared" si="4"/>
        <v>SubtransmissionAugmentation</v>
      </c>
      <c r="G19" s="268">
        <f>INDEX(Unit_Rates!$C$7:$K$54,MATCH($C19,Unit_Rates!$C$7:$C$54,0),7)</f>
        <v>25.236519337016578</v>
      </c>
      <c r="H19" s="299">
        <v>0</v>
      </c>
      <c r="I19" s="278" t="s">
        <v>292</v>
      </c>
      <c r="J19" s="279"/>
      <c r="K19" s="301">
        <f>G19*$H19</f>
        <v>0</v>
      </c>
      <c r="L19" s="301">
        <f t="shared" si="2"/>
        <v>0</v>
      </c>
      <c r="M19" s="308"/>
      <c r="N19" s="570"/>
      <c r="O19" s="571"/>
      <c r="P19" s="572"/>
      <c r="Q19" s="336"/>
      <c r="R19" s="327">
        <v>0</v>
      </c>
      <c r="S19" s="327">
        <v>0</v>
      </c>
      <c r="T19" s="327">
        <v>0</v>
      </c>
      <c r="U19" s="327">
        <v>0</v>
      </c>
      <c r="V19" s="327">
        <v>0</v>
      </c>
      <c r="W19" s="327">
        <v>0</v>
      </c>
      <c r="X19" s="327">
        <v>0</v>
      </c>
      <c r="Y19" s="14">
        <f t="shared" si="3"/>
        <v>0</v>
      </c>
    </row>
    <row r="20" spans="2:33" x14ac:dyDescent="0.3">
      <c r="B20" s="232"/>
      <c r="C20" s="171" t="s">
        <v>503</v>
      </c>
      <c r="D20" s="171" t="str">
        <f>INDEX(Unit_Rates!$C$7:$K$54,MATCH($C20,Unit_Rates!$C$7:$C$54,0),5)</f>
        <v>Subtransmission</v>
      </c>
      <c r="E20" s="171" t="str">
        <f>INDEX(Unit_Rates!$C$7:$K$54,MATCH($C20,Unit_Rates!$C$7:$C$54,0),6)</f>
        <v>Augmentation</v>
      </c>
      <c r="F20" s="171" t="str">
        <f t="shared" si="4"/>
        <v>SubtransmissionAugmentation</v>
      </c>
      <c r="G20" s="268">
        <f>INDEX(Unit_Rates!$C$7:$K$54,MATCH($C20,Unit_Rates!$C$7:$C$54,0),7)</f>
        <v>38.571335174953965</v>
      </c>
      <c r="H20" s="299">
        <v>1</v>
      </c>
      <c r="I20" s="264" t="s">
        <v>292</v>
      </c>
      <c r="J20" s="157"/>
      <c r="K20" s="226">
        <f>G20*H20</f>
        <v>38.571335174953965</v>
      </c>
      <c r="L20" s="302">
        <f t="shared" si="2"/>
        <v>0</v>
      </c>
      <c r="M20" s="356"/>
      <c r="N20" s="568"/>
      <c r="O20" s="568"/>
      <c r="P20" s="569"/>
      <c r="Q20" s="336">
        <f>P20-H20*VLOOKUP(C20,Unit_Rates!$C$7:$E$39,3,FALSE)</f>
        <v>0</v>
      </c>
      <c r="R20" s="327">
        <v>0</v>
      </c>
      <c r="S20" s="327">
        <v>0</v>
      </c>
      <c r="T20" s="327">
        <v>0</v>
      </c>
      <c r="U20" s="327">
        <v>0</v>
      </c>
      <c r="V20" s="327">
        <v>0</v>
      </c>
      <c r="W20" s="327">
        <v>0</v>
      </c>
      <c r="X20" s="327">
        <v>0</v>
      </c>
      <c r="Y20" s="14">
        <f t="shared" si="3"/>
        <v>0</v>
      </c>
      <c r="AA20" s="28"/>
      <c r="AB20" s="28"/>
      <c r="AC20" s="28"/>
      <c r="AD20" s="28"/>
      <c r="AE20" s="28"/>
      <c r="AF20" s="28"/>
      <c r="AG20" s="28"/>
    </row>
    <row r="21" spans="2:33" x14ac:dyDescent="0.3">
      <c r="B21" s="232"/>
      <c r="C21" s="171" t="s">
        <v>372</v>
      </c>
      <c r="D21" s="171" t="str">
        <f>INDEX(Unit_Rates!$C$7:$K$54,MATCH($C21,Unit_Rates!$C$7:$C$54,0),5)</f>
        <v>Subtransmission</v>
      </c>
      <c r="E21" s="171" t="str">
        <f>INDEX(Unit_Rates!$C$7:$K$54,MATCH($C21,Unit_Rates!$C$7:$C$54,0),6)</f>
        <v>Augmentation</v>
      </c>
      <c r="F21" s="171" t="str">
        <f t="shared" ref="F21" si="5">D21&amp;E21</f>
        <v>SubtransmissionAugmentation</v>
      </c>
      <c r="G21" s="268">
        <f>INDEX(Unit_Rates!$C$7:$K$54,MATCH($C21,Unit_Rates!$C$7:$C$54,0),7)</f>
        <v>0</v>
      </c>
      <c r="H21" s="299"/>
      <c r="I21" s="264" t="s">
        <v>292</v>
      </c>
      <c r="J21" s="157"/>
      <c r="K21" s="226">
        <f>G21*H21</f>
        <v>0</v>
      </c>
      <c r="L21" s="302">
        <f t="shared" si="2"/>
        <v>0</v>
      </c>
      <c r="M21" s="356"/>
      <c r="N21" s="568"/>
      <c r="O21" s="568"/>
      <c r="P21" s="569"/>
      <c r="Q21" s="336">
        <f>P21-H21*VLOOKUP(C21,Unit_Rates!$C$7:$E$39,3,FALSE)</f>
        <v>0</v>
      </c>
      <c r="R21" s="327">
        <v>0</v>
      </c>
      <c r="S21" s="327">
        <v>0</v>
      </c>
      <c r="T21" s="327">
        <v>0</v>
      </c>
      <c r="U21" s="327">
        <v>0</v>
      </c>
      <c r="V21" s="327">
        <v>0</v>
      </c>
      <c r="W21" s="327">
        <v>0</v>
      </c>
      <c r="X21" s="327">
        <v>0</v>
      </c>
      <c r="Y21" s="14">
        <f t="shared" si="3"/>
        <v>0</v>
      </c>
      <c r="AA21" s="28"/>
      <c r="AB21" s="28"/>
      <c r="AC21" s="28"/>
      <c r="AD21" s="28"/>
      <c r="AE21" s="28"/>
      <c r="AF21" s="28"/>
      <c r="AG21" s="28"/>
    </row>
    <row r="22" spans="2:33" x14ac:dyDescent="0.3">
      <c r="B22" s="232"/>
      <c r="C22" s="171" t="s">
        <v>266</v>
      </c>
      <c r="D22" s="171" t="str">
        <f>INDEX(Unit_Rates!$C$7:$K$54,MATCH($C22,Unit_Rates!$C$7:$C$54,0),5)</f>
        <v>SCADA/Network control</v>
      </c>
      <c r="E22" s="171" t="str">
        <f>INDEX(Unit_Rates!$C$7:$K$54,MATCH($C22,Unit_Rates!$C$7:$C$54,0),6)</f>
        <v>Augmentation</v>
      </c>
      <c r="F22" s="171" t="str">
        <f t="shared" si="4"/>
        <v>SCADA/Network controlAugmentation</v>
      </c>
      <c r="G22" s="268">
        <f>INDEX(Unit_Rates!$C$7:$K$54,MATCH($C22,Unit_Rates!$C$7:$C$54,0),7)</f>
        <v>1084.7777777777778</v>
      </c>
      <c r="H22" s="299">
        <v>1</v>
      </c>
      <c r="I22" s="264" t="s">
        <v>292</v>
      </c>
      <c r="J22" s="157"/>
      <c r="K22" s="226">
        <f>G22*H22</f>
        <v>1084.7777777777778</v>
      </c>
      <c r="L22" s="302">
        <f t="shared" si="2"/>
        <v>0</v>
      </c>
      <c r="M22" s="356"/>
      <c r="N22" s="568"/>
      <c r="O22" s="568"/>
      <c r="P22" s="569"/>
      <c r="Q22" s="336">
        <f>P22-H22*VLOOKUP(C22,Unit_Rates!$C$7:$E$39,3,FALSE)</f>
        <v>0</v>
      </c>
      <c r="R22" s="327">
        <v>0</v>
      </c>
      <c r="S22" s="327">
        <v>0</v>
      </c>
      <c r="T22" s="327">
        <v>0</v>
      </c>
      <c r="U22" s="327">
        <v>0</v>
      </c>
      <c r="V22" s="327">
        <v>0</v>
      </c>
      <c r="W22" s="327">
        <v>0</v>
      </c>
      <c r="X22" s="327">
        <v>0</v>
      </c>
      <c r="Y22" s="14">
        <f t="shared" si="3"/>
        <v>0</v>
      </c>
      <c r="AA22" s="28"/>
      <c r="AB22" s="28"/>
      <c r="AC22" s="28"/>
      <c r="AD22" s="28"/>
      <c r="AE22" s="28"/>
      <c r="AF22" s="28"/>
      <c r="AG22" s="28"/>
    </row>
    <row r="23" spans="2:33" x14ac:dyDescent="0.3">
      <c r="B23" s="232"/>
      <c r="C23" s="171" t="s">
        <v>308</v>
      </c>
      <c r="D23" s="171" t="str">
        <f>INDEX(Unit_Rates!$C$7:$K$54,MATCH($C23,Unit_Rates!$C$7:$C$54,0),5)</f>
        <v>Subtransmission</v>
      </c>
      <c r="E23" s="171" t="str">
        <f>INDEX(Unit_Rates!$C$7:$K$54,MATCH($C23,Unit_Rates!$C$7:$C$54,0),6)</f>
        <v>Augmentation</v>
      </c>
      <c r="F23" s="171" t="str">
        <f t="shared" si="4"/>
        <v>SubtransmissionAugmentation</v>
      </c>
      <c r="G23" s="268">
        <f>INDEX(Unit_Rates!$C$7:$K$54,MATCH($C23,Unit_Rates!$C$7:$C$54,0),7)</f>
        <v>0</v>
      </c>
      <c r="H23" s="299">
        <v>1</v>
      </c>
      <c r="I23" s="264" t="s">
        <v>292</v>
      </c>
      <c r="J23" s="157"/>
      <c r="K23" s="226">
        <f>G23*H23</f>
        <v>0</v>
      </c>
      <c r="L23" s="302">
        <f t="shared" si="2"/>
        <v>0</v>
      </c>
      <c r="M23" s="356"/>
      <c r="N23" s="568"/>
      <c r="O23" s="568"/>
      <c r="P23" s="569"/>
      <c r="Q23" s="336">
        <f>P23-H23*VLOOKUP(C23,Unit_Rates!$C$7:$E$39,3,FALSE)</f>
        <v>0</v>
      </c>
      <c r="R23" s="327">
        <v>0</v>
      </c>
      <c r="S23" s="327">
        <v>0</v>
      </c>
      <c r="T23" s="327">
        <v>0</v>
      </c>
      <c r="U23" s="327">
        <v>0</v>
      </c>
      <c r="V23" s="327">
        <v>0</v>
      </c>
      <c r="W23" s="327">
        <v>0</v>
      </c>
      <c r="X23" s="327">
        <v>0</v>
      </c>
      <c r="Y23" s="14">
        <f t="shared" si="3"/>
        <v>0</v>
      </c>
      <c r="AA23" s="28"/>
      <c r="AB23" s="28"/>
      <c r="AC23" s="28"/>
      <c r="AD23" s="28"/>
      <c r="AE23" s="28"/>
      <c r="AF23" s="28"/>
      <c r="AG23" s="28"/>
    </row>
    <row r="24" spans="2:33" x14ac:dyDescent="0.3">
      <c r="B24" s="232"/>
      <c r="C24" s="171" t="s">
        <v>280</v>
      </c>
      <c r="D24" s="171" t="str">
        <f>INDEX(Unit_Rates!$C$7:$K$54,MATCH($C24,Unit_Rates!$C$7:$C$54,0),5)</f>
        <v>Subtransmission</v>
      </c>
      <c r="E24" s="171" t="str">
        <f>INDEX(Unit_Rates!$C$7:$K$54,MATCH($C24,Unit_Rates!$C$7:$C$54,0),6)</f>
        <v>Augmentation</v>
      </c>
      <c r="F24" s="171" t="str">
        <f t="shared" si="4"/>
        <v>SubtransmissionAugmentation</v>
      </c>
      <c r="G24" s="268">
        <f>INDEX(Unit_Rates!$C$7:$K$54,MATCH($C24,Unit_Rates!$C$7:$C$54,0),7)</f>
        <v>1249.4511627906975</v>
      </c>
      <c r="H24" s="299"/>
      <c r="I24" s="264" t="s">
        <v>292</v>
      </c>
      <c r="J24" s="157"/>
      <c r="K24" s="226">
        <f t="shared" ref="K24:K40" si="6">G24*H24</f>
        <v>0</v>
      </c>
      <c r="L24" s="302">
        <f t="shared" si="2"/>
        <v>0</v>
      </c>
      <c r="M24" s="356"/>
      <c r="N24" s="568"/>
      <c r="O24" s="568"/>
      <c r="P24" s="569"/>
      <c r="Q24" s="336">
        <f>P24-H24*VLOOKUP(C24,Unit_Rates!$C$7:$E$39,3,FALSE)</f>
        <v>0</v>
      </c>
      <c r="R24" s="327">
        <v>0</v>
      </c>
      <c r="S24" s="327">
        <v>0</v>
      </c>
      <c r="T24" s="327">
        <v>0</v>
      </c>
      <c r="U24" s="327">
        <v>0</v>
      </c>
      <c r="V24" s="327">
        <v>0</v>
      </c>
      <c r="W24" s="327">
        <v>0</v>
      </c>
      <c r="X24" s="327">
        <v>0</v>
      </c>
      <c r="Y24" s="14">
        <f t="shared" si="3"/>
        <v>0</v>
      </c>
    </row>
    <row r="25" spans="2:33" x14ac:dyDescent="0.3">
      <c r="B25" s="232"/>
      <c r="C25" s="171" t="s">
        <v>279</v>
      </c>
      <c r="D25" s="171" t="str">
        <f>INDEX(Unit_Rates!$C$7:$K$54,MATCH($C25,Unit_Rates!$C$7:$C$54,0),5)</f>
        <v>Subtransmission</v>
      </c>
      <c r="E25" s="171" t="str">
        <f>INDEX(Unit_Rates!$C$7:$K$54,MATCH($C25,Unit_Rates!$C$7:$C$54,0),6)</f>
        <v>Augmentation</v>
      </c>
      <c r="F25" s="171" t="str">
        <f t="shared" si="4"/>
        <v>SubtransmissionAugmentation</v>
      </c>
      <c r="G25" s="268">
        <f>INDEX(Unit_Rates!$C$7:$K$54,MATCH($C25,Unit_Rates!$C$7:$C$54,0),7)</f>
        <v>1378.3627906976742</v>
      </c>
      <c r="H25" s="299"/>
      <c r="I25" s="264" t="s">
        <v>292</v>
      </c>
      <c r="J25" s="157"/>
      <c r="K25" s="226">
        <f t="shared" si="6"/>
        <v>0</v>
      </c>
      <c r="L25" s="302">
        <f t="shared" si="2"/>
        <v>0</v>
      </c>
      <c r="M25" s="356"/>
      <c r="N25" s="568"/>
      <c r="O25" s="568"/>
      <c r="P25" s="569"/>
      <c r="Q25" s="336">
        <f>P25-H25*VLOOKUP(C25,Unit_Rates!$C$7:$E$39,3,FALSE)</f>
        <v>0</v>
      </c>
      <c r="R25" s="327">
        <v>0</v>
      </c>
      <c r="S25" s="327">
        <v>0</v>
      </c>
      <c r="T25" s="327">
        <v>0</v>
      </c>
      <c r="U25" s="327">
        <v>0</v>
      </c>
      <c r="V25" s="327">
        <v>0</v>
      </c>
      <c r="W25" s="327">
        <v>0</v>
      </c>
      <c r="X25" s="327">
        <v>0</v>
      </c>
      <c r="Y25" s="14">
        <f t="shared" si="3"/>
        <v>0</v>
      </c>
    </row>
    <row r="26" spans="2:33" x14ac:dyDescent="0.3">
      <c r="B26" s="232"/>
      <c r="C26" s="171" t="s">
        <v>517</v>
      </c>
      <c r="D26" s="171" t="str">
        <f>INDEX(Unit_Rates!$C$7:$K$54,MATCH($C26,Unit_Rates!$C$7:$C$54,0),5)</f>
        <v>Subtransmission</v>
      </c>
      <c r="E26" s="171" t="str">
        <f>INDEX(Unit_Rates!$C$7:$K$54,MATCH($C26,Unit_Rates!$C$7:$C$54,0),6)</f>
        <v>Augmentation</v>
      </c>
      <c r="F26" s="171" t="str">
        <f t="shared" si="4"/>
        <v>SubtransmissionAugmentation</v>
      </c>
      <c r="G26" s="268">
        <f>INDEX(Unit_Rates!$C$7:$K$54,MATCH($C26,Unit_Rates!$C$7:$C$54,0),7)</f>
        <v>86.121892093023249</v>
      </c>
      <c r="H26" s="299">
        <v>1</v>
      </c>
      <c r="I26" s="264" t="s">
        <v>292</v>
      </c>
      <c r="J26" s="157"/>
      <c r="K26" s="226">
        <f t="shared" si="6"/>
        <v>86.121892093023249</v>
      </c>
      <c r="L26" s="302">
        <f t="shared" si="2"/>
        <v>0</v>
      </c>
      <c r="M26" s="356"/>
      <c r="N26" s="568"/>
      <c r="O26" s="568"/>
      <c r="P26" s="569"/>
      <c r="Q26" s="336">
        <f>P26-H26*VLOOKUP(C26,Unit_Rates!$C$7:$E$39,3,FALSE)</f>
        <v>0</v>
      </c>
      <c r="R26" s="327">
        <v>0</v>
      </c>
      <c r="S26" s="327">
        <v>0</v>
      </c>
      <c r="T26" s="327">
        <v>0</v>
      </c>
      <c r="U26" s="327">
        <v>0</v>
      </c>
      <c r="V26" s="327">
        <v>0</v>
      </c>
      <c r="W26" s="327">
        <v>0</v>
      </c>
      <c r="X26" s="327">
        <v>0</v>
      </c>
      <c r="Y26" s="14">
        <f t="shared" si="3"/>
        <v>0</v>
      </c>
    </row>
    <row r="27" spans="2:33" x14ac:dyDescent="0.3">
      <c r="B27" s="232"/>
      <c r="C27" s="171" t="s">
        <v>373</v>
      </c>
      <c r="D27" s="171" t="str">
        <f>INDEX(Unit_Rates!$C$7:$K$54,MATCH($C27,Unit_Rates!$C$7:$C$54,0),5)</f>
        <v>Subtransmission</v>
      </c>
      <c r="E27" s="171" t="str">
        <f>INDEX(Unit_Rates!$C$7:$K$54,MATCH($C27,Unit_Rates!$C$7:$C$54,0),6)</f>
        <v>Augmentation</v>
      </c>
      <c r="F27" s="171" t="str">
        <f t="shared" ref="F27" si="7">D27&amp;E27</f>
        <v>SubtransmissionAugmentation</v>
      </c>
      <c r="G27" s="268">
        <f>INDEX(Unit_Rates!$C$7:$K$54,MATCH($C27,Unit_Rates!$C$7:$C$54,0),7)</f>
        <v>0</v>
      </c>
      <c r="H27" s="299"/>
      <c r="I27" s="264" t="s">
        <v>292</v>
      </c>
      <c r="J27" s="157"/>
      <c r="K27" s="226">
        <f t="shared" ref="K27" si="8">G27*H27</f>
        <v>0</v>
      </c>
      <c r="L27" s="302">
        <f t="shared" si="2"/>
        <v>0</v>
      </c>
      <c r="M27" s="356"/>
      <c r="N27" s="568"/>
      <c r="O27" s="568"/>
      <c r="P27" s="569"/>
      <c r="Q27" s="336">
        <f>P27-H27*VLOOKUP(C27,Unit_Rates!$C$7:$E$39,3,FALSE)</f>
        <v>0</v>
      </c>
      <c r="R27" s="327">
        <v>0</v>
      </c>
      <c r="S27" s="327">
        <v>0</v>
      </c>
      <c r="T27" s="327">
        <v>0</v>
      </c>
      <c r="U27" s="327">
        <v>0</v>
      </c>
      <c r="V27" s="327">
        <v>0</v>
      </c>
      <c r="W27" s="327">
        <v>0</v>
      </c>
      <c r="X27" s="327">
        <v>0</v>
      </c>
      <c r="Y27" s="14">
        <f t="shared" si="3"/>
        <v>0</v>
      </c>
    </row>
    <row r="28" spans="2:33" x14ac:dyDescent="0.3">
      <c r="B28" s="232"/>
      <c r="C28" s="171" t="s">
        <v>350</v>
      </c>
      <c r="D28" s="171" t="str">
        <f>INDEX(Unit_Rates!$C$7:$K$54,MATCH($C28,Unit_Rates!$C$7:$C$54,0),5)</f>
        <v>Subtransmission</v>
      </c>
      <c r="E28" s="171" t="str">
        <f>INDEX(Unit_Rates!$C$7:$K$54,MATCH($C28,Unit_Rates!$C$7:$C$54,0),6)</f>
        <v>Augmentation</v>
      </c>
      <c r="F28" s="171" t="str">
        <f t="shared" ref="F28:F34" si="9">D28&amp;E28</f>
        <v>SubtransmissionAugmentation</v>
      </c>
      <c r="G28" s="268">
        <f>INDEX(Unit_Rates!$C$7:$K$54,MATCH($C28,Unit_Rates!$C$7:$C$54,0),7)</f>
        <v>62.900871086556172</v>
      </c>
      <c r="H28" s="299"/>
      <c r="I28" s="264" t="s">
        <v>292</v>
      </c>
      <c r="J28" s="157"/>
      <c r="K28" s="226">
        <f t="shared" ref="K28:K34" si="10">G28*H28</f>
        <v>0</v>
      </c>
      <c r="L28" s="302">
        <f t="shared" si="2"/>
        <v>0</v>
      </c>
      <c r="M28" s="356"/>
      <c r="N28" s="568"/>
      <c r="O28" s="568"/>
      <c r="P28" s="569"/>
      <c r="Q28" s="336">
        <f>P28-H28*VLOOKUP(C28,Unit_Rates!$C$7:$E$39,3,FALSE)</f>
        <v>0</v>
      </c>
      <c r="R28" s="327">
        <v>0</v>
      </c>
      <c r="S28" s="327">
        <v>0</v>
      </c>
      <c r="T28" s="327">
        <v>0</v>
      </c>
      <c r="U28" s="327">
        <v>0</v>
      </c>
      <c r="V28" s="327">
        <v>0</v>
      </c>
      <c r="W28" s="327">
        <v>0</v>
      </c>
      <c r="X28" s="327">
        <v>0</v>
      </c>
      <c r="Y28" s="14">
        <f t="shared" si="3"/>
        <v>0</v>
      </c>
    </row>
    <row r="29" spans="2:33" ht="15" x14ac:dyDescent="0.25">
      <c r="B29" s="232"/>
      <c r="C29" s="171" t="s">
        <v>334</v>
      </c>
      <c r="D29" s="171" t="str">
        <f>INDEX(Unit_Rates!$C$7:$K$54,MATCH($C29,Unit_Rates!$C$7:$C$54,0),5)</f>
        <v>Subtransmission</v>
      </c>
      <c r="E29" s="171" t="str">
        <f>INDEX(Unit_Rates!$C$7:$K$54,MATCH($C29,Unit_Rates!$C$7:$C$54,0),6)</f>
        <v>Augmentation</v>
      </c>
      <c r="F29" s="171" t="str">
        <f t="shared" si="9"/>
        <v>SubtransmissionAugmentation</v>
      </c>
      <c r="G29" s="268">
        <f>INDEX(Unit_Rates!$C$7:$K$54,MATCH($C29,Unit_Rates!$C$7:$C$54,0),7)</f>
        <v>6.8116309209302308</v>
      </c>
      <c r="H29" s="299"/>
      <c r="I29" s="264" t="s">
        <v>292</v>
      </c>
      <c r="J29" s="157"/>
      <c r="K29" s="226">
        <f t="shared" si="10"/>
        <v>0</v>
      </c>
      <c r="L29" s="302">
        <f t="shared" si="2"/>
        <v>0</v>
      </c>
      <c r="M29" s="356"/>
      <c r="N29" s="568"/>
      <c r="O29" s="568"/>
      <c r="P29" s="569"/>
      <c r="Q29" s="336">
        <f>P29-H29*VLOOKUP(C29,Unit_Rates!$C$7:$E$39,3,FALSE)</f>
        <v>0</v>
      </c>
      <c r="R29" s="327">
        <v>0</v>
      </c>
      <c r="S29" s="327">
        <v>0</v>
      </c>
      <c r="T29" s="327">
        <v>0</v>
      </c>
      <c r="U29" s="327">
        <v>0</v>
      </c>
      <c r="V29" s="327">
        <v>0</v>
      </c>
      <c r="W29" s="327">
        <v>0</v>
      </c>
      <c r="X29" s="327">
        <v>0</v>
      </c>
      <c r="Y29" s="14">
        <f t="shared" si="3"/>
        <v>0</v>
      </c>
    </row>
    <row r="30" spans="2:33" ht="15" x14ac:dyDescent="0.25">
      <c r="B30" s="232"/>
      <c r="C30" s="171" t="s">
        <v>504</v>
      </c>
      <c r="D30" s="171" t="str">
        <f>INDEX(Unit_Rates!$C$7:$K$54,MATCH($C30,Unit_Rates!$C$7:$C$54,0),5)</f>
        <v>Subtransmission</v>
      </c>
      <c r="E30" s="171" t="str">
        <f>INDEX(Unit_Rates!$C$7:$K$54,MATCH($C30,Unit_Rates!$C$7:$C$54,0),6)</f>
        <v>Augmentation</v>
      </c>
      <c r="F30" s="171" t="str">
        <f t="shared" si="9"/>
        <v>SubtransmissionAugmentation</v>
      </c>
      <c r="G30" s="268">
        <f>INDEX(Unit_Rates!$C$7:$K$54,MATCH($C30,Unit_Rates!$C$7:$C$54,0),7)</f>
        <v>25.131489871086558</v>
      </c>
      <c r="H30" s="299">
        <v>1</v>
      </c>
      <c r="I30" s="264" t="s">
        <v>292</v>
      </c>
      <c r="J30" s="157"/>
      <c r="K30" s="226">
        <f t="shared" si="10"/>
        <v>25.131489871086558</v>
      </c>
      <c r="L30" s="302">
        <f t="shared" si="2"/>
        <v>0</v>
      </c>
      <c r="M30" s="356"/>
      <c r="N30" s="568"/>
      <c r="O30" s="568"/>
      <c r="P30" s="569"/>
      <c r="Q30" s="336">
        <f>P30-H30*VLOOKUP(C30,Unit_Rates!$C$7:$E$39,3,FALSE)</f>
        <v>0</v>
      </c>
      <c r="R30" s="327">
        <v>0</v>
      </c>
      <c r="S30" s="327">
        <v>0</v>
      </c>
      <c r="T30" s="327">
        <v>0</v>
      </c>
      <c r="U30" s="327">
        <v>0</v>
      </c>
      <c r="V30" s="327">
        <v>0</v>
      </c>
      <c r="W30" s="327">
        <v>0</v>
      </c>
      <c r="X30" s="327">
        <v>0</v>
      </c>
      <c r="Y30" s="14">
        <f t="shared" si="3"/>
        <v>0</v>
      </c>
    </row>
    <row r="31" spans="2:33" ht="15" x14ac:dyDescent="0.25">
      <c r="B31" s="232"/>
      <c r="C31" s="236" t="s">
        <v>493</v>
      </c>
      <c r="D31" s="171" t="str">
        <f>INDEX(Unit_Rates!$C$7:$K$54,MATCH($C31,Unit_Rates!$C$7:$C$54,0),5)</f>
        <v>Subtransmission</v>
      </c>
      <c r="E31" s="171" t="str">
        <f>INDEX(Unit_Rates!$C$7:$K$54,MATCH($C31,Unit_Rates!$C$7:$C$54,0),6)</f>
        <v>Augmentation</v>
      </c>
      <c r="F31" s="171" t="str">
        <f t="shared" ref="F31" si="11">D31&amp;E31</f>
        <v>SubtransmissionAugmentation</v>
      </c>
      <c r="G31" s="268">
        <f>INDEX(Unit_Rates!$C$7:$K$54,MATCH($C31,Unit_Rates!$C$7:$C$54,0),7)</f>
        <v>0</v>
      </c>
      <c r="H31" s="299">
        <f ca="1">OFFSET(Feeder_Vols!$C$6,MATCH($B$3,Feeder_Vols!$B$7:$B$15,0),0)</f>
        <v>7</v>
      </c>
      <c r="I31" s="264" t="s">
        <v>292</v>
      </c>
      <c r="J31" s="157"/>
      <c r="K31" s="226">
        <f t="shared" ref="K31" ca="1" si="12">G31*H31</f>
        <v>0</v>
      </c>
      <c r="L31" s="302">
        <f t="shared" ref="L31" si="13">SUMPRODUCT(R$5:X$5,R31:X31)/Thousands</f>
        <v>0</v>
      </c>
      <c r="M31" s="356"/>
      <c r="N31" s="568"/>
      <c r="O31" s="568"/>
      <c r="P31" s="569"/>
      <c r="Q31" s="336"/>
      <c r="R31" s="327"/>
      <c r="S31" s="327"/>
      <c r="T31" s="327"/>
      <c r="U31" s="327"/>
      <c r="V31" s="327"/>
      <c r="W31" s="327"/>
      <c r="X31" s="327"/>
      <c r="Y31" s="14"/>
    </row>
    <row r="32" spans="2:33" ht="15" x14ac:dyDescent="0.25">
      <c r="B32" s="232"/>
      <c r="C32" s="236" t="s">
        <v>335</v>
      </c>
      <c r="D32" s="171" t="str">
        <f>INDEX(Unit_Rates!$C$7:$K$54,MATCH($C32,Unit_Rates!$C$7:$C$54,0),5)</f>
        <v>Subtransmission</v>
      </c>
      <c r="E32" s="171" t="str">
        <f>INDEX(Unit_Rates!$C$7:$K$54,MATCH($C32,Unit_Rates!$C$7:$C$54,0),6)</f>
        <v>Augmentation</v>
      </c>
      <c r="F32" s="171" t="str">
        <f t="shared" si="9"/>
        <v>SubtransmissionAugmentation</v>
      </c>
      <c r="G32" s="268">
        <f>INDEX(Unit_Rates!$C$7:$K$54,MATCH($C32,Unit_Rates!$C$7:$C$54,0),7)</f>
        <v>0</v>
      </c>
      <c r="H32" s="299">
        <v>6</v>
      </c>
      <c r="I32" s="264" t="s">
        <v>292</v>
      </c>
      <c r="J32" s="157"/>
      <c r="K32" s="226">
        <f t="shared" si="10"/>
        <v>0</v>
      </c>
      <c r="L32" s="302">
        <f t="shared" si="2"/>
        <v>0</v>
      </c>
      <c r="M32" s="356"/>
      <c r="N32" s="568"/>
      <c r="O32" s="568"/>
      <c r="P32" s="569"/>
      <c r="Q32" s="336">
        <f>P32-H32*VLOOKUP(C32,Unit_Rates!$C$7:$E$39,3,FALSE)</f>
        <v>0</v>
      </c>
      <c r="R32" s="327">
        <v>0</v>
      </c>
      <c r="S32" s="327">
        <v>0</v>
      </c>
      <c r="T32" s="327">
        <v>0</v>
      </c>
      <c r="U32" s="327">
        <v>0</v>
      </c>
      <c r="V32" s="327">
        <v>0</v>
      </c>
      <c r="W32" s="327">
        <v>0</v>
      </c>
      <c r="X32" s="327">
        <v>0</v>
      </c>
      <c r="Y32" s="14">
        <f t="shared" si="3"/>
        <v>0</v>
      </c>
    </row>
    <row r="33" spans="2:52" ht="15" x14ac:dyDescent="0.25">
      <c r="B33" s="232"/>
      <c r="C33" s="171" t="s">
        <v>336</v>
      </c>
      <c r="D33" s="171" t="str">
        <f>INDEX(Unit_Rates!$C$7:$K$54,MATCH($C33,Unit_Rates!$C$7:$C$54,0),5)</f>
        <v>Subtransmission</v>
      </c>
      <c r="E33" s="171" t="str">
        <f>INDEX(Unit_Rates!$C$7:$K$54,MATCH($C33,Unit_Rates!$C$7:$C$54,0),6)</f>
        <v>Augmentation</v>
      </c>
      <c r="F33" s="171" t="str">
        <f t="shared" si="9"/>
        <v>SubtransmissionAugmentation</v>
      </c>
      <c r="G33" s="268">
        <f>INDEX(Unit_Rates!$C$7:$K$54,MATCH($C33,Unit_Rates!$C$7:$C$54,0),7)</f>
        <v>0.60844172586161538</v>
      </c>
      <c r="H33" s="299">
        <v>7</v>
      </c>
      <c r="I33" s="264" t="s">
        <v>292</v>
      </c>
      <c r="J33" s="157"/>
      <c r="K33" s="226">
        <f t="shared" si="10"/>
        <v>4.2590920810313078</v>
      </c>
      <c r="L33" s="302">
        <f t="shared" si="2"/>
        <v>0</v>
      </c>
      <c r="M33" s="356"/>
      <c r="N33" s="568"/>
      <c r="O33" s="568"/>
      <c r="P33" s="569"/>
      <c r="Q33" s="336">
        <f>P33-H33*VLOOKUP(C33,Unit_Rates!$C$7:$E$39,3,FALSE)</f>
        <v>0</v>
      </c>
      <c r="R33" s="327">
        <v>0</v>
      </c>
      <c r="S33" s="327">
        <v>0</v>
      </c>
      <c r="T33" s="327">
        <v>0</v>
      </c>
      <c r="U33" s="327">
        <v>0</v>
      </c>
      <c r="V33" s="327">
        <v>0</v>
      </c>
      <c r="W33" s="327">
        <v>0</v>
      </c>
      <c r="X33" s="327">
        <v>0</v>
      </c>
      <c r="Y33" s="14">
        <f t="shared" si="3"/>
        <v>0</v>
      </c>
    </row>
    <row r="34" spans="2:52" ht="15" x14ac:dyDescent="0.25">
      <c r="B34" s="232"/>
      <c r="C34" s="171" t="s">
        <v>495</v>
      </c>
      <c r="D34" s="171" t="str">
        <f>INDEX(Unit_Rates!$C$7:$K$54,MATCH($C34,Unit_Rates!$C$7:$C$54,0),5)</f>
        <v>Subtransmission</v>
      </c>
      <c r="E34" s="171" t="str">
        <f>INDEX(Unit_Rates!$C$7:$K$54,MATCH($C34,Unit_Rates!$C$7:$C$54,0),6)</f>
        <v>Augmentation</v>
      </c>
      <c r="F34" s="171" t="str">
        <f t="shared" si="9"/>
        <v>SubtransmissionAugmentation</v>
      </c>
      <c r="G34" s="268">
        <f>INDEX(Unit_Rates!$C$7:$K$54,MATCH($C34,Unit_Rates!$C$7:$C$54,0),7)</f>
        <v>0</v>
      </c>
      <c r="H34" s="299">
        <v>1</v>
      </c>
      <c r="I34" s="264" t="s">
        <v>292</v>
      </c>
      <c r="J34" s="157"/>
      <c r="K34" s="226">
        <f t="shared" si="10"/>
        <v>0</v>
      </c>
      <c r="L34" s="302">
        <f t="shared" si="2"/>
        <v>0</v>
      </c>
      <c r="M34" s="356"/>
      <c r="N34" s="568"/>
      <c r="O34" s="568"/>
      <c r="P34" s="569"/>
      <c r="Q34" s="336">
        <f>P34-H34*VLOOKUP(C34,Unit_Rates!$C$7:$E$39,3,FALSE)</f>
        <v>0</v>
      </c>
      <c r="R34" s="327">
        <v>0</v>
      </c>
      <c r="S34" s="327">
        <v>0</v>
      </c>
      <c r="T34" s="327">
        <v>0</v>
      </c>
      <c r="U34" s="327">
        <v>0</v>
      </c>
      <c r="V34" s="327">
        <v>0</v>
      </c>
      <c r="W34" s="327">
        <v>0</v>
      </c>
      <c r="X34" s="327">
        <v>0</v>
      </c>
      <c r="Y34" s="14">
        <f t="shared" si="3"/>
        <v>0</v>
      </c>
    </row>
    <row r="35" spans="2:52" x14ac:dyDescent="0.3">
      <c r="B35" s="232"/>
      <c r="C35" s="171" t="s">
        <v>209</v>
      </c>
      <c r="D35" s="171" t="str">
        <f>INDEX(Unit_Rates!$C$7:$K$54,MATCH($C35,Unit_Rates!$C$7:$C$54,0),5)</f>
        <v>Subtransmission</v>
      </c>
      <c r="E35" s="171" t="str">
        <f>INDEX(Unit_Rates!$C$7:$K$54,MATCH($C35,Unit_Rates!$C$7:$C$54,0),6)</f>
        <v>Augmentation</v>
      </c>
      <c r="F35" s="171" t="str">
        <f t="shared" si="4"/>
        <v>SubtransmissionAugmentation</v>
      </c>
      <c r="G35" s="268">
        <f>INDEX(Unit_Rates!$C$7:$K$54,MATCH($C35,Unit_Rates!$C$7:$C$54,0),7)</f>
        <v>94.457808471454882</v>
      </c>
      <c r="H35" s="299">
        <v>1</v>
      </c>
      <c r="I35" s="264" t="s">
        <v>292</v>
      </c>
      <c r="J35" s="157"/>
      <c r="K35" s="226">
        <f t="shared" si="6"/>
        <v>94.457808471454882</v>
      </c>
      <c r="L35" s="302">
        <f t="shared" si="2"/>
        <v>0</v>
      </c>
      <c r="M35" s="356"/>
      <c r="N35" s="568"/>
      <c r="O35" s="568"/>
      <c r="P35" s="569"/>
      <c r="Q35" s="336">
        <f>P35-H35*VLOOKUP(C35,Unit_Rates!$C$7:$E$39,3,FALSE)</f>
        <v>0</v>
      </c>
      <c r="R35" s="327">
        <v>0</v>
      </c>
      <c r="S35" s="327">
        <v>0</v>
      </c>
      <c r="T35" s="327">
        <v>0</v>
      </c>
      <c r="U35" s="327">
        <v>0</v>
      </c>
      <c r="V35" s="327">
        <v>0</v>
      </c>
      <c r="W35" s="327">
        <v>0</v>
      </c>
      <c r="X35" s="327">
        <v>0</v>
      </c>
      <c r="Y35" s="14">
        <f t="shared" si="3"/>
        <v>0</v>
      </c>
    </row>
    <row r="36" spans="2:52" x14ac:dyDescent="0.3">
      <c r="B36" s="232"/>
      <c r="C36" s="171" t="s">
        <v>212</v>
      </c>
      <c r="D36" s="171" t="str">
        <f>INDEX(Unit_Rates!$C$7:$K$54,MATCH($C36,Unit_Rates!$C$7:$C$54,0),5)</f>
        <v>Subtransmission</v>
      </c>
      <c r="E36" s="171" t="str">
        <f>INDEX(Unit_Rates!$C$7:$K$54,MATCH($C36,Unit_Rates!$C$7:$C$54,0),6)</f>
        <v>Augmentation</v>
      </c>
      <c r="F36" s="171" t="str">
        <f t="shared" si="4"/>
        <v>SubtransmissionAugmentation</v>
      </c>
      <c r="G36" s="268">
        <f>INDEX(Unit_Rates!$C$7:$K$54,MATCH($C36,Unit_Rates!$C$7:$C$54,0),7)</f>
        <v>0</v>
      </c>
      <c r="H36" s="299">
        <v>1</v>
      </c>
      <c r="I36" s="264" t="s">
        <v>292</v>
      </c>
      <c r="J36" s="157"/>
      <c r="K36" s="226">
        <f t="shared" si="6"/>
        <v>0</v>
      </c>
      <c r="L36" s="302">
        <f t="shared" si="2"/>
        <v>0</v>
      </c>
      <c r="M36" s="356"/>
      <c r="N36" s="568"/>
      <c r="O36" s="568"/>
      <c r="P36" s="569"/>
      <c r="Q36" s="336">
        <f>P36-H36*VLOOKUP(C36,Unit_Rates!$C$7:$E$39,3,FALSE)</f>
        <v>0</v>
      </c>
      <c r="R36" s="327">
        <v>0</v>
      </c>
      <c r="S36" s="327">
        <v>0</v>
      </c>
      <c r="T36" s="327">
        <v>0</v>
      </c>
      <c r="U36" s="327">
        <v>0</v>
      </c>
      <c r="V36" s="327">
        <v>0</v>
      </c>
      <c r="W36" s="327">
        <v>0</v>
      </c>
      <c r="X36" s="327">
        <v>0</v>
      </c>
      <c r="Y36" s="14">
        <f t="shared" si="3"/>
        <v>0</v>
      </c>
    </row>
    <row r="37" spans="2:52" x14ac:dyDescent="0.3">
      <c r="B37" s="232"/>
      <c r="C37" s="171" t="s">
        <v>363</v>
      </c>
      <c r="D37" s="171" t="str">
        <f>INDEX(Unit_Rates!$C$7:$K$54,MATCH($C37,Unit_Rates!$C$7:$C$54,0),5)</f>
        <v>Subtransmission</v>
      </c>
      <c r="E37" s="171" t="str">
        <f>INDEX(Unit_Rates!$C$7:$K$54,MATCH($C37,Unit_Rates!$C$7:$C$54,0),6)</f>
        <v>Augmentation</v>
      </c>
      <c r="F37" s="171" t="str">
        <f t="shared" si="4"/>
        <v>SubtransmissionAugmentation</v>
      </c>
      <c r="G37" s="268">
        <f>INDEX(Unit_Rates!$C$7:$K$54,MATCH($C37,Unit_Rates!$C$7:$C$54,0),7)</f>
        <v>164.69749581395345</v>
      </c>
      <c r="H37" s="299"/>
      <c r="I37" s="264" t="s">
        <v>292</v>
      </c>
      <c r="J37" s="157"/>
      <c r="K37" s="226">
        <f t="shared" si="6"/>
        <v>0</v>
      </c>
      <c r="L37" s="302">
        <f t="shared" si="2"/>
        <v>0</v>
      </c>
      <c r="M37" s="356"/>
      <c r="N37" s="568"/>
      <c r="O37" s="568"/>
      <c r="P37" s="569"/>
      <c r="Q37" s="336">
        <f>P37-H37*VLOOKUP(C37,Unit_Rates!$C$7:$E$39,3,FALSE)</f>
        <v>0</v>
      </c>
      <c r="R37" s="327">
        <v>0</v>
      </c>
      <c r="S37" s="327">
        <v>0</v>
      </c>
      <c r="T37" s="327">
        <v>0</v>
      </c>
      <c r="U37" s="327">
        <v>0</v>
      </c>
      <c r="V37" s="327">
        <v>0</v>
      </c>
      <c r="W37" s="327">
        <v>0</v>
      </c>
      <c r="X37" s="327">
        <v>0</v>
      </c>
      <c r="Y37" s="14">
        <f t="shared" si="3"/>
        <v>0</v>
      </c>
    </row>
    <row r="38" spans="2:52" x14ac:dyDescent="0.3">
      <c r="B38" s="232"/>
      <c r="C38" s="236" t="s">
        <v>273</v>
      </c>
      <c r="D38" s="171" t="str">
        <f>INDEX(Unit_Rates!$C$7:$K$54,MATCH($C38,Unit_Rates!$C$7:$C$54,0),5)</f>
        <v>Subtransmission</v>
      </c>
      <c r="E38" s="171" t="str">
        <f>INDEX(Unit_Rates!$C$7:$K$54,MATCH($C38,Unit_Rates!$C$7:$C$54,0),6)</f>
        <v>Augmentation</v>
      </c>
      <c r="F38" s="171" t="str">
        <f t="shared" si="4"/>
        <v>SubtransmissionAugmentation</v>
      </c>
      <c r="G38" s="268">
        <f>INDEX(Unit_Rates!$C$7:$K$54,MATCH($C38,Unit_Rates!$C$7:$C$54,0),7)</f>
        <v>362.24270165745855</v>
      </c>
      <c r="H38" s="299"/>
      <c r="I38" s="264" t="s">
        <v>292</v>
      </c>
      <c r="J38" s="157"/>
      <c r="K38" s="226">
        <f t="shared" si="6"/>
        <v>0</v>
      </c>
      <c r="L38" s="302">
        <f t="shared" si="2"/>
        <v>0</v>
      </c>
      <c r="M38" s="356"/>
      <c r="N38" s="568"/>
      <c r="O38" s="568"/>
      <c r="P38" s="569"/>
      <c r="Q38" s="336">
        <f>P38-H38*VLOOKUP(C38,Unit_Rates!$C$7:$E$39,3,FALSE)</f>
        <v>0</v>
      </c>
      <c r="R38" s="327">
        <v>0</v>
      </c>
      <c r="S38" s="327">
        <v>0</v>
      </c>
      <c r="T38" s="327">
        <v>0</v>
      </c>
      <c r="U38" s="327">
        <v>0</v>
      </c>
      <c r="V38" s="327">
        <v>0</v>
      </c>
      <c r="W38" s="327">
        <v>0</v>
      </c>
      <c r="X38" s="327">
        <v>0</v>
      </c>
      <c r="Y38" s="14">
        <f t="shared" si="3"/>
        <v>0</v>
      </c>
    </row>
    <row r="39" spans="2:52" x14ac:dyDescent="0.3">
      <c r="B39" s="232"/>
      <c r="C39" s="171" t="s">
        <v>303</v>
      </c>
      <c r="D39" s="171" t="s">
        <v>18</v>
      </c>
      <c r="E39" s="171" t="s">
        <v>42</v>
      </c>
      <c r="F39" s="171" t="str">
        <f t="shared" si="4"/>
        <v>SubtransmissionAugmentation</v>
      </c>
      <c r="G39" s="441">
        <v>9.0452369190770224E-2</v>
      </c>
      <c r="H39" s="299">
        <v>850</v>
      </c>
      <c r="I39" s="264" t="s">
        <v>318</v>
      </c>
      <c r="J39" s="157"/>
      <c r="K39" s="226">
        <f t="shared" si="6"/>
        <v>76.884513812154694</v>
      </c>
      <c r="L39" s="302">
        <f t="shared" si="2"/>
        <v>0</v>
      </c>
      <c r="M39" s="356"/>
      <c r="N39" s="568"/>
      <c r="O39" s="573"/>
      <c r="P39" s="569"/>
      <c r="Q39" s="290"/>
      <c r="R39" s="327">
        <v>0</v>
      </c>
      <c r="S39" s="327">
        <v>0</v>
      </c>
      <c r="T39" s="327">
        <v>0</v>
      </c>
      <c r="U39" s="327">
        <v>0</v>
      </c>
      <c r="V39" s="327">
        <v>0</v>
      </c>
      <c r="W39" s="327">
        <v>0</v>
      </c>
      <c r="X39" s="327">
        <v>0</v>
      </c>
      <c r="Y39" s="14">
        <f t="shared" si="3"/>
        <v>0</v>
      </c>
      <c r="AO39" s="236"/>
      <c r="AP39" s="318"/>
      <c r="AQ39" s="546"/>
      <c r="AR39" s="318"/>
      <c r="AS39" s="318"/>
      <c r="AT39" s="318"/>
      <c r="AU39" s="318"/>
      <c r="AV39" s="318"/>
      <c r="AW39" s="318"/>
      <c r="AX39" s="547"/>
      <c r="AY39" s="548"/>
      <c r="AZ39" s="318"/>
    </row>
    <row r="40" spans="2:52" x14ac:dyDescent="0.3">
      <c r="B40" s="232"/>
      <c r="C40" s="171" t="s">
        <v>60</v>
      </c>
      <c r="D40" s="171" t="s">
        <v>18</v>
      </c>
      <c r="E40" s="171" t="s">
        <v>42</v>
      </c>
      <c r="F40" s="171" t="str">
        <f t="shared" si="4"/>
        <v>SubtransmissionAugmentation</v>
      </c>
      <c r="G40" s="441">
        <v>1.5724972375690609</v>
      </c>
      <c r="H40" s="299">
        <v>1</v>
      </c>
      <c r="I40" s="264" t="s">
        <v>292</v>
      </c>
      <c r="J40" s="157"/>
      <c r="K40" s="226">
        <f t="shared" si="6"/>
        <v>1.5724972375690609</v>
      </c>
      <c r="L40" s="227">
        <f t="shared" si="2"/>
        <v>0</v>
      </c>
      <c r="M40" s="356"/>
      <c r="N40" s="568"/>
      <c r="O40" s="573"/>
      <c r="P40" s="569"/>
      <c r="Q40" s="290"/>
      <c r="R40" s="327">
        <v>0</v>
      </c>
      <c r="S40" s="327">
        <v>0</v>
      </c>
      <c r="T40" s="327">
        <v>0</v>
      </c>
      <c r="U40" s="327">
        <v>0</v>
      </c>
      <c r="V40" s="327">
        <v>0</v>
      </c>
      <c r="W40" s="327">
        <v>0</v>
      </c>
      <c r="X40" s="327">
        <v>0</v>
      </c>
      <c r="Y40" s="14">
        <f t="shared" si="3"/>
        <v>0</v>
      </c>
      <c r="AO40" s="236"/>
      <c r="AP40" s="318"/>
      <c r="AQ40" s="274"/>
      <c r="AR40" s="549"/>
      <c r="AS40" s="236"/>
      <c r="AT40" s="549"/>
      <c r="AU40" s="549"/>
      <c r="AV40" s="549"/>
      <c r="AW40" s="415"/>
      <c r="AX40" s="547"/>
      <c r="AY40" s="236"/>
      <c r="AZ40" s="416"/>
    </row>
    <row r="41" spans="2:52" x14ac:dyDescent="0.3">
      <c r="B41" s="232"/>
      <c r="C41" s="171"/>
      <c r="D41" s="171"/>
      <c r="E41" s="171"/>
      <c r="F41" s="171"/>
      <c r="G41" s="268"/>
      <c r="H41" s="232"/>
      <c r="I41" s="224"/>
      <c r="J41" s="157"/>
      <c r="K41" s="225"/>
      <c r="L41" s="224"/>
      <c r="M41" s="224"/>
      <c r="N41" s="225"/>
      <c r="O41" s="225"/>
      <c r="P41" s="224"/>
      <c r="Q41" s="291"/>
      <c r="R41" s="326"/>
      <c r="S41" s="326"/>
      <c r="T41" s="326"/>
      <c r="U41" s="326"/>
      <c r="V41" s="326"/>
      <c r="W41" s="326"/>
      <c r="X41" s="326"/>
      <c r="AO41" s="236"/>
      <c r="AP41" s="318"/>
      <c r="AQ41" s="274"/>
      <c r="AR41" s="549"/>
      <c r="AS41" s="549"/>
      <c r="AT41" s="549"/>
      <c r="AU41" s="549"/>
      <c r="AV41" s="549"/>
      <c r="AW41" s="415"/>
      <c r="AX41" s="547"/>
      <c r="AY41" s="236"/>
      <c r="AZ41" s="416"/>
    </row>
    <row r="42" spans="2:52" x14ac:dyDescent="0.3">
      <c r="B42" s="251" t="s">
        <v>307</v>
      </c>
      <c r="C42" s="171"/>
      <c r="D42" s="171"/>
      <c r="E42" s="171"/>
      <c r="F42" s="171"/>
      <c r="G42" s="268"/>
      <c r="H42" s="277"/>
      <c r="I42" s="266"/>
      <c r="J42" s="274"/>
      <c r="K42" s="226"/>
      <c r="L42" s="226"/>
      <c r="M42" s="226"/>
      <c r="N42" s="281"/>
      <c r="O42" s="226"/>
      <c r="P42" s="223"/>
      <c r="Q42" s="290"/>
      <c r="R42" s="326"/>
      <c r="S42" s="326"/>
      <c r="T42" s="326"/>
      <c r="U42" s="326"/>
      <c r="V42" s="326"/>
      <c r="W42" s="326"/>
      <c r="X42" s="326"/>
      <c r="AO42" s="236"/>
      <c r="AP42" s="318"/>
      <c r="AQ42" s="274"/>
      <c r="AR42" s="549"/>
      <c r="AS42" s="549"/>
      <c r="AT42" s="549"/>
      <c r="AU42" s="549"/>
      <c r="AV42" s="549"/>
      <c r="AW42" s="415"/>
      <c r="AX42" s="547"/>
      <c r="AY42" s="236"/>
      <c r="AZ42" s="416"/>
    </row>
    <row r="43" spans="2:52" x14ac:dyDescent="0.3">
      <c r="B43" s="232"/>
      <c r="C43" s="276" t="s">
        <v>499</v>
      </c>
      <c r="D43" s="171" t="str">
        <f>INDEX(Unit_Rates!$C$7:$K$54,MATCH($C43,Unit_Rates!$C$7:$C$54,0),5)</f>
        <v>SCADA/Network control</v>
      </c>
      <c r="E43" s="171" t="str">
        <f>INDEX(Unit_Rates!$C$7:$K$54,MATCH($C43,Unit_Rates!$C$7:$C$54,0),6)</f>
        <v>Augmentation</v>
      </c>
      <c r="F43" s="276" t="str">
        <f t="shared" ref="F43:F49" si="14">D43&amp;E43</f>
        <v>SCADA/Network controlAugmentation</v>
      </c>
      <c r="G43" s="268">
        <f>INDEX(Unit_Rates!$C$7:$K$54,MATCH($C43,Unit_Rates!$C$7:$C$54,0),7)</f>
        <v>46.208057090239414</v>
      </c>
      <c r="H43" s="299">
        <v>1</v>
      </c>
      <c r="I43" s="264" t="s">
        <v>292</v>
      </c>
      <c r="J43" s="157"/>
      <c r="K43" s="225">
        <f>G43*H43</f>
        <v>46.208057090239414</v>
      </c>
      <c r="L43" s="225">
        <f t="shared" ref="L43:L49" si="15">SUMPRODUCT(R$5:X$5,R43:X43)/Thousands</f>
        <v>0</v>
      </c>
      <c r="M43" s="307"/>
      <c r="N43" s="568"/>
      <c r="O43" s="568"/>
      <c r="P43" s="569"/>
      <c r="Q43" s="336">
        <f>P43-H43*VLOOKUP(C43,Unit_Rates!$C$44:$E$54,3,FALSE)</f>
        <v>0</v>
      </c>
      <c r="R43" s="327">
        <v>0</v>
      </c>
      <c r="S43" s="327">
        <v>0</v>
      </c>
      <c r="T43" s="327">
        <v>0</v>
      </c>
      <c r="U43" s="327">
        <v>0</v>
      </c>
      <c r="V43" s="327">
        <v>0</v>
      </c>
      <c r="W43" s="327">
        <v>0</v>
      </c>
      <c r="X43" s="327">
        <v>0</v>
      </c>
      <c r="Y43" s="14">
        <f t="shared" ref="Y43:Y49" si="16">SUM(R43:X43)</f>
        <v>0</v>
      </c>
      <c r="AO43" s="236"/>
      <c r="AP43" s="318"/>
      <c r="AQ43" s="274"/>
      <c r="AR43" s="550"/>
      <c r="AS43" s="550"/>
      <c r="AT43" s="550"/>
      <c r="AU43" s="550"/>
      <c r="AV43" s="550"/>
      <c r="AW43" s="415"/>
      <c r="AX43" s="547"/>
      <c r="AY43" s="236"/>
      <c r="AZ43" s="416"/>
    </row>
    <row r="44" spans="2:52" x14ac:dyDescent="0.3">
      <c r="B44" s="232"/>
      <c r="C44" s="276" t="s">
        <v>319</v>
      </c>
      <c r="D44" s="171" t="str">
        <f>INDEX(Unit_Rates!$C$7:$K$54,MATCH($C44,Unit_Rates!$C$7:$C$54,0),5)</f>
        <v>SCADA/Network control</v>
      </c>
      <c r="E44" s="171" t="str">
        <f>INDEX(Unit_Rates!$C$7:$K$54,MATCH($C44,Unit_Rates!$C$7:$C$54,0),6)</f>
        <v>Augmentation</v>
      </c>
      <c r="F44" s="276" t="str">
        <f t="shared" si="14"/>
        <v>SCADA/Network controlAugmentation</v>
      </c>
      <c r="G44" s="268">
        <f>INDEX(Unit_Rates!$C$7:$K$54,MATCH($C44,Unit_Rates!$C$7:$C$54,0),7)</f>
        <v>5.88950276243094</v>
      </c>
      <c r="H44" s="299">
        <v>1</v>
      </c>
      <c r="I44" s="264" t="s">
        <v>292</v>
      </c>
      <c r="J44" s="157"/>
      <c r="K44" s="225">
        <f>G44*H44</f>
        <v>5.88950276243094</v>
      </c>
      <c r="L44" s="225">
        <f t="shared" si="15"/>
        <v>0</v>
      </c>
      <c r="M44" s="307"/>
      <c r="N44" s="568"/>
      <c r="O44" s="568"/>
      <c r="P44" s="569"/>
      <c r="Q44" s="336">
        <f>P44-H44*VLOOKUP(C44,Unit_Rates!$C$44:$E$54,3,FALSE)</f>
        <v>0</v>
      </c>
      <c r="R44" s="327">
        <v>0</v>
      </c>
      <c r="S44" s="327">
        <v>0</v>
      </c>
      <c r="T44" s="327">
        <v>0</v>
      </c>
      <c r="U44" s="327">
        <v>0</v>
      </c>
      <c r="V44" s="327">
        <v>0</v>
      </c>
      <c r="W44" s="327">
        <v>0</v>
      </c>
      <c r="X44" s="327">
        <v>0</v>
      </c>
      <c r="Y44" s="14">
        <f t="shared" si="16"/>
        <v>0</v>
      </c>
      <c r="AO44" s="236"/>
      <c r="AP44" s="236"/>
      <c r="AQ44" s="236"/>
      <c r="AR44" s="236"/>
      <c r="AS44" s="236"/>
      <c r="AT44" s="236"/>
      <c r="AU44" s="236"/>
      <c r="AV44" s="236"/>
      <c r="AW44" s="415"/>
      <c r="AX44" s="236"/>
      <c r="AY44" s="236"/>
      <c r="AZ44" s="416"/>
    </row>
    <row r="45" spans="2:52" x14ac:dyDescent="0.3">
      <c r="B45" s="232"/>
      <c r="C45" s="276" t="s">
        <v>321</v>
      </c>
      <c r="D45" s="171" t="str">
        <f>INDEX(Unit_Rates!$C$7:$K$54,MATCH($C45,Unit_Rates!$C$7:$C$54,0),5)</f>
        <v>SCADA/Network control</v>
      </c>
      <c r="E45" s="171" t="str">
        <f>INDEX(Unit_Rates!$C$7:$K$54,MATCH($C45,Unit_Rates!$C$7:$C$54,0),6)</f>
        <v>Augmentation</v>
      </c>
      <c r="F45" s="276" t="str">
        <f t="shared" ref="F45:F46" si="17">D45&amp;E45</f>
        <v>SCADA/Network controlAugmentation</v>
      </c>
      <c r="G45" s="268">
        <f>INDEX(Unit_Rates!$C$7:$K$54,MATCH($C45,Unit_Rates!$C$7:$C$54,0),7)</f>
        <v>8.2030957642725593</v>
      </c>
      <c r="H45" s="299">
        <v>2</v>
      </c>
      <c r="I45" s="264" t="s">
        <v>292</v>
      </c>
      <c r="J45" s="157"/>
      <c r="K45" s="225">
        <f t="shared" ref="K45:K46" si="18">G45*H45</f>
        <v>16.406191528545119</v>
      </c>
      <c r="L45" s="225">
        <f t="shared" si="15"/>
        <v>0</v>
      </c>
      <c r="M45" s="307"/>
      <c r="N45" s="568"/>
      <c r="O45" s="568"/>
      <c r="P45" s="569"/>
      <c r="Q45" s="336">
        <f>P45-H45*VLOOKUP(C45,Unit_Rates!$C$44:$E$54,3,FALSE)</f>
        <v>0</v>
      </c>
      <c r="R45" s="327">
        <v>0</v>
      </c>
      <c r="S45" s="327">
        <v>0</v>
      </c>
      <c r="T45" s="327">
        <v>0</v>
      </c>
      <c r="U45" s="327">
        <v>0</v>
      </c>
      <c r="V45" s="327">
        <v>0</v>
      </c>
      <c r="W45" s="327">
        <v>0</v>
      </c>
      <c r="X45" s="327">
        <v>0</v>
      </c>
      <c r="Y45" s="14">
        <f t="shared" si="16"/>
        <v>0</v>
      </c>
      <c r="AO45" s="236"/>
      <c r="AP45" s="236"/>
      <c r="AQ45" s="236"/>
      <c r="AR45" s="236"/>
      <c r="AS45" s="236"/>
      <c r="AT45" s="236"/>
      <c r="AU45" s="236"/>
      <c r="AV45" s="236"/>
      <c r="AW45" s="415"/>
      <c r="AX45" s="236"/>
      <c r="AY45" s="236"/>
      <c r="AZ45" s="416"/>
    </row>
    <row r="46" spans="2:52" x14ac:dyDescent="0.3">
      <c r="B46" s="232"/>
      <c r="C46" s="276" t="s">
        <v>520</v>
      </c>
      <c r="D46" s="171" t="str">
        <f>INDEX(Unit_Rates!$C$7:$K$54,MATCH($C46,Unit_Rates!$C$7:$C$54,0),5)</f>
        <v>SCADA/Network control</v>
      </c>
      <c r="E46" s="171" t="str">
        <f>INDEX(Unit_Rates!$C$7:$K$54,MATCH($C46,Unit_Rates!$C$7:$C$54,0),6)</f>
        <v>Augmentation</v>
      </c>
      <c r="F46" s="276" t="str">
        <f t="shared" si="17"/>
        <v>SCADA/Network controlAugmentation</v>
      </c>
      <c r="G46" s="268">
        <f>INDEX(Unit_Rates!$C$7:$K$54,MATCH($C46,Unit_Rates!$C$7:$C$54,0),7)</f>
        <v>92.456849907918979</v>
      </c>
      <c r="H46" s="299">
        <v>2</v>
      </c>
      <c r="I46" s="264" t="s">
        <v>292</v>
      </c>
      <c r="J46" s="157"/>
      <c r="K46" s="225">
        <f t="shared" si="18"/>
        <v>184.91369981583796</v>
      </c>
      <c r="L46" s="225">
        <f t="shared" si="15"/>
        <v>0</v>
      </c>
      <c r="M46" s="307"/>
      <c r="N46" s="568"/>
      <c r="O46" s="568"/>
      <c r="P46" s="569"/>
      <c r="Q46" s="336">
        <f>P46-H46*VLOOKUP(C46,Unit_Rates!$C$44:$E$54,3,FALSE)</f>
        <v>0</v>
      </c>
      <c r="R46" s="327">
        <v>0</v>
      </c>
      <c r="S46" s="327">
        <v>0</v>
      </c>
      <c r="T46" s="327">
        <v>0</v>
      </c>
      <c r="U46" s="327">
        <v>0</v>
      </c>
      <c r="V46" s="327">
        <v>0</v>
      </c>
      <c r="W46" s="327">
        <v>0</v>
      </c>
      <c r="X46" s="327">
        <v>0</v>
      </c>
      <c r="Y46" s="14">
        <f t="shared" si="16"/>
        <v>0</v>
      </c>
      <c r="AO46" s="236"/>
      <c r="AP46" s="236"/>
      <c r="AQ46" s="236"/>
      <c r="AR46" s="236"/>
      <c r="AS46" s="236"/>
      <c r="AT46" s="236"/>
      <c r="AU46" s="236"/>
      <c r="AV46" s="236"/>
      <c r="AW46" s="415"/>
      <c r="AX46" s="236"/>
      <c r="AY46" s="236"/>
      <c r="AZ46" s="416"/>
    </row>
    <row r="47" spans="2:52" x14ac:dyDescent="0.3">
      <c r="B47" s="232"/>
      <c r="C47" s="171" t="s">
        <v>324</v>
      </c>
      <c r="D47" s="276" t="s">
        <v>22</v>
      </c>
      <c r="E47" s="276" t="s">
        <v>42</v>
      </c>
      <c r="F47" s="276" t="s">
        <v>180</v>
      </c>
      <c r="G47" s="441">
        <v>15.214548802946593</v>
      </c>
      <c r="H47" s="299">
        <v>1</v>
      </c>
      <c r="I47" s="264" t="s">
        <v>292</v>
      </c>
      <c r="J47" s="157"/>
      <c r="K47" s="225">
        <f t="shared" ref="K47:K48" si="19">G47*H47</f>
        <v>15.214548802946593</v>
      </c>
      <c r="L47" s="225">
        <f t="shared" si="15"/>
        <v>0</v>
      </c>
      <c r="M47" s="307"/>
      <c r="N47" s="568"/>
      <c r="O47" s="573"/>
      <c r="P47" s="569"/>
      <c r="Q47" s="290"/>
      <c r="R47" s="327">
        <v>0</v>
      </c>
      <c r="S47" s="327">
        <v>0</v>
      </c>
      <c r="T47" s="327">
        <v>0</v>
      </c>
      <c r="U47" s="327">
        <v>0</v>
      </c>
      <c r="V47" s="327"/>
      <c r="W47" s="327">
        <v>0</v>
      </c>
      <c r="X47" s="327">
        <v>0</v>
      </c>
      <c r="Y47" s="14">
        <f t="shared" si="16"/>
        <v>0</v>
      </c>
      <c r="AO47" s="236"/>
      <c r="AP47" s="236"/>
      <c r="AQ47" s="236"/>
      <c r="AR47" s="236"/>
      <c r="AS47" s="236"/>
      <c r="AT47" s="236"/>
      <c r="AU47" s="236"/>
      <c r="AV47" s="236"/>
      <c r="AW47" s="415"/>
      <c r="AX47" s="236"/>
      <c r="AY47" s="236"/>
      <c r="AZ47" s="416"/>
    </row>
    <row r="48" spans="2:52" x14ac:dyDescent="0.3">
      <c r="B48" s="232"/>
      <c r="C48" s="171" t="s">
        <v>322</v>
      </c>
      <c r="D48" s="276" t="s">
        <v>22</v>
      </c>
      <c r="E48" s="276" t="s">
        <v>42</v>
      </c>
      <c r="F48" s="276" t="str">
        <f t="shared" si="14"/>
        <v>SCADA/Network controlAugmentation</v>
      </c>
      <c r="G48" s="441">
        <v>14.723756906077348</v>
      </c>
      <c r="H48" s="299">
        <v>1</v>
      </c>
      <c r="I48" s="264" t="s">
        <v>292</v>
      </c>
      <c r="J48" s="157"/>
      <c r="K48" s="225">
        <f t="shared" si="19"/>
        <v>14.723756906077348</v>
      </c>
      <c r="L48" s="225">
        <f t="shared" si="15"/>
        <v>0</v>
      </c>
      <c r="M48" s="307"/>
      <c r="N48" s="568"/>
      <c r="O48" s="573"/>
      <c r="P48" s="569"/>
      <c r="Q48" s="290"/>
      <c r="R48" s="327">
        <v>0</v>
      </c>
      <c r="S48" s="327">
        <v>0</v>
      </c>
      <c r="T48" s="327">
        <v>0</v>
      </c>
      <c r="U48" s="327">
        <v>0</v>
      </c>
      <c r="V48" s="327">
        <v>0</v>
      </c>
      <c r="W48" s="327">
        <v>0</v>
      </c>
      <c r="X48" s="327">
        <v>0</v>
      </c>
      <c r="Y48" s="14">
        <f t="shared" si="16"/>
        <v>0</v>
      </c>
      <c r="AO48" s="236"/>
      <c r="AP48" s="236"/>
      <c r="AQ48" s="236"/>
      <c r="AR48" s="551"/>
      <c r="AS48" s="551"/>
      <c r="AT48" s="551"/>
      <c r="AU48" s="551"/>
      <c r="AV48" s="551"/>
      <c r="AW48" s="551"/>
      <c r="AX48" s="547"/>
      <c r="AY48" s="236"/>
      <c r="AZ48" s="416"/>
    </row>
    <row r="49" spans="2:52" x14ac:dyDescent="0.3">
      <c r="B49" s="251" t="s">
        <v>281</v>
      </c>
      <c r="C49" s="171"/>
      <c r="D49" s="236" t="s">
        <v>18</v>
      </c>
      <c r="E49" s="236" t="s">
        <v>42</v>
      </c>
      <c r="F49" s="236" t="str">
        <f t="shared" si="14"/>
        <v>SubtransmissionAugmentation</v>
      </c>
      <c r="G49" s="441"/>
      <c r="H49" s="299"/>
      <c r="I49" s="264" t="s">
        <v>292</v>
      </c>
      <c r="J49" s="157"/>
      <c r="K49" s="225">
        <f>G49*H49</f>
        <v>0</v>
      </c>
      <c r="L49" s="225">
        <f t="shared" si="15"/>
        <v>0</v>
      </c>
      <c r="M49" s="307"/>
      <c r="N49" s="568"/>
      <c r="O49" s="573"/>
      <c r="P49" s="569"/>
      <c r="Q49" s="290"/>
      <c r="R49" s="327">
        <v>0</v>
      </c>
      <c r="S49" s="327">
        <v>0</v>
      </c>
      <c r="T49" s="327">
        <v>0</v>
      </c>
      <c r="U49" s="327">
        <v>0</v>
      </c>
      <c r="V49" s="327">
        <v>0</v>
      </c>
      <c r="W49" s="327">
        <v>0</v>
      </c>
      <c r="X49" s="327">
        <v>0</v>
      </c>
      <c r="Y49" s="14">
        <f t="shared" si="16"/>
        <v>0</v>
      </c>
      <c r="AO49" s="236"/>
      <c r="AP49" s="236"/>
      <c r="AQ49" s="552"/>
      <c r="AR49" s="553"/>
      <c r="AS49" s="553"/>
      <c r="AT49" s="553"/>
      <c r="AU49" s="553"/>
      <c r="AV49" s="553"/>
      <c r="AW49" s="553"/>
      <c r="AX49" s="236"/>
      <c r="AY49" s="236"/>
      <c r="AZ49" s="554"/>
    </row>
    <row r="50" spans="2:52" x14ac:dyDescent="0.3">
      <c r="B50" s="251" t="s">
        <v>312</v>
      </c>
      <c r="C50" s="171"/>
      <c r="D50" s="171"/>
      <c r="E50" s="171"/>
      <c r="F50" s="171"/>
      <c r="G50" s="265"/>
      <c r="H50" s="232"/>
      <c r="I50" s="224"/>
      <c r="J50" s="171"/>
      <c r="K50" s="225"/>
      <c r="L50" s="225"/>
      <c r="M50" s="225"/>
      <c r="N50" s="222"/>
      <c r="O50" s="225"/>
      <c r="P50" s="223"/>
      <c r="Q50" s="290"/>
      <c r="R50" s="326"/>
      <c r="S50" s="326"/>
      <c r="T50" s="326"/>
      <c r="U50" s="326"/>
      <c r="V50" s="326"/>
      <c r="W50" s="326"/>
      <c r="X50" s="32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</row>
    <row r="51" spans="2:52" x14ac:dyDescent="0.3">
      <c r="B51" s="232"/>
      <c r="C51" s="171" t="s">
        <v>325</v>
      </c>
      <c r="D51" s="171" t="s">
        <v>18</v>
      </c>
      <c r="E51" s="276" t="s">
        <v>42</v>
      </c>
      <c r="F51" s="276" t="str">
        <f t="shared" ref="F51:F55" si="20">D51&amp;E51</f>
        <v>SubtransmissionAugmentation</v>
      </c>
      <c r="G51" s="441">
        <v>0</v>
      </c>
      <c r="H51" s="299"/>
      <c r="I51" s="264" t="s">
        <v>292</v>
      </c>
      <c r="J51" s="171"/>
      <c r="K51" s="225">
        <f>G51*H51</f>
        <v>0</v>
      </c>
      <c r="L51" s="225">
        <f>SUMPRODUCT(R$5:X$5,R51:X51)/Thousands</f>
        <v>0</v>
      </c>
      <c r="M51" s="307"/>
      <c r="N51" s="568"/>
      <c r="O51" s="573"/>
      <c r="P51" s="569"/>
      <c r="Q51" s="290"/>
      <c r="R51" s="327">
        <v>0</v>
      </c>
      <c r="S51" s="327">
        <v>0</v>
      </c>
      <c r="T51" s="327">
        <v>0</v>
      </c>
      <c r="U51" s="327">
        <v>0</v>
      </c>
      <c r="V51" s="327">
        <v>0</v>
      </c>
      <c r="W51" s="327">
        <v>0</v>
      </c>
      <c r="X51" s="327">
        <v>0</v>
      </c>
      <c r="Y51" s="14">
        <f t="shared" ref="Y51:Y55" si="21">SUM(R51:X51)</f>
        <v>0</v>
      </c>
    </row>
    <row r="52" spans="2:52" x14ac:dyDescent="0.3">
      <c r="B52" s="232"/>
      <c r="C52" s="236" t="s">
        <v>316</v>
      </c>
      <c r="D52" s="236" t="str">
        <f>Unit_Rates!G39</f>
        <v>Subtransmission</v>
      </c>
      <c r="E52" s="236" t="str">
        <f>Unit_Rates!H39</f>
        <v>Augmentation</v>
      </c>
      <c r="F52" s="236" t="str">
        <f t="shared" si="20"/>
        <v>SubtransmissionAugmentation</v>
      </c>
      <c r="G52" s="268">
        <f>Unit_Rates!$I$39</f>
        <v>123.95348837209301</v>
      </c>
      <c r="H52" s="299"/>
      <c r="I52" s="264" t="s">
        <v>292</v>
      </c>
      <c r="J52" s="171"/>
      <c r="K52" s="225">
        <f>G52*H52</f>
        <v>0</v>
      </c>
      <c r="L52" s="225">
        <f>SUMPRODUCT(R$5:X$5,R52:X52)/Thousands</f>
        <v>0</v>
      </c>
      <c r="M52" s="307"/>
      <c r="N52" s="568"/>
      <c r="O52" s="568"/>
      <c r="P52" s="569"/>
      <c r="Q52" s="336">
        <f>P52-H52*VLOOKUP("Oil separator",Unit_Rates!$C$7:$E$39,3,FALSE)</f>
        <v>0</v>
      </c>
      <c r="R52" s="327">
        <v>0</v>
      </c>
      <c r="S52" s="327">
        <v>0</v>
      </c>
      <c r="T52" s="327">
        <v>0</v>
      </c>
      <c r="U52" s="327">
        <v>0</v>
      </c>
      <c r="V52" s="327">
        <v>0</v>
      </c>
      <c r="W52" s="327">
        <v>0</v>
      </c>
      <c r="X52" s="327">
        <v>0</v>
      </c>
      <c r="Y52" s="14">
        <f t="shared" si="21"/>
        <v>0</v>
      </c>
    </row>
    <row r="53" spans="2:52" x14ac:dyDescent="0.3">
      <c r="B53" s="232"/>
      <c r="C53" s="296" t="s">
        <v>317</v>
      </c>
      <c r="D53" s="171" t="s">
        <v>18</v>
      </c>
      <c r="E53" s="276" t="s">
        <v>42</v>
      </c>
      <c r="F53" s="276" t="str">
        <f t="shared" si="20"/>
        <v>SubtransmissionAugmentation</v>
      </c>
      <c r="G53" s="441">
        <v>0</v>
      </c>
      <c r="H53" s="299">
        <v>1</v>
      </c>
      <c r="I53" s="264" t="s">
        <v>292</v>
      </c>
      <c r="J53" s="171"/>
      <c r="K53" s="225">
        <f>G53*H53</f>
        <v>0</v>
      </c>
      <c r="L53" s="225">
        <f>SUMPRODUCT(R$5:X$5,R53:X53)/Thousands</f>
        <v>0</v>
      </c>
      <c r="M53" s="307"/>
      <c r="N53" s="568"/>
      <c r="O53" s="573"/>
      <c r="P53" s="569"/>
      <c r="Q53" s="290"/>
      <c r="R53" s="327">
        <v>0</v>
      </c>
      <c r="S53" s="327">
        <v>0</v>
      </c>
      <c r="T53" s="327">
        <v>0</v>
      </c>
      <c r="U53" s="327">
        <v>0</v>
      </c>
      <c r="V53" s="327">
        <v>0</v>
      </c>
      <c r="W53" s="327">
        <v>0</v>
      </c>
      <c r="X53" s="327">
        <v>0</v>
      </c>
      <c r="Y53" s="14">
        <f t="shared" si="21"/>
        <v>0</v>
      </c>
    </row>
    <row r="54" spans="2:52" x14ac:dyDescent="0.3">
      <c r="B54" s="313" t="s">
        <v>284</v>
      </c>
      <c r="C54" s="296"/>
      <c r="D54" s="171" t="s">
        <v>18</v>
      </c>
      <c r="E54" s="276" t="s">
        <v>42</v>
      </c>
      <c r="F54" s="276" t="str">
        <f t="shared" si="20"/>
        <v>SubtransmissionAugmentation</v>
      </c>
      <c r="G54" s="268">
        <v>0</v>
      </c>
      <c r="H54" s="299">
        <v>1</v>
      </c>
      <c r="I54" s="264" t="s">
        <v>292</v>
      </c>
      <c r="J54" s="171"/>
      <c r="K54" s="228">
        <v>0</v>
      </c>
      <c r="L54" s="228">
        <f>SUMPRODUCT(R$5:X$5,R54:X54)/Thousands</f>
        <v>0</v>
      </c>
      <c r="M54" s="312"/>
      <c r="N54" s="568"/>
      <c r="O54" s="566"/>
      <c r="P54" s="569"/>
      <c r="Q54" s="290"/>
      <c r="R54" s="327">
        <v>0</v>
      </c>
      <c r="S54" s="327">
        <v>0</v>
      </c>
      <c r="T54" s="327">
        <v>0</v>
      </c>
      <c r="U54" s="327">
        <v>0</v>
      </c>
      <c r="V54" s="327">
        <v>0</v>
      </c>
      <c r="W54" s="327">
        <v>0</v>
      </c>
      <c r="X54" s="327">
        <v>0</v>
      </c>
      <c r="Y54" s="14">
        <f t="shared" si="21"/>
        <v>0</v>
      </c>
      <c r="AN54" s="45"/>
      <c r="AO54" s="45"/>
      <c r="AP54" s="538"/>
      <c r="AQ54" s="544"/>
      <c r="AR54" s="538"/>
      <c r="AS54" s="538"/>
      <c r="AT54" s="538"/>
      <c r="AU54" s="538"/>
      <c r="AV54" s="538"/>
      <c r="AW54" s="538"/>
      <c r="AX54" s="418"/>
      <c r="AY54" s="45"/>
    </row>
    <row r="55" spans="2:52" x14ac:dyDescent="0.3">
      <c r="B55" s="251" t="s">
        <v>268</v>
      </c>
      <c r="C55" s="171"/>
      <c r="D55" s="171" t="s">
        <v>195</v>
      </c>
      <c r="E55" s="276" t="s">
        <v>66</v>
      </c>
      <c r="F55" s="276" t="str">
        <f t="shared" si="20"/>
        <v>LandNon-Network</v>
      </c>
      <c r="G55" s="268">
        <v>0</v>
      </c>
      <c r="H55" s="299"/>
      <c r="I55" s="264" t="s">
        <v>292</v>
      </c>
      <c r="J55" s="171"/>
      <c r="K55" s="228">
        <v>0</v>
      </c>
      <c r="L55" s="228">
        <f>SUMPRODUCT(R$5:X$5,R55:X55)/Thousands</f>
        <v>0</v>
      </c>
      <c r="M55" s="312"/>
      <c r="N55" s="568"/>
      <c r="O55" s="566"/>
      <c r="P55" s="569"/>
      <c r="R55" s="327">
        <v>0</v>
      </c>
      <c r="S55" s="327">
        <v>0</v>
      </c>
      <c r="T55" s="327">
        <v>0</v>
      </c>
      <c r="U55" s="327">
        <v>0</v>
      </c>
      <c r="V55" s="327">
        <v>0</v>
      </c>
      <c r="W55" s="327">
        <v>0</v>
      </c>
      <c r="X55" s="327">
        <v>0</v>
      </c>
      <c r="Y55" s="14">
        <f t="shared" si="21"/>
        <v>0</v>
      </c>
      <c r="AN55" s="45"/>
      <c r="AO55" s="45"/>
      <c r="AP55" s="538"/>
      <c r="AQ55" s="45"/>
      <c r="AR55" s="38"/>
      <c r="AS55" s="390"/>
      <c r="AT55" s="545"/>
      <c r="AU55" s="38"/>
      <c r="AV55" s="38"/>
      <c r="AW55" s="201"/>
      <c r="AX55" s="418"/>
      <c r="AY55" s="45"/>
    </row>
    <row r="56" spans="2:52" x14ac:dyDescent="0.3">
      <c r="B56" s="232"/>
      <c r="C56" s="171"/>
      <c r="D56" s="171"/>
      <c r="E56" s="171"/>
      <c r="F56" s="171"/>
      <c r="G56" s="224"/>
      <c r="H56" s="232"/>
      <c r="I56" s="224"/>
      <c r="J56" s="171"/>
      <c r="K56" s="229"/>
      <c r="L56" s="229"/>
      <c r="M56" s="229"/>
      <c r="N56" s="229"/>
      <c r="O56" s="229"/>
      <c r="P56" s="229"/>
      <c r="AN56" s="45"/>
      <c r="AO56" s="45"/>
      <c r="AP56" s="538"/>
      <c r="AQ56" s="45"/>
      <c r="AR56" s="38"/>
      <c r="AS56" s="390"/>
      <c r="AT56" s="38"/>
      <c r="AU56" s="38"/>
      <c r="AV56" s="38"/>
      <c r="AW56" s="201"/>
      <c r="AX56" s="45"/>
      <c r="AY56" s="45"/>
    </row>
    <row r="57" spans="2:52" x14ac:dyDescent="0.3">
      <c r="B57" s="251" t="s">
        <v>282</v>
      </c>
      <c r="C57" s="171"/>
      <c r="D57" s="171"/>
      <c r="E57" s="171"/>
      <c r="F57" s="171"/>
      <c r="G57" s="224"/>
      <c r="H57" s="232"/>
      <c r="I57" s="224"/>
      <c r="J57" s="171"/>
      <c r="K57" s="319">
        <v>1852.8098577161049</v>
      </c>
      <c r="L57" s="319">
        <v>609.98749999999995</v>
      </c>
      <c r="M57" s="319">
        <v>396.65116279069764</v>
      </c>
      <c r="N57" s="319">
        <v>1174.6315908261599</v>
      </c>
      <c r="O57" s="319">
        <v>220.88439675532143</v>
      </c>
      <c r="P57" s="319">
        <v>4254.9645080882829</v>
      </c>
      <c r="Q57" s="178"/>
      <c r="S57" s="11"/>
      <c r="T57" s="11"/>
      <c r="AN57" s="45"/>
      <c r="AO57" s="45"/>
      <c r="AP57" s="538"/>
      <c r="AQ57" s="45"/>
      <c r="AR57" s="38"/>
      <c r="AS57" s="38"/>
      <c r="AT57" s="38"/>
      <c r="AU57" s="38"/>
      <c r="AV57" s="38"/>
      <c r="AW57" s="201"/>
      <c r="AX57" s="45"/>
      <c r="AY57" s="45"/>
    </row>
    <row r="58" spans="2:52" x14ac:dyDescent="0.3">
      <c r="B58" s="259" t="s">
        <v>55</v>
      </c>
      <c r="C58" s="260"/>
      <c r="D58" s="260"/>
      <c r="E58" s="260"/>
      <c r="F58" s="260"/>
      <c r="G58" s="267"/>
      <c r="H58" s="259"/>
      <c r="I58" s="267"/>
      <c r="J58" s="260"/>
      <c r="K58" s="320">
        <f>K57-Direct_Capex_Totals!Q5</f>
        <v>0</v>
      </c>
      <c r="L58" s="321">
        <f>L57-Direct_Capex_Totals!R5</f>
        <v>0</v>
      </c>
      <c r="M58" s="321">
        <f>M57-Direct_Capex_Totals!S5</f>
        <v>0</v>
      </c>
      <c r="N58" s="321">
        <f>N57-Direct_Capex_Totals!T5</f>
        <v>0</v>
      </c>
      <c r="O58" s="321">
        <f>O57-Direct_Capex_Totals!U5</f>
        <v>0</v>
      </c>
      <c r="P58" s="322">
        <f>SUM(K58:O58)</f>
        <v>0</v>
      </c>
      <c r="AN58" s="45"/>
      <c r="AO58" s="45"/>
      <c r="AP58" s="45"/>
      <c r="AQ58" s="45"/>
      <c r="AR58" s="45"/>
      <c r="AS58" s="201"/>
      <c r="AT58" s="201"/>
      <c r="AU58" s="201"/>
      <c r="AV58" s="201"/>
      <c r="AW58" s="201"/>
      <c r="AX58" s="45"/>
      <c r="AY58" s="45"/>
    </row>
    <row r="59" spans="2:52" ht="28.8" x14ac:dyDescent="0.3">
      <c r="B59" s="237" t="s">
        <v>262</v>
      </c>
      <c r="C59" s="238"/>
      <c r="D59" s="292"/>
      <c r="E59" s="292"/>
      <c r="F59" s="292"/>
      <c r="G59" s="273" t="s">
        <v>302</v>
      </c>
      <c r="H59" s="272" t="s">
        <v>265</v>
      </c>
      <c r="I59" s="18" t="s">
        <v>293</v>
      </c>
      <c r="J59" s="260"/>
      <c r="K59" s="18" t="s">
        <v>135</v>
      </c>
      <c r="L59" s="18" t="s">
        <v>290</v>
      </c>
      <c r="M59" s="273" t="s">
        <v>136</v>
      </c>
      <c r="N59" s="273" t="s">
        <v>137</v>
      </c>
      <c r="O59" s="18" t="s">
        <v>60</v>
      </c>
      <c r="P59" s="18" t="s">
        <v>291</v>
      </c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</row>
    <row r="60" spans="2:52" x14ac:dyDescent="0.3">
      <c r="B60" s="251"/>
      <c r="C60" s="171"/>
      <c r="D60" s="171"/>
      <c r="E60" s="171"/>
      <c r="F60" s="171"/>
      <c r="G60" s="224"/>
      <c r="H60" s="232"/>
      <c r="I60" s="224"/>
      <c r="J60" s="171"/>
      <c r="K60" s="235"/>
      <c r="L60" s="235"/>
      <c r="M60" s="235"/>
      <c r="N60" s="235"/>
      <c r="O60" s="235"/>
      <c r="P60" s="224"/>
      <c r="AN60" s="45"/>
      <c r="AO60" s="45"/>
      <c r="AP60" s="45"/>
      <c r="AQ60" s="199"/>
      <c r="AR60" s="45"/>
      <c r="AS60" s="347"/>
      <c r="AT60" s="347"/>
      <c r="AU60" s="347"/>
      <c r="AV60" s="347"/>
      <c r="AW60" s="347"/>
      <c r="AX60" s="45"/>
      <c r="AY60" s="45"/>
    </row>
    <row r="61" spans="2:52" x14ac:dyDescent="0.3">
      <c r="B61" s="251" t="s">
        <v>17</v>
      </c>
      <c r="C61" s="171"/>
      <c r="D61" s="171"/>
      <c r="E61" s="171"/>
      <c r="F61" s="171"/>
      <c r="G61" s="224"/>
      <c r="H61" s="232"/>
      <c r="I61" s="224"/>
      <c r="J61" s="171"/>
      <c r="K61" s="235"/>
      <c r="L61" s="235"/>
      <c r="M61" s="235"/>
      <c r="N61" s="235"/>
      <c r="O61" s="235"/>
      <c r="P61" s="224"/>
      <c r="R61" s="337"/>
      <c r="S61" s="337"/>
      <c r="T61" s="337"/>
      <c r="U61" s="45"/>
      <c r="V61" s="45"/>
      <c r="W61" s="45"/>
      <c r="X61" s="45"/>
      <c r="AI61" t="s">
        <v>486</v>
      </c>
    </row>
    <row r="62" spans="2:52" x14ac:dyDescent="0.3">
      <c r="B62" s="251"/>
      <c r="C62" s="282" t="s">
        <v>328</v>
      </c>
      <c r="D62" s="282" t="str">
        <f>IF($B$3="WYK2",Unit_Rates!G60,Unit_Rates!G61)</f>
        <v>Distribution system assets</v>
      </c>
      <c r="E62" s="282" t="str">
        <f>IF($B$3="WYK2",Unit_Rates!H60,Unit_Rates!H61)</f>
        <v>Augmentation</v>
      </c>
      <c r="F62" s="282" t="str">
        <f t="shared" ref="F62:F69" si="22">D62&amp;E62</f>
        <v>Distribution system assetsAugmentation</v>
      </c>
      <c r="G62" s="283">
        <v>0</v>
      </c>
      <c r="H62" s="455">
        <f>INDEX(Feeder_Vols!$E$7:$O$16,MATCH($B$3,Feeder_Vols!$B$7:$B$15,0),MATCH(1,Feeder_Vols!$E$6:$O$6,0))</f>
        <v>8</v>
      </c>
      <c r="I62" s="224" t="s">
        <v>297</v>
      </c>
      <c r="J62" s="282"/>
      <c r="K62" s="283"/>
      <c r="L62" s="283">
        <f t="shared" ref="L62:L69" si="23">SUMPRODUCT(R$5:X$5,R62:X62)/Thousands</f>
        <v>65.676832922948122</v>
      </c>
      <c r="M62" s="283">
        <f>$H62*IF($B$3="WYK2",Unit_Rates!K60,Unit_Rates!K61)</f>
        <v>145.05533023255813</v>
      </c>
      <c r="N62" s="283">
        <f>$H62*IF($B$3="WYK2",Unit_Rates!L60,Unit_Rates!L61)</f>
        <v>0</v>
      </c>
      <c r="O62" s="283">
        <f>$H62*IF($B$3="WYK2",Unit_Rates!M60,Unit_Rates!M61)</f>
        <v>0</v>
      </c>
      <c r="P62" s="228">
        <f t="shared" ref="P62:P69" si="24">SUM(K62:O62)</f>
        <v>210.73216315550627</v>
      </c>
      <c r="Q62" s="28"/>
      <c r="R62" s="327">
        <f t="shared" ref="R62:X67" si="25">$AI62*Z62*$H62</f>
        <v>118.42105263157893</v>
      </c>
      <c r="S62" s="327">
        <f t="shared" si="25"/>
        <v>316.9014084507042</v>
      </c>
      <c r="T62" s="327">
        <f t="shared" si="25"/>
        <v>0</v>
      </c>
      <c r="U62" s="327">
        <f t="shared" si="25"/>
        <v>0</v>
      </c>
      <c r="V62" s="327">
        <f t="shared" si="25"/>
        <v>0</v>
      </c>
      <c r="W62" s="327">
        <f t="shared" si="25"/>
        <v>0</v>
      </c>
      <c r="X62" s="327">
        <f t="shared" si="25"/>
        <v>0</v>
      </c>
      <c r="Y62" s="14">
        <f t="shared" ref="Y62:Y69" si="26">SUM(R62:X62)</f>
        <v>435.3224610822831</v>
      </c>
      <c r="Z62" s="15">
        <v>0.27203065134099613</v>
      </c>
      <c r="AA62" s="15">
        <v>0.72796934865900376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6">
        <f>SUM(Z62:AF62)</f>
        <v>0.99999999999999989</v>
      </c>
      <c r="AH62" t="b">
        <f>AG62=1</f>
        <v>1</v>
      </c>
      <c r="AI62" s="390">
        <v>54.415307635285394</v>
      </c>
    </row>
    <row r="63" spans="2:52" x14ac:dyDescent="0.3">
      <c r="B63" s="251"/>
      <c r="C63" s="171" t="s">
        <v>231</v>
      </c>
      <c r="D63" s="171" t="str">
        <f>Unit_Rates!G62</f>
        <v>Distribution system assets</v>
      </c>
      <c r="E63" s="171" t="str">
        <f>Unit_Rates!H62</f>
        <v>Augmentation</v>
      </c>
      <c r="F63" s="171" t="str">
        <f t="shared" si="22"/>
        <v>Distribution system assetsAugmentation</v>
      </c>
      <c r="G63" s="565"/>
      <c r="H63" s="455">
        <f>INDEX(Feeder_Vols!$E$7:$O$16,MATCH($B$3,Feeder_Vols!$B$7:$B$15,0),MATCH(2,Feeder_Vols!$E$6:$O$6,0))</f>
        <v>5</v>
      </c>
      <c r="I63" s="224" t="s">
        <v>298</v>
      </c>
      <c r="J63" s="282"/>
      <c r="K63" s="565"/>
      <c r="L63" s="565"/>
      <c r="M63" s="565"/>
      <c r="N63" s="565"/>
      <c r="O63" s="565"/>
      <c r="P63" s="566"/>
      <c r="Q63" s="28">
        <f>P63-H63*Unit_Rates!$E$62</f>
        <v>0</v>
      </c>
      <c r="R63" s="563"/>
      <c r="S63" s="563"/>
      <c r="T63" s="563"/>
      <c r="U63" s="563"/>
      <c r="V63" s="563"/>
      <c r="W63" s="563"/>
      <c r="X63" s="563"/>
      <c r="Y63" s="564">
        <f t="shared" si="26"/>
        <v>0</v>
      </c>
      <c r="Z63" s="15">
        <v>0</v>
      </c>
      <c r="AA63" s="15">
        <v>0.14071351127025331</v>
      </c>
      <c r="AB63" s="15">
        <v>0.24322448098123187</v>
      </c>
      <c r="AC63" s="15">
        <v>0</v>
      </c>
      <c r="AD63" s="15">
        <v>0.1760177164995757</v>
      </c>
      <c r="AE63" s="15">
        <v>0.44004429124893918</v>
      </c>
      <c r="AF63" s="15">
        <v>0</v>
      </c>
      <c r="AG63" s="16">
        <f t="shared" ref="AG63:AG67" si="27">SUM(Z63:AF63)</f>
        <v>1</v>
      </c>
      <c r="AH63" t="b">
        <f t="shared" ref="AH63:AH67" si="28">AG63=1</f>
        <v>1</v>
      </c>
      <c r="AI63" s="562"/>
    </row>
    <row r="64" spans="2:52" x14ac:dyDescent="0.3">
      <c r="B64" s="251"/>
      <c r="C64" s="171" t="s">
        <v>235</v>
      </c>
      <c r="D64" s="171" t="str">
        <f>Unit_Rates!G63</f>
        <v>Distribution system assets</v>
      </c>
      <c r="E64" s="171" t="str">
        <f>Unit_Rates!H63</f>
        <v>Augmentation</v>
      </c>
      <c r="F64" s="171" t="str">
        <f t="shared" si="22"/>
        <v>Distribution system assetsAugmentation</v>
      </c>
      <c r="G64" s="565"/>
      <c r="H64" s="455">
        <f>INDEX(Feeder_Vols!$E$7:$O$16,MATCH($B$3,Feeder_Vols!$B$7:$B$15,0),MATCH(3,Feeder_Vols!$E$6:$O$6,0))</f>
        <v>0</v>
      </c>
      <c r="I64" s="224" t="s">
        <v>294</v>
      </c>
      <c r="J64" s="282"/>
      <c r="K64" s="565"/>
      <c r="L64" s="565"/>
      <c r="M64" s="565"/>
      <c r="N64" s="565"/>
      <c r="O64" s="565"/>
      <c r="P64" s="566"/>
      <c r="Q64" s="28">
        <f>P64-H64*Unit_Rates!$E$63</f>
        <v>0</v>
      </c>
      <c r="R64" s="563"/>
      <c r="S64" s="563"/>
      <c r="T64" s="563"/>
      <c r="U64" s="563"/>
      <c r="V64" s="563"/>
      <c r="W64" s="563"/>
      <c r="X64" s="563"/>
      <c r="Y64" s="564">
        <f t="shared" si="26"/>
        <v>0</v>
      </c>
      <c r="Z64" s="15">
        <v>0</v>
      </c>
      <c r="AA64" s="15">
        <v>0.11317869701862385</v>
      </c>
      <c r="AB64" s="15">
        <v>0.25101832039696309</v>
      </c>
      <c r="AC64" s="15">
        <v>0</v>
      </c>
      <c r="AD64" s="15">
        <v>0.18165799502411806</v>
      </c>
      <c r="AE64" s="15">
        <v>0.45414498756029509</v>
      </c>
      <c r="AF64" s="15">
        <v>0</v>
      </c>
      <c r="AG64" s="16">
        <f t="shared" si="27"/>
        <v>1</v>
      </c>
      <c r="AH64" t="b">
        <f t="shared" si="28"/>
        <v>1</v>
      </c>
      <c r="AI64" s="562"/>
    </row>
    <row r="65" spans="2:35" x14ac:dyDescent="0.3">
      <c r="B65" s="251"/>
      <c r="C65" s="171" t="s">
        <v>237</v>
      </c>
      <c r="D65" s="171" t="str">
        <f>Unit_Rates!G64</f>
        <v>Distribution system assets</v>
      </c>
      <c r="E65" s="171" t="str">
        <f>Unit_Rates!H64</f>
        <v>Augmentation</v>
      </c>
      <c r="F65" s="171" t="str">
        <f t="shared" si="22"/>
        <v>Distribution system assetsAugmentation</v>
      </c>
      <c r="G65" s="565"/>
      <c r="H65" s="455">
        <f>INDEX(Feeder_Vols!$E$7:$O$16,MATCH($B$3,Feeder_Vols!$B$7:$B$15,0),MATCH(4,Feeder_Vols!$E$6:$O$6,0))</f>
        <v>9</v>
      </c>
      <c r="I65" s="265" t="s">
        <v>299</v>
      </c>
      <c r="J65" s="282"/>
      <c r="K65" s="565"/>
      <c r="L65" s="565"/>
      <c r="M65" s="565"/>
      <c r="N65" s="565"/>
      <c r="O65" s="565"/>
      <c r="P65" s="566"/>
      <c r="Q65" s="28">
        <f>P65-H65*Unit_Rates!$E$64</f>
        <v>0</v>
      </c>
      <c r="R65" s="563"/>
      <c r="S65" s="563"/>
      <c r="T65" s="563"/>
      <c r="U65" s="563"/>
      <c r="V65" s="563"/>
      <c r="W65" s="563"/>
      <c r="X65" s="563"/>
      <c r="Y65" s="564">
        <f t="shared" si="26"/>
        <v>0</v>
      </c>
      <c r="Z65" s="15">
        <v>0</v>
      </c>
      <c r="AA65" s="15">
        <v>0.17737095137749856</v>
      </c>
      <c r="AB65" s="15">
        <v>0.23284844579258887</v>
      </c>
      <c r="AC65" s="15">
        <v>0</v>
      </c>
      <c r="AD65" s="15">
        <v>0.16850874366568935</v>
      </c>
      <c r="AE65" s="15">
        <v>0.42127185916422333</v>
      </c>
      <c r="AF65" s="15">
        <v>0</v>
      </c>
      <c r="AG65" s="16">
        <f t="shared" si="27"/>
        <v>1</v>
      </c>
      <c r="AH65" t="b">
        <f t="shared" si="28"/>
        <v>1</v>
      </c>
      <c r="AI65" s="562"/>
    </row>
    <row r="66" spans="2:35" x14ac:dyDescent="0.3">
      <c r="B66" s="251"/>
      <c r="C66" s="171" t="s">
        <v>233</v>
      </c>
      <c r="D66" s="171" t="str">
        <f>Unit_Rates!G65</f>
        <v>Distribution system assets</v>
      </c>
      <c r="E66" s="171" t="str">
        <f>Unit_Rates!H65</f>
        <v>Augmentation</v>
      </c>
      <c r="F66" s="171" t="str">
        <f t="shared" si="22"/>
        <v>Distribution system assetsAugmentation</v>
      </c>
      <c r="G66" s="283">
        <f>Unit_Rates!I65</f>
        <v>17.106573023255812</v>
      </c>
      <c r="H66" s="455">
        <f>INDEX(Feeder_Vols!$E$7:$O$16,MATCH($B$3,Feeder_Vols!$B$7:$B$15,0),MATCH(5,Feeder_Vols!$E$6:$O$6,0))</f>
        <v>5</v>
      </c>
      <c r="I66" s="265" t="s">
        <v>300</v>
      </c>
      <c r="J66" s="282"/>
      <c r="K66" s="283">
        <f t="shared" ref="K66" si="29">G66*H66</f>
        <v>85.532865116279055</v>
      </c>
      <c r="L66" s="283">
        <f t="shared" si="23"/>
        <v>16.307600337893735</v>
      </c>
      <c r="M66" s="283">
        <f>$H66*Unit_Rates!K65</f>
        <v>0</v>
      </c>
      <c r="N66" s="283">
        <f>$H66*Unit_Rates!L65</f>
        <v>151.01916009401998</v>
      </c>
      <c r="O66" s="283">
        <f>$H66*Unit_Rates!M65</f>
        <v>19.1505037667077</v>
      </c>
      <c r="P66" s="228">
        <f t="shared" si="24"/>
        <v>272.01012931490044</v>
      </c>
      <c r="Q66" s="28">
        <f>P66-H66*Unit_Rates!$E$65</f>
        <v>0.39302258288654457</v>
      </c>
      <c r="R66" s="327">
        <f t="shared" si="25"/>
        <v>0</v>
      </c>
      <c r="S66" s="327">
        <f t="shared" si="25"/>
        <v>6.9999999999999982</v>
      </c>
      <c r="T66" s="327">
        <f t="shared" si="25"/>
        <v>26.634438148785094</v>
      </c>
      <c r="U66" s="327">
        <f t="shared" si="25"/>
        <v>0</v>
      </c>
      <c r="V66" s="327">
        <f t="shared" si="25"/>
        <v>19.274922344515531</v>
      </c>
      <c r="W66" s="327">
        <f t="shared" si="25"/>
        <v>48.18730586128882</v>
      </c>
      <c r="X66" s="327">
        <f t="shared" si="25"/>
        <v>0</v>
      </c>
      <c r="Y66" s="14">
        <f t="shared" si="26"/>
        <v>101.09666635458944</v>
      </c>
      <c r="Z66" s="15">
        <v>0</v>
      </c>
      <c r="AA66" s="15">
        <v>6.9240660967474346E-2</v>
      </c>
      <c r="AB66" s="15">
        <v>0.26345515741702774</v>
      </c>
      <c r="AC66" s="15">
        <v>0</v>
      </c>
      <c r="AD66" s="15">
        <v>0.19065833760442799</v>
      </c>
      <c r="AE66" s="15">
        <v>0.47664584401106991</v>
      </c>
      <c r="AF66" s="15">
        <v>0</v>
      </c>
      <c r="AG66" s="16">
        <f t="shared" si="27"/>
        <v>1</v>
      </c>
      <c r="AH66" t="b">
        <f t="shared" si="28"/>
        <v>1</v>
      </c>
      <c r="AI66" s="5">
        <v>20.21933327091789</v>
      </c>
    </row>
    <row r="67" spans="2:35" x14ac:dyDescent="0.3">
      <c r="B67" s="251"/>
      <c r="C67" s="282" t="s">
        <v>344</v>
      </c>
      <c r="D67" s="171" t="str">
        <f>Unit_Rates!G66</f>
        <v>Distribution system assets</v>
      </c>
      <c r="E67" s="282" t="str">
        <f>Unit_Rates!H66</f>
        <v>Augmentation</v>
      </c>
      <c r="F67" s="282" t="str">
        <f t="shared" si="22"/>
        <v>Distribution system assetsAugmentation</v>
      </c>
      <c r="G67" s="283">
        <f>Unit_Rates!I66</f>
        <v>0</v>
      </c>
      <c r="H67" s="455">
        <f>INDEX(Feeder_Vols!$E$7:$O$16,MATCH($B$3,Feeder_Vols!$B$7:$B$15,0),MATCH(1,Feeder_Vols!$E$6:$O$6,0))</f>
        <v>8</v>
      </c>
      <c r="I67" s="224" t="s">
        <v>297</v>
      </c>
      <c r="J67" s="282"/>
      <c r="K67" s="283"/>
      <c r="L67" s="283">
        <f t="shared" si="23"/>
        <v>48.369565217391354</v>
      </c>
      <c r="M67" s="283">
        <f>$H67*Unit_Rates!K66</f>
        <v>0</v>
      </c>
      <c r="N67" s="283">
        <f>$H67*Unit_Rates!L66</f>
        <v>62.25698685540948</v>
      </c>
      <c r="O67" s="283">
        <f>$H67*Unit_Rates!M66</f>
        <v>0</v>
      </c>
      <c r="P67" s="228">
        <f t="shared" si="24"/>
        <v>110.62655207280083</v>
      </c>
      <c r="Q67" s="396">
        <f>P67-H67*Unit_Rates!$E$66</f>
        <v>-0.1339737108189496</v>
      </c>
      <c r="R67" s="327">
        <f t="shared" si="25"/>
        <v>0</v>
      </c>
      <c r="S67" s="327">
        <f t="shared" si="25"/>
        <v>0</v>
      </c>
      <c r="T67" s="327">
        <f t="shared" si="25"/>
        <v>0</v>
      </c>
      <c r="U67" s="327">
        <f t="shared" si="25"/>
        <v>0</v>
      </c>
      <c r="V67" s="327">
        <f t="shared" si="25"/>
        <v>0</v>
      </c>
      <c r="W67" s="327">
        <f t="shared" si="25"/>
        <v>0</v>
      </c>
      <c r="X67" s="327">
        <f t="shared" si="25"/>
        <v>371.18508589118102</v>
      </c>
      <c r="Y67" s="14">
        <f t="shared" si="26"/>
        <v>371.18508589118102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1</v>
      </c>
      <c r="AG67" s="16">
        <f t="shared" si="27"/>
        <v>1</v>
      </c>
      <c r="AH67" t="b">
        <f t="shared" si="28"/>
        <v>1</v>
      </c>
      <c r="AI67" s="5">
        <v>46.398135736397627</v>
      </c>
    </row>
    <row r="68" spans="2:35" x14ac:dyDescent="0.3">
      <c r="B68" s="251"/>
      <c r="C68" s="348" t="s">
        <v>342</v>
      </c>
      <c r="D68" s="171" t="str">
        <f>Unit_Rates!G67</f>
        <v>Distribution system assets</v>
      </c>
      <c r="E68" s="363" t="str">
        <f>Unit_Rates!H67</f>
        <v>Replacement</v>
      </c>
      <c r="F68" s="363" t="str">
        <f t="shared" si="22"/>
        <v>Distribution system assetsReplacement</v>
      </c>
      <c r="G68" s="283">
        <f>Unit_Rates!I67</f>
        <v>0</v>
      </c>
      <c r="H68" s="455">
        <f>INDEX(Feeder_Vols!$E$7:$O$16,MATCH($B$3,Feeder_Vols!$B$7:$B$15,0),MATCH(1,Feeder_Vols!$E$6:$N$6,0))+INDEX(Feeder_Vols!$E$7:$N$16,MATCH($B$3,Feeder_Vols!$B$7:$B$15,0),MATCH(6,Feeder_Vols!$E$6:$O$6,0))</f>
        <v>51</v>
      </c>
      <c r="I68" s="224" t="s">
        <v>346</v>
      </c>
      <c r="J68" s="282"/>
      <c r="K68" s="283"/>
      <c r="L68" s="283">
        <f t="shared" si="23"/>
        <v>0</v>
      </c>
      <c r="M68" s="283">
        <f>$H68*Unit_Rates!K67</f>
        <v>0</v>
      </c>
      <c r="N68" s="283">
        <f>$H68*Unit_Rates!L67</f>
        <v>26.550837209302323</v>
      </c>
      <c r="O68" s="283">
        <f>$H68*Unit_Rates!M67</f>
        <v>0</v>
      </c>
      <c r="P68" s="228">
        <f t="shared" si="24"/>
        <v>26.550837209302323</v>
      </c>
      <c r="Q68" s="28">
        <f>P68-H68*Unit_Rates!$E$67</f>
        <v>0</v>
      </c>
      <c r="R68" s="330"/>
      <c r="S68" s="330"/>
      <c r="T68" s="330"/>
      <c r="U68" s="330"/>
      <c r="V68" s="330"/>
      <c r="W68" s="330"/>
      <c r="X68" s="330"/>
      <c r="Y68" s="14">
        <f t="shared" si="26"/>
        <v>0</v>
      </c>
      <c r="Z68" s="15"/>
      <c r="AA68" s="15"/>
      <c r="AB68" s="15"/>
      <c r="AC68" s="15"/>
      <c r="AD68" s="15"/>
      <c r="AE68" s="15"/>
      <c r="AF68" s="15"/>
      <c r="AI68" s="5">
        <v>0</v>
      </c>
    </row>
    <row r="69" spans="2:35" x14ac:dyDescent="0.3">
      <c r="B69" s="251"/>
      <c r="C69" s="348" t="s">
        <v>418</v>
      </c>
      <c r="D69" s="171" t="str">
        <f>Unit_Rates!G68</f>
        <v>Distribution system assets</v>
      </c>
      <c r="E69" s="363" t="str">
        <f>Unit_Rates!H68</f>
        <v>Replacement</v>
      </c>
      <c r="F69" s="363" t="str">
        <f t="shared" si="22"/>
        <v>Distribution system assetsReplacement</v>
      </c>
      <c r="G69" s="283">
        <f>Unit_Rates!I68</f>
        <v>0</v>
      </c>
      <c r="H69" s="455">
        <f>INDEX(Feeder_Vols!$E$7:$O$16,MATCH($B$3,Feeder_Vols!$B$7:$B$15,0),MATCH(7,Feeder_Vols!$E$6:$O$6,0))</f>
        <v>8</v>
      </c>
      <c r="I69" s="224" t="s">
        <v>343</v>
      </c>
      <c r="J69" s="282"/>
      <c r="K69" s="342"/>
      <c r="L69" s="342">
        <f t="shared" si="23"/>
        <v>1.2581768759185463</v>
      </c>
      <c r="M69" s="342">
        <f>$H69*Unit_Rates!K68</f>
        <v>0</v>
      </c>
      <c r="N69" s="342">
        <f>$H69*Unit_Rates!L68</f>
        <v>23.365371386046505</v>
      </c>
      <c r="O69" s="342">
        <f>$H69*Unit_Rates!M68</f>
        <v>0</v>
      </c>
      <c r="P69" s="229">
        <f t="shared" si="24"/>
        <v>24.623548261965052</v>
      </c>
      <c r="Q69" s="28">
        <f>P69-H69*Unit_Rates!$E$68</f>
        <v>6.1384574394889313E-2</v>
      </c>
      <c r="R69" s="327">
        <f t="shared" ref="R69:X69" si="30">$AI69*Z69*$H69</f>
        <v>0</v>
      </c>
      <c r="S69" s="327">
        <f t="shared" si="30"/>
        <v>0</v>
      </c>
      <c r="T69" s="327">
        <f t="shared" si="30"/>
        <v>0</v>
      </c>
      <c r="U69" s="327">
        <f t="shared" si="30"/>
        <v>0</v>
      </c>
      <c r="V69" s="327">
        <f t="shared" si="30"/>
        <v>0</v>
      </c>
      <c r="W69" s="327">
        <f t="shared" si="30"/>
        <v>0</v>
      </c>
      <c r="X69" s="327">
        <f t="shared" si="30"/>
        <v>9.6551724137931032</v>
      </c>
      <c r="Y69" s="14">
        <f t="shared" si="26"/>
        <v>9.6551724137931032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1</v>
      </c>
      <c r="AG69" s="16">
        <f>SUM(Z69:AF69)</f>
        <v>1</v>
      </c>
      <c r="AH69" t="b">
        <f>AG69=1</f>
        <v>1</v>
      </c>
      <c r="AI69" s="5">
        <v>1.2068965517241379</v>
      </c>
    </row>
    <row r="70" spans="2:35" x14ac:dyDescent="0.3">
      <c r="B70" s="251"/>
      <c r="C70" s="236" t="s">
        <v>301</v>
      </c>
      <c r="D70" s="236"/>
      <c r="E70" s="236"/>
      <c r="F70" s="236"/>
      <c r="G70" s="268"/>
      <c r="H70" s="231"/>
      <c r="I70" s="224"/>
      <c r="J70" s="171"/>
      <c r="K70" s="268">
        <v>92.375097674418583</v>
      </c>
      <c r="L70" s="268">
        <v>137.46149185316364</v>
      </c>
      <c r="M70" s="268">
        <v>145.05533023255813</v>
      </c>
      <c r="N70" s="268">
        <v>333.58664643156413</v>
      </c>
      <c r="O70" s="268">
        <v>25.427501982264111</v>
      </c>
      <c r="P70" s="268">
        <v>733.90606817396872</v>
      </c>
      <c r="Q70" s="11"/>
      <c r="R70" s="334"/>
      <c r="S70" s="334"/>
      <c r="T70" s="334"/>
      <c r="U70" s="326"/>
      <c r="V70" s="326"/>
      <c r="W70" s="326"/>
      <c r="X70" s="326"/>
      <c r="AI70" s="5"/>
    </row>
    <row r="71" spans="2:35" x14ac:dyDescent="0.3">
      <c r="B71" s="251" t="s">
        <v>295</v>
      </c>
      <c r="C71" s="171"/>
      <c r="D71" s="171"/>
      <c r="E71" s="171"/>
      <c r="F71" s="171"/>
      <c r="G71" s="228"/>
      <c r="H71" s="231"/>
      <c r="I71" s="224"/>
      <c r="J71" s="171"/>
      <c r="K71" s="268"/>
      <c r="L71" s="268"/>
      <c r="M71" s="268"/>
      <c r="N71" s="268"/>
      <c r="O71" s="268"/>
      <c r="P71" s="228"/>
      <c r="R71" s="326"/>
      <c r="S71" s="326"/>
      <c r="T71" s="326"/>
      <c r="U71" s="326"/>
      <c r="V71" s="326"/>
      <c r="W71" s="326"/>
      <c r="X71" s="326"/>
      <c r="AI71" s="5"/>
    </row>
    <row r="72" spans="2:35" x14ac:dyDescent="0.3">
      <c r="B72" s="251"/>
      <c r="C72" s="171" t="s">
        <v>264</v>
      </c>
      <c r="D72" s="171" t="str">
        <f>Unit_Rates!G76</f>
        <v>Distribution system assets</v>
      </c>
      <c r="E72" s="171" t="str">
        <f>Unit_Rates!H76</f>
        <v>Replacement</v>
      </c>
      <c r="F72" s="171" t="str">
        <f>D72&amp;E72</f>
        <v>Distribution system assetsReplacement</v>
      </c>
      <c r="G72" s="228">
        <f>Unit_Rates!I76</f>
        <v>0.27269767441860471</v>
      </c>
      <c r="H72" s="456">
        <f>INDEX(Feeder_Vols!$B$21:$D$29,MATCH($B$3,Feeder_Vols!$B$21:$B$29,0),3)</f>
        <v>339.3056905919359</v>
      </c>
      <c r="I72" s="266" t="s">
        <v>292</v>
      </c>
      <c r="J72" s="171"/>
      <c r="K72" s="268">
        <f>G72*H72</f>
        <v>92.527872741419557</v>
      </c>
      <c r="L72" s="268">
        <f>SUMPRODUCT(R$5:X$5,R72:X72)/Thousands</f>
        <v>46.19520522350399</v>
      </c>
      <c r="M72" s="268">
        <f>$H72*Unit_Rates!K76</f>
        <v>0</v>
      </c>
      <c r="N72" s="268">
        <f>$H72*Unit_Rates!L76</f>
        <v>177.27235778576281</v>
      </c>
      <c r="O72" s="268">
        <f>$H72*Unit_Rates!M76</f>
        <v>0</v>
      </c>
      <c r="P72" s="228">
        <f>SUM(K72:O72)</f>
        <v>315.9954357506864</v>
      </c>
      <c r="Q72" s="537">
        <f>P72-H72*Unit_Rates!$E$76</f>
        <v>-0.12795118248487825</v>
      </c>
      <c r="R72" s="327">
        <f t="shared" ref="R72:X72" si="31">$AI72*Z72*$H72</f>
        <v>8.2290529604066389</v>
      </c>
      <c r="S72" s="327">
        <f t="shared" si="31"/>
        <v>0</v>
      </c>
      <c r="T72" s="327">
        <f t="shared" si="31"/>
        <v>102.72233567824611</v>
      </c>
      <c r="U72" s="327">
        <f t="shared" si="31"/>
        <v>0</v>
      </c>
      <c r="V72" s="327">
        <f t="shared" si="31"/>
        <v>0</v>
      </c>
      <c r="W72" s="327">
        <f t="shared" si="31"/>
        <v>0</v>
      </c>
      <c r="X72" s="327">
        <f t="shared" si="31"/>
        <v>208.89916875554113</v>
      </c>
      <c r="Y72" s="14">
        <f t="shared" ref="Y72:Y76" si="32">SUM(R72:X72)</f>
        <v>319.85055739419386</v>
      </c>
      <c r="Z72" s="15">
        <v>2.5727805595989302E-2</v>
      </c>
      <c r="AA72" s="15">
        <v>0</v>
      </c>
      <c r="AB72" s="15">
        <v>0.32115728206047139</v>
      </c>
      <c r="AC72" s="15">
        <v>0</v>
      </c>
      <c r="AD72" s="15">
        <v>0</v>
      </c>
      <c r="AE72" s="15">
        <v>0</v>
      </c>
      <c r="AF72" s="15">
        <v>0.65311491234353936</v>
      </c>
      <c r="AG72" s="16">
        <f>SUM(Z72:AF72)</f>
        <v>1</v>
      </c>
      <c r="AH72" t="b">
        <f>AG72=1</f>
        <v>1</v>
      </c>
      <c r="AI72" s="5">
        <v>0.94266193070973381</v>
      </c>
    </row>
    <row r="73" spans="2:35" x14ac:dyDescent="0.3">
      <c r="B73" s="251"/>
      <c r="C73" s="171" t="s">
        <v>511</v>
      </c>
      <c r="D73" s="171" t="str">
        <f>Unit_Rates!G77</f>
        <v>Distribution system assets</v>
      </c>
      <c r="E73" s="171" t="str">
        <f>Unit_Rates!H77</f>
        <v>Replacement</v>
      </c>
      <c r="F73" s="171" t="str">
        <f t="shared" ref="F73:F76" si="33">D73&amp;E73</f>
        <v>Distribution system assetsReplacement</v>
      </c>
      <c r="G73" s="268">
        <f>INDEX(Unit_Rates!$C$75:$K$80,MATCH($C73,Unit_Rates!$D$75:$D$80,0),7)</f>
        <v>0</v>
      </c>
      <c r="H73" s="456">
        <f>INDEX(Feeder_Vols!$H$21:$H$29,MATCH($B$3,Feeder_Vols!$G$21:$G$29,0),1)</f>
        <v>84</v>
      </c>
      <c r="I73" s="266" t="s">
        <v>292</v>
      </c>
      <c r="J73" s="171"/>
      <c r="K73" s="268">
        <f>G73*H73</f>
        <v>0</v>
      </c>
      <c r="L73" s="268">
        <f>SUMPRODUCT(R$5:X$5,R73:X73)/Thousands</f>
        <v>24.601096892138962</v>
      </c>
      <c r="M73" s="268">
        <f>$H73*Unit_Rates!K77</f>
        <v>0</v>
      </c>
      <c r="N73" s="268">
        <f>$H73*Unit_Rates!$L$77</f>
        <v>0</v>
      </c>
      <c r="O73" s="268">
        <f>$H73*Unit_Rates!M77</f>
        <v>0</v>
      </c>
      <c r="P73" s="228">
        <f>SUM(K73:O73)</f>
        <v>24.601096892138962</v>
      </c>
      <c r="Q73" s="537">
        <f>P73-H73*Unit_Rates!$E$77</f>
        <v>-0.13481471007098378</v>
      </c>
      <c r="R73" s="327">
        <f t="shared" ref="R73" si="34">$AI73*Z73*$H73</f>
        <v>0</v>
      </c>
      <c r="S73" s="327">
        <f t="shared" ref="S73" si="35">$AI73*AA73*$H73</f>
        <v>0</v>
      </c>
      <c r="T73" s="327">
        <f t="shared" ref="T73" si="36">$AI73*AB73*$H73</f>
        <v>0</v>
      </c>
      <c r="U73" s="327">
        <f t="shared" ref="U73" si="37">$AI73*AC73*$H73</f>
        <v>0</v>
      </c>
      <c r="V73" s="327">
        <f t="shared" ref="V73" si="38">$AI73*AD73*$H73</f>
        <v>155.25272475406172</v>
      </c>
      <c r="W73" s="327">
        <f t="shared" ref="W73" si="39">$AI73*AE73*$H73</f>
        <v>0</v>
      </c>
      <c r="X73" s="327">
        <f t="shared" ref="X73" si="40">$AI73*AF73*$H73</f>
        <v>0</v>
      </c>
      <c r="Y73" s="14">
        <f t="shared" si="32"/>
        <v>155.25272475406172</v>
      </c>
      <c r="Z73" s="15"/>
      <c r="AA73" s="15"/>
      <c r="AB73" s="15"/>
      <c r="AC73" s="15"/>
      <c r="AD73" s="15">
        <v>1</v>
      </c>
      <c r="AE73" s="15"/>
      <c r="AF73" s="15"/>
      <c r="AG73" s="16">
        <f>SUM(Z73:AF73)</f>
        <v>1</v>
      </c>
      <c r="AH73" t="b">
        <f>AG73=1</f>
        <v>1</v>
      </c>
      <c r="AI73" s="46">
        <v>1.8482467232626396</v>
      </c>
    </row>
    <row r="74" spans="2:35" x14ac:dyDescent="0.3">
      <c r="B74" s="251"/>
      <c r="C74" s="171" t="s">
        <v>512</v>
      </c>
      <c r="D74" s="171" t="str">
        <f>Unit_Rates!G78</f>
        <v>Distribution system assets</v>
      </c>
      <c r="E74" s="171" t="str">
        <f>Unit_Rates!H78</f>
        <v>Replacement</v>
      </c>
      <c r="F74" s="171" t="str">
        <f t="shared" si="33"/>
        <v>Distribution system assetsReplacement</v>
      </c>
      <c r="G74" s="268">
        <f>INDEX(Unit_Rates!$C$75:$K$80,MATCH($C74,Unit_Rates!$D$75:$D$80,0),7)</f>
        <v>0</v>
      </c>
      <c r="H74" s="456">
        <f>INDEX(Feeder_Vols!$I$21:$I$29,MATCH($B$3,Feeder_Vols!$G$21:$G$29,0),1)</f>
        <v>25</v>
      </c>
      <c r="I74" s="266" t="s">
        <v>292</v>
      </c>
      <c r="J74" s="171"/>
      <c r="K74" s="268">
        <f t="shared" ref="K74:K76" si="41">G74*H74</f>
        <v>0</v>
      </c>
      <c r="L74" s="268">
        <f>SUMPRODUCT(R$5:X$5,R74:X74)/Thousands</f>
        <v>244.05850091407669</v>
      </c>
      <c r="M74" s="268"/>
      <c r="N74" s="268">
        <f>$H74*Unit_Rates!$L$78</f>
        <v>0</v>
      </c>
      <c r="O74" s="268"/>
      <c r="P74" s="228">
        <f t="shared" ref="P74:P76" si="42">SUM(K74:O74)</f>
        <v>244.05850091407669</v>
      </c>
      <c r="Q74" s="543">
        <f>P74-H74*Unit_Rates!$E$78</f>
        <v>-1.3374475205457941</v>
      </c>
      <c r="R74" s="327">
        <f t="shared" ref="R74" si="43">$AI74*Z74*$H74</f>
        <v>0</v>
      </c>
      <c r="S74" s="327">
        <f t="shared" ref="S74" si="44">$AI74*AA74*$H74</f>
        <v>0</v>
      </c>
      <c r="T74" s="327">
        <f t="shared" ref="T74" si="45">$AI74*AB74*$H74</f>
        <v>0</v>
      </c>
      <c r="U74" s="327">
        <f t="shared" ref="U74" si="46">$AI74*AC74*$H74</f>
        <v>0</v>
      </c>
      <c r="V74" s="327">
        <f t="shared" ref="V74" si="47">$AI74*AD74*$H74</f>
        <v>1540.2056027188644</v>
      </c>
      <c r="W74" s="327">
        <f t="shared" ref="W74" si="48">$AI74*AE74*$H74</f>
        <v>0</v>
      </c>
      <c r="X74" s="327">
        <f t="shared" ref="X74" si="49">$AI74*AF74*$H74</f>
        <v>0</v>
      </c>
      <c r="Y74" s="14">
        <f t="shared" si="32"/>
        <v>1540.2056027188644</v>
      </c>
      <c r="Z74" s="15"/>
      <c r="AA74" s="15"/>
      <c r="AB74" s="15"/>
      <c r="AC74" s="15"/>
      <c r="AD74" s="15">
        <v>1</v>
      </c>
      <c r="AE74" s="15"/>
      <c r="AF74" s="15"/>
      <c r="AG74" s="16">
        <f>SUM(Z74:AF74)</f>
        <v>1</v>
      </c>
      <c r="AH74" t="b">
        <f>AG74=1</f>
        <v>1</v>
      </c>
      <c r="AI74" s="46">
        <v>61.608224108754577</v>
      </c>
    </row>
    <row r="75" spans="2:35" x14ac:dyDescent="0.3">
      <c r="B75" s="251"/>
      <c r="C75" s="171" t="s">
        <v>513</v>
      </c>
      <c r="D75" s="171" t="str">
        <f>Unit_Rates!G79</f>
        <v>Distribution system assets</v>
      </c>
      <c r="E75" s="171" t="str">
        <f>Unit_Rates!H79</f>
        <v>Replacement</v>
      </c>
      <c r="F75" s="171" t="str">
        <f t="shared" si="33"/>
        <v>Distribution system assetsReplacement</v>
      </c>
      <c r="G75" s="268">
        <f>INDEX(Unit_Rates!$C$75:$K$80,MATCH($C75,Unit_Rates!$D$75:$D$80,0),7)</f>
        <v>4.9079189686924494</v>
      </c>
      <c r="H75" s="456">
        <f>INDEX(Feeder_Vols!$J$21:$J$29,MATCH($B$3,Feeder_Vols!$G$21:$G$29,0),1)</f>
        <v>10</v>
      </c>
      <c r="I75" s="266" t="s">
        <v>292</v>
      </c>
      <c r="J75" s="171"/>
      <c r="K75" s="268">
        <f t="shared" si="41"/>
        <v>49.079189686924494</v>
      </c>
      <c r="L75" s="268">
        <f>SUMPRODUCT(R$5:X$5,R75:X75)/Thousands</f>
        <v>0</v>
      </c>
      <c r="M75" s="268"/>
      <c r="N75" s="268">
        <f>$H75*Unit_Rates!$L$79</f>
        <v>159.50736648250461</v>
      </c>
      <c r="O75" s="268"/>
      <c r="P75" s="228">
        <f t="shared" si="42"/>
        <v>208.58655616942912</v>
      </c>
      <c r="Q75" s="11">
        <f>P75-H75*Unit_Rates!$E$79</f>
        <v>0</v>
      </c>
      <c r="R75" s="330"/>
      <c r="S75" s="330"/>
      <c r="T75" s="330"/>
      <c r="U75" s="330"/>
      <c r="V75" s="330"/>
      <c r="W75" s="330"/>
      <c r="X75" s="330"/>
      <c r="Y75" s="14">
        <f t="shared" si="32"/>
        <v>0</v>
      </c>
      <c r="Z75" s="15"/>
      <c r="AA75" s="15"/>
      <c r="AB75" s="15"/>
      <c r="AC75" s="15"/>
      <c r="AD75" s="15"/>
      <c r="AE75" s="15"/>
      <c r="AF75" s="15"/>
      <c r="AG75" s="16">
        <f>SUM(Z75:AF75)</f>
        <v>0</v>
      </c>
      <c r="AH75" t="b">
        <f>AG75=1</f>
        <v>0</v>
      </c>
      <c r="AI75" s="5"/>
    </row>
    <row r="76" spans="2:35" x14ac:dyDescent="0.3">
      <c r="B76" s="251"/>
      <c r="C76" s="171" t="s">
        <v>539</v>
      </c>
      <c r="D76" s="171" t="str">
        <f>Unit_Rates!G80</f>
        <v>Distribution system assets</v>
      </c>
      <c r="E76" s="171" t="str">
        <f>Unit_Rates!H80</f>
        <v>Replacement</v>
      </c>
      <c r="F76" s="171" t="str">
        <f t="shared" si="33"/>
        <v>Distribution system assetsReplacement</v>
      </c>
      <c r="G76" s="268">
        <f>INDEX(Unit_Rates!$C$75:$K$80,MATCH($C76,Unit_Rates!$D$75:$D$80,0),7)</f>
        <v>9.8158379373848997E-2</v>
      </c>
      <c r="H76" s="456">
        <f>INDEX(Feeder_Vols!$K$21:$K$29,MATCH($B$3,Feeder_Vols!$G$21:$G$29,0),1)</f>
        <v>1073.01</v>
      </c>
      <c r="I76" s="266" t="s">
        <v>510</v>
      </c>
      <c r="J76" s="171"/>
      <c r="K76" s="268">
        <f t="shared" si="41"/>
        <v>105.32492265193372</v>
      </c>
      <c r="L76" s="268">
        <f>SUMPRODUCT(R$5:X$5,R76:X76)/Thousands</f>
        <v>0</v>
      </c>
      <c r="M76" s="268"/>
      <c r="N76" s="268">
        <f>$H76*Unit_Rates!$L$80</f>
        <v>152.57368295359115</v>
      </c>
      <c r="O76" s="268"/>
      <c r="P76" s="228">
        <f t="shared" si="42"/>
        <v>257.89860560552484</v>
      </c>
      <c r="Q76" s="11">
        <f>P76-H76*Unit_Rates!$E$80</f>
        <v>0</v>
      </c>
      <c r="R76" s="330"/>
      <c r="S76" s="330"/>
      <c r="T76" s="330"/>
      <c r="U76" s="330"/>
      <c r="V76" s="330"/>
      <c r="W76" s="330"/>
      <c r="X76" s="330"/>
      <c r="Y76" s="14">
        <f t="shared" si="32"/>
        <v>0</v>
      </c>
      <c r="Z76" s="15"/>
      <c r="AA76" s="15"/>
      <c r="AB76" s="15"/>
      <c r="AC76" s="15"/>
      <c r="AD76" s="15"/>
      <c r="AE76" s="15"/>
      <c r="AF76" s="15"/>
      <c r="AG76" s="16">
        <f>SUM(Z76:AF76)</f>
        <v>0</v>
      </c>
      <c r="AH76" t="b">
        <f>AG76=1</f>
        <v>0</v>
      </c>
      <c r="AI76" s="5"/>
    </row>
    <row r="77" spans="2:35" x14ac:dyDescent="0.3">
      <c r="B77" s="251" t="s">
        <v>46</v>
      </c>
      <c r="C77" s="171"/>
      <c r="D77" s="171"/>
      <c r="E77" s="171"/>
      <c r="F77" s="171"/>
      <c r="G77" s="228"/>
      <c r="H77" s="231"/>
      <c r="I77" s="224"/>
      <c r="J77" s="171"/>
      <c r="K77" s="268"/>
      <c r="L77" s="268"/>
      <c r="M77" s="268"/>
      <c r="N77" s="268"/>
      <c r="O77" s="268"/>
      <c r="P77" s="228"/>
      <c r="R77" s="329"/>
      <c r="S77" s="326"/>
      <c r="T77" s="326"/>
      <c r="U77" s="326"/>
      <c r="V77" s="326"/>
      <c r="W77" s="326"/>
      <c r="X77" s="326"/>
      <c r="Z77" s="15"/>
      <c r="AA77" s="15"/>
      <c r="AB77" s="15"/>
      <c r="AC77" s="15"/>
      <c r="AD77" s="15"/>
      <c r="AE77" s="15"/>
      <c r="AF77" s="15"/>
      <c r="AI77" s="5"/>
    </row>
    <row r="78" spans="2:35" x14ac:dyDescent="0.3">
      <c r="B78" s="251"/>
      <c r="C78" s="171" t="s">
        <v>221</v>
      </c>
      <c r="D78" s="171" t="str">
        <f>Unit_Rates!G86</f>
        <v>Distribution system assets</v>
      </c>
      <c r="E78" s="171" t="str">
        <f>Unit_Rates!H86</f>
        <v>Replacement</v>
      </c>
      <c r="F78" s="171" t="str">
        <f t="shared" ref="F78:F81" si="50">D78&amp;E78</f>
        <v>Distribution system assetsReplacement</v>
      </c>
      <c r="G78" s="228">
        <f>Unit_Rates!I86</f>
        <v>22.447723472706969</v>
      </c>
      <c r="H78" s="457">
        <f>INDEX(Feeder_Vols!$B$35:$F$43,MATCH($B$3,Feeder_Vols!$B$35:$B$43,0),2)</f>
        <v>6</v>
      </c>
      <c r="I78" s="264" t="s">
        <v>292</v>
      </c>
      <c r="J78" s="171"/>
      <c r="K78" s="268">
        <f>G78*H78</f>
        <v>134.68634083624181</v>
      </c>
      <c r="L78" s="268">
        <f>SUMPRODUCT(R$5:X$5,R78:X78)/Thousands</f>
        <v>38.408452571184185</v>
      </c>
      <c r="M78" s="268">
        <f>$H78*Unit_Rates!K86</f>
        <v>0</v>
      </c>
      <c r="N78" s="268">
        <f>$H78*Unit_Rates!L86</f>
        <v>63.477812202332117</v>
      </c>
      <c r="O78" s="268">
        <f>$H78*Unit_Rates!M86</f>
        <v>0.13964529822345173</v>
      </c>
      <c r="P78" s="228">
        <f>SUM(K78:O78)</f>
        <v>236.71225090798157</v>
      </c>
      <c r="Q78" s="537">
        <f>P78-(H78*Unit_Rates!$E$86)</f>
        <v>-0.10638348504170381</v>
      </c>
      <c r="R78" s="327">
        <f t="shared" ref="R78:X81" si="51">$AI78*Z78*$H78</f>
        <v>72.716476115773318</v>
      </c>
      <c r="S78" s="327">
        <f t="shared" si="51"/>
        <v>77.837354715475655</v>
      </c>
      <c r="T78" s="327">
        <f t="shared" si="51"/>
        <v>89.316398946242771</v>
      </c>
      <c r="U78" s="327">
        <f t="shared" si="51"/>
        <v>0</v>
      </c>
      <c r="V78" s="327">
        <f t="shared" si="51"/>
        <v>0</v>
      </c>
      <c r="W78" s="327">
        <f t="shared" si="51"/>
        <v>0</v>
      </c>
      <c r="X78" s="327">
        <f t="shared" si="51"/>
        <v>0</v>
      </c>
      <c r="Y78" s="14">
        <f t="shared" ref="Y78:Y86" si="52">SUM(R78:X78)</f>
        <v>239.87022977749174</v>
      </c>
      <c r="Z78" s="15">
        <v>0.30314923274650013</v>
      </c>
      <c r="AA78" s="15">
        <v>0.32449777026385929</v>
      </c>
      <c r="AB78" s="15">
        <v>0.37235299698964058</v>
      </c>
      <c r="AC78" s="15">
        <v>0</v>
      </c>
      <c r="AD78" s="15">
        <v>0</v>
      </c>
      <c r="AE78" s="15">
        <v>0</v>
      </c>
      <c r="AF78" s="15">
        <v>0</v>
      </c>
      <c r="AG78" s="16">
        <f t="shared" ref="AG78:AG81" si="53">SUM(Z78:AF78)</f>
        <v>1</v>
      </c>
      <c r="AH78" t="b">
        <f t="shared" ref="AH78:AH86" si="54">AG78=1</f>
        <v>1</v>
      </c>
      <c r="AI78" s="5">
        <v>39.978371629581957</v>
      </c>
    </row>
    <row r="79" spans="2:35" x14ac:dyDescent="0.3">
      <c r="B79" s="251"/>
      <c r="C79" s="171" t="s">
        <v>223</v>
      </c>
      <c r="D79" s="171" t="str">
        <f>Unit_Rates!G87</f>
        <v>Distribution system assets</v>
      </c>
      <c r="E79" s="171" t="str">
        <f>Unit_Rates!H87</f>
        <v>Replacement</v>
      </c>
      <c r="F79" s="171" t="str">
        <f t="shared" si="50"/>
        <v>Distribution system assetsReplacement</v>
      </c>
      <c r="G79" s="228">
        <f>Unit_Rates!I87</f>
        <v>21.323700104130506</v>
      </c>
      <c r="H79" s="457">
        <f>INDEX(Feeder_Vols!$B$35:$F$43,MATCH($B$3,Feeder_Vols!$B$35:$B$43,0),3)</f>
        <v>1</v>
      </c>
      <c r="I79" s="264" t="s">
        <v>292</v>
      </c>
      <c r="J79" s="171"/>
      <c r="K79" s="268">
        <f>G79*H79</f>
        <v>21.323700104130506</v>
      </c>
      <c r="L79" s="268">
        <f>SUMPRODUCT(R$5:X$5,R79:X79)/Thousands</f>
        <v>6.8797885572139581</v>
      </c>
      <c r="M79" s="268">
        <f>$H79*Unit_Rates!K87</f>
        <v>4.3901735508503981</v>
      </c>
      <c r="N79" s="268">
        <f>$H79*Unit_Rates!L87</f>
        <v>23.832370704616444</v>
      </c>
      <c r="O79" s="268">
        <f>$H79*Unit_Rates!M87</f>
        <v>6.2716765012148539</v>
      </c>
      <c r="P79" s="228">
        <f>SUM(K79:O79)</f>
        <v>62.697709418026164</v>
      </c>
      <c r="Q79" s="537">
        <f>P79-(H79*Unit_Rates!$E$87)</f>
        <v>-1.9055594122377784E-2</v>
      </c>
      <c r="R79" s="327">
        <f t="shared" si="51"/>
        <v>13.025101164256439</v>
      </c>
      <c r="S79" s="327">
        <f t="shared" si="51"/>
        <v>13.942361809626611</v>
      </c>
      <c r="T79" s="327">
        <f t="shared" si="51"/>
        <v>15.998508096702862</v>
      </c>
      <c r="U79" s="327">
        <f t="shared" si="51"/>
        <v>0</v>
      </c>
      <c r="V79" s="327">
        <f t="shared" si="51"/>
        <v>0</v>
      </c>
      <c r="W79" s="327">
        <f t="shared" si="51"/>
        <v>0</v>
      </c>
      <c r="X79" s="327">
        <f t="shared" si="51"/>
        <v>0</v>
      </c>
      <c r="Y79" s="14">
        <f t="shared" si="52"/>
        <v>42.965971070585915</v>
      </c>
      <c r="Z79" s="15">
        <v>0.30314923274650013</v>
      </c>
      <c r="AA79" s="15">
        <v>0.32449777026385929</v>
      </c>
      <c r="AB79" s="15">
        <v>0.37235299698964064</v>
      </c>
      <c r="AC79" s="15">
        <v>0</v>
      </c>
      <c r="AD79" s="15">
        <v>0</v>
      </c>
      <c r="AE79" s="15">
        <v>0</v>
      </c>
      <c r="AF79" s="15">
        <v>0</v>
      </c>
      <c r="AG79" s="16">
        <f t="shared" si="53"/>
        <v>1</v>
      </c>
      <c r="AH79" t="b">
        <f t="shared" si="54"/>
        <v>1</v>
      </c>
      <c r="AI79" s="5">
        <v>42.965971070585908</v>
      </c>
    </row>
    <row r="80" spans="2:35" x14ac:dyDescent="0.3">
      <c r="B80" s="251"/>
      <c r="C80" s="171" t="s">
        <v>225</v>
      </c>
      <c r="D80" s="171" t="str">
        <f>Unit_Rates!G88</f>
        <v>Distribution system assets</v>
      </c>
      <c r="E80" s="171" t="str">
        <f>Unit_Rates!H88</f>
        <v>Replacement</v>
      </c>
      <c r="F80" s="171" t="str">
        <f t="shared" si="50"/>
        <v>Distribution system assetsReplacement</v>
      </c>
      <c r="G80" s="228">
        <f>Unit_Rates!I88</f>
        <v>14.297621705426357</v>
      </c>
      <c r="H80" s="457">
        <f>INDEX(Feeder_Vols!$B$35:$F$43,MATCH($B$3,Feeder_Vols!$B$35:$B$43,0),4)</f>
        <v>0</v>
      </c>
      <c r="I80" s="264" t="s">
        <v>292</v>
      </c>
      <c r="J80" s="171"/>
      <c r="K80" s="268">
        <f>G80*H80</f>
        <v>0</v>
      </c>
      <c r="L80" s="268">
        <f>SUMPRODUCT(R$5:X$5,R80:X80)/Thousands</f>
        <v>0</v>
      </c>
      <c r="M80" s="268">
        <f>$H80*Unit_Rates!K88</f>
        <v>0</v>
      </c>
      <c r="N80" s="268">
        <f>$H80*Unit_Rates!L88</f>
        <v>0</v>
      </c>
      <c r="O80" s="268">
        <f>$H80*Unit_Rates!M88</f>
        <v>0</v>
      </c>
      <c r="P80" s="228">
        <f>SUM(K80:O80)</f>
        <v>0</v>
      </c>
      <c r="Q80" s="537">
        <f>P80-(H80*Unit_Rates!$E$88)</f>
        <v>0</v>
      </c>
      <c r="R80" s="327">
        <f t="shared" si="51"/>
        <v>0</v>
      </c>
      <c r="S80" s="327">
        <f t="shared" si="51"/>
        <v>0</v>
      </c>
      <c r="T80" s="327">
        <f t="shared" si="51"/>
        <v>0</v>
      </c>
      <c r="U80" s="327">
        <f t="shared" si="51"/>
        <v>0</v>
      </c>
      <c r="V80" s="327">
        <f t="shared" si="51"/>
        <v>0</v>
      </c>
      <c r="W80" s="327">
        <f t="shared" si="51"/>
        <v>0</v>
      </c>
      <c r="X80" s="327">
        <f t="shared" si="51"/>
        <v>0</v>
      </c>
      <c r="Y80" s="14">
        <f t="shared" si="52"/>
        <v>0</v>
      </c>
      <c r="Z80" s="15">
        <v>0.11818857666880556</v>
      </c>
      <c r="AA80" s="15">
        <v>0.49778875974979209</v>
      </c>
      <c r="AB80" s="15">
        <v>0.3840226635814023</v>
      </c>
      <c r="AC80" s="15">
        <v>0</v>
      </c>
      <c r="AD80" s="15">
        <v>0</v>
      </c>
      <c r="AE80" s="15">
        <v>0</v>
      </c>
      <c r="AF80" s="15">
        <v>0</v>
      </c>
      <c r="AG80" s="16">
        <f t="shared" si="53"/>
        <v>1</v>
      </c>
      <c r="AH80" t="b">
        <f t="shared" si="54"/>
        <v>1</v>
      </c>
      <c r="AI80" s="5">
        <v>144.70421211980818</v>
      </c>
    </row>
    <row r="81" spans="2:35" x14ac:dyDescent="0.3">
      <c r="B81" s="251"/>
      <c r="C81" s="171" t="s">
        <v>227</v>
      </c>
      <c r="D81" s="171" t="str">
        <f>Unit_Rates!G89</f>
        <v>Distribution system assets</v>
      </c>
      <c r="E81" s="171" t="str">
        <f>Unit_Rates!H89</f>
        <v>Replacement</v>
      </c>
      <c r="F81" s="171" t="str">
        <f t="shared" si="50"/>
        <v>Distribution system assetsReplacement</v>
      </c>
      <c r="G81" s="228">
        <f>Unit_Rates!I89</f>
        <v>182.28643631627907</v>
      </c>
      <c r="H81" s="457">
        <f>INDEX(Feeder_Vols!$B$35:$F$43,MATCH($B$3,Feeder_Vols!$B$35:$B$43,0),5)</f>
        <v>0</v>
      </c>
      <c r="I81" s="264" t="s">
        <v>292</v>
      </c>
      <c r="J81" s="171"/>
      <c r="K81" s="268">
        <f>G81*H81</f>
        <v>0</v>
      </c>
      <c r="L81" s="268">
        <f>SUMPRODUCT(R$5:X$5,R81:X81)/Thousands</f>
        <v>0</v>
      </c>
      <c r="M81" s="268">
        <f>$H81*Unit_Rates!K89</f>
        <v>0</v>
      </c>
      <c r="N81" s="268">
        <f>$H81*Unit_Rates!L89</f>
        <v>0</v>
      </c>
      <c r="O81" s="268">
        <f>$H81*Unit_Rates!M89</f>
        <v>0</v>
      </c>
      <c r="P81" s="228">
        <f>SUM(K81:O81)</f>
        <v>0</v>
      </c>
      <c r="Q81" s="537">
        <f>P81-(H81*Unit_Rates!$E$89)</f>
        <v>0</v>
      </c>
      <c r="R81" s="327">
        <f t="shared" si="51"/>
        <v>0</v>
      </c>
      <c r="S81" s="327">
        <f t="shared" si="51"/>
        <v>0</v>
      </c>
      <c r="T81" s="327">
        <f t="shared" si="51"/>
        <v>0</v>
      </c>
      <c r="U81" s="327">
        <f t="shared" si="51"/>
        <v>0</v>
      </c>
      <c r="V81" s="327">
        <f t="shared" si="51"/>
        <v>0</v>
      </c>
      <c r="W81" s="327">
        <f t="shared" si="51"/>
        <v>0</v>
      </c>
      <c r="X81" s="327">
        <f t="shared" si="51"/>
        <v>0</v>
      </c>
      <c r="Y81" s="14">
        <f t="shared" si="52"/>
        <v>0</v>
      </c>
      <c r="Z81" s="15">
        <v>0.69942688247564233</v>
      </c>
      <c r="AA81" s="15">
        <v>4.8454943655496512E-2</v>
      </c>
      <c r="AB81" s="15">
        <v>0.25211817386886121</v>
      </c>
      <c r="AC81" s="15">
        <v>0</v>
      </c>
      <c r="AD81" s="15">
        <v>0</v>
      </c>
      <c r="AE81" s="15">
        <v>0</v>
      </c>
      <c r="AF81" s="15">
        <v>0</v>
      </c>
      <c r="AG81" s="16">
        <f t="shared" si="53"/>
        <v>1</v>
      </c>
      <c r="AH81" t="b">
        <f t="shared" si="54"/>
        <v>1</v>
      </c>
      <c r="AI81" s="5">
        <v>220.41130997006761</v>
      </c>
    </row>
    <row r="82" spans="2:35" x14ac:dyDescent="0.3">
      <c r="B82" s="251" t="s">
        <v>296</v>
      </c>
      <c r="C82" s="171"/>
      <c r="D82" s="171"/>
      <c r="E82" s="171"/>
      <c r="F82" s="171"/>
      <c r="G82" s="228"/>
      <c r="H82" s="231"/>
      <c r="I82" s="264"/>
      <c r="J82" s="171"/>
      <c r="K82" s="268"/>
      <c r="L82" s="268"/>
      <c r="M82" s="268"/>
      <c r="N82" s="268"/>
      <c r="O82" s="268"/>
      <c r="P82" s="228"/>
      <c r="R82" s="326"/>
      <c r="S82" s="326"/>
      <c r="T82" s="326"/>
      <c r="U82" s="326"/>
      <c r="V82" s="326"/>
      <c r="W82" s="326"/>
      <c r="X82" s="326"/>
      <c r="Y82" s="14">
        <f t="shared" si="52"/>
        <v>0</v>
      </c>
    </row>
    <row r="83" spans="2:35" x14ac:dyDescent="0.3">
      <c r="B83" s="232"/>
      <c r="C83" s="171" t="s">
        <v>553</v>
      </c>
      <c r="D83" s="171" t="str">
        <f>Unit_Rates!G95</f>
        <v>Distribution system assets</v>
      </c>
      <c r="E83" s="171" t="str">
        <f>Unit_Rates!H95</f>
        <v>Augmentation</v>
      </c>
      <c r="F83" s="171" t="str">
        <f>D83&amp;E83</f>
        <v>Distribution system assetsAugmentation</v>
      </c>
      <c r="G83" s="228">
        <f>Unit_Rates!I95</f>
        <v>490.33390034070919</v>
      </c>
      <c r="H83" s="456">
        <f>INDEX(Feeder_Vols!$C$48:$F$56,MATCH($B$3,Feeder_Vols!$B$48:$B$56,0),1)</f>
        <v>0</v>
      </c>
      <c r="I83" s="264" t="s">
        <v>292</v>
      </c>
      <c r="J83" s="171"/>
      <c r="K83" s="268">
        <f>G83*H83</f>
        <v>0</v>
      </c>
      <c r="L83" s="268">
        <f>SUMPRODUCT(R$5:X$5,R83:X83)/Thousands</f>
        <v>0</v>
      </c>
      <c r="M83" s="268">
        <f>$H83*Unit_Rates!K95</f>
        <v>0</v>
      </c>
      <c r="N83" s="268">
        <f>$H83*Unit_Rates!L95</f>
        <v>0</v>
      </c>
      <c r="O83" s="268">
        <f>$H83*Unit_Rates!M95</f>
        <v>0</v>
      </c>
      <c r="P83" s="228">
        <f>SUM(K83:O83)</f>
        <v>0</v>
      </c>
      <c r="Q83" s="19">
        <f>P83-H83*Unit_Rates!$E$95</f>
        <v>0</v>
      </c>
      <c r="R83" s="327">
        <f t="shared" ref="R83:X86" si="55">$AI83*Z83*$H83</f>
        <v>0</v>
      </c>
      <c r="S83" s="327">
        <f t="shared" si="55"/>
        <v>0</v>
      </c>
      <c r="T83" s="327">
        <f t="shared" si="55"/>
        <v>0</v>
      </c>
      <c r="U83" s="327">
        <f t="shared" si="55"/>
        <v>0</v>
      </c>
      <c r="V83" s="327">
        <f t="shared" si="55"/>
        <v>0</v>
      </c>
      <c r="W83" s="327">
        <f t="shared" si="55"/>
        <v>0</v>
      </c>
      <c r="X83" s="327">
        <f t="shared" si="55"/>
        <v>0</v>
      </c>
      <c r="Y83" s="14">
        <f t="shared" si="52"/>
        <v>0</v>
      </c>
      <c r="Z83" s="15">
        <v>0.18112413889844414</v>
      </c>
      <c r="AA83" s="15">
        <v>0.21477521965386426</v>
      </c>
      <c r="AB83" s="15">
        <v>0.6041006414476916</v>
      </c>
      <c r="AC83" s="15">
        <v>0</v>
      </c>
      <c r="AD83" s="15">
        <v>0</v>
      </c>
      <c r="AE83" s="15">
        <v>0</v>
      </c>
      <c r="AF83" s="15">
        <v>0</v>
      </c>
      <c r="AG83" s="16">
        <f t="shared" ref="AG83:AG86" si="56">SUM(Z83:AF83)</f>
        <v>1</v>
      </c>
      <c r="AH83" t="b">
        <f t="shared" si="54"/>
        <v>1</v>
      </c>
      <c r="AI83" s="5">
        <v>469.77670058953754</v>
      </c>
    </row>
    <row r="84" spans="2:35" x14ac:dyDescent="0.3">
      <c r="B84" s="232"/>
      <c r="C84" s="171" t="s">
        <v>481</v>
      </c>
      <c r="D84" s="171" t="str">
        <f>Unit_Rates!G96</f>
        <v>Distribution system assets</v>
      </c>
      <c r="E84" s="171" t="str">
        <f>Unit_Rates!H96</f>
        <v>Augmentation</v>
      </c>
      <c r="F84" s="171" t="str">
        <f t="shared" ref="F84:F86" si="57">D84&amp;E84</f>
        <v>Distribution system assetsAugmentation</v>
      </c>
      <c r="G84" s="228">
        <f>Unit_Rates!I96</f>
        <v>440.92036005674521</v>
      </c>
      <c r="H84" s="456">
        <f>INDEX(Feeder_Vols!$C$48:$F$56,MATCH($B$3,Feeder_Vols!$B$48:$B$56,0),2)</f>
        <v>0</v>
      </c>
      <c r="I84" s="264" t="s">
        <v>292</v>
      </c>
      <c r="J84" s="171"/>
      <c r="K84" s="268">
        <f t="shared" ref="K84:K86" si="58">G84*H84</f>
        <v>0</v>
      </c>
      <c r="L84" s="268">
        <f>SUMPRODUCT(R$5:X$5,R84:X84)/Thousands</f>
        <v>0</v>
      </c>
      <c r="M84" s="268">
        <f>$H84*Unit_Rates!K96</f>
        <v>0</v>
      </c>
      <c r="N84" s="268">
        <f>$H84*Unit_Rates!L96</f>
        <v>0</v>
      </c>
      <c r="O84" s="268">
        <f>$H84*Unit_Rates!M96</f>
        <v>0</v>
      </c>
      <c r="P84" s="228">
        <f t="shared" ref="P84:P86" si="59">SUM(K84:O84)</f>
        <v>0</v>
      </c>
      <c r="Q84" s="19">
        <f>P84-H84*Unit_Rates!$E$95</f>
        <v>0</v>
      </c>
      <c r="R84" s="327">
        <f t="shared" si="55"/>
        <v>0</v>
      </c>
      <c r="S84" s="327">
        <f t="shared" si="55"/>
        <v>0</v>
      </c>
      <c r="T84" s="327">
        <f t="shared" si="55"/>
        <v>0</v>
      </c>
      <c r="U84" s="327">
        <f t="shared" si="55"/>
        <v>0</v>
      </c>
      <c r="V84" s="327">
        <f t="shared" si="55"/>
        <v>0</v>
      </c>
      <c r="W84" s="327">
        <f t="shared" si="55"/>
        <v>0</v>
      </c>
      <c r="X84" s="327">
        <f t="shared" si="55"/>
        <v>0</v>
      </c>
      <c r="Y84" s="14">
        <f t="shared" si="52"/>
        <v>0</v>
      </c>
      <c r="Z84" s="15">
        <v>0.18112413889844414</v>
      </c>
      <c r="AA84" s="15">
        <v>0.42955043930772852</v>
      </c>
      <c r="AB84" s="15">
        <v>0.3893254217938274</v>
      </c>
      <c r="AC84" s="15">
        <v>0</v>
      </c>
      <c r="AD84" s="15">
        <v>0</v>
      </c>
      <c r="AE84" s="15">
        <v>0</v>
      </c>
      <c r="AF84" s="15">
        <v>0</v>
      </c>
      <c r="AG84" s="16">
        <f t="shared" si="56"/>
        <v>1</v>
      </c>
      <c r="AH84" t="b">
        <f t="shared" si="54"/>
        <v>1</v>
      </c>
      <c r="AI84" s="5">
        <v>500.15046310508262</v>
      </c>
    </row>
    <row r="85" spans="2:35" x14ac:dyDescent="0.3">
      <c r="B85" s="232"/>
      <c r="C85" s="171" t="s">
        <v>480</v>
      </c>
      <c r="D85" s="171" t="str">
        <f>Unit_Rates!G97</f>
        <v>Distribution system assets</v>
      </c>
      <c r="E85" s="171" t="str">
        <f>Unit_Rates!H97</f>
        <v>Augmentation</v>
      </c>
      <c r="F85" s="171" t="str">
        <f t="shared" si="57"/>
        <v>Distribution system assetsAugmentation</v>
      </c>
      <c r="G85" s="228">
        <f>Unit_Rates!I97</f>
        <v>464.96470387554706</v>
      </c>
      <c r="H85" s="456">
        <f>INDEX(Feeder_Vols!$C$48:$F$56,MATCH($B$3,Feeder_Vols!$B$48:$B$56,0),3)</f>
        <v>0</v>
      </c>
      <c r="I85" s="264" t="s">
        <v>292</v>
      </c>
      <c r="J85" s="171"/>
      <c r="K85" s="268">
        <f t="shared" si="58"/>
        <v>0</v>
      </c>
      <c r="L85" s="268">
        <f>SUMPRODUCT(R$5:X$5,R85:X85)/Thousands</f>
        <v>0</v>
      </c>
      <c r="M85" s="268">
        <f>$H85*Unit_Rates!K97</f>
        <v>0</v>
      </c>
      <c r="N85" s="268">
        <f>$H85*Unit_Rates!L97</f>
        <v>0</v>
      </c>
      <c r="O85" s="268">
        <f>$H85*Unit_Rates!M97</f>
        <v>0</v>
      </c>
      <c r="P85" s="228">
        <f t="shared" si="59"/>
        <v>0</v>
      </c>
      <c r="Q85" s="19">
        <f>P85-H85*Unit_Rates!$E$95</f>
        <v>0</v>
      </c>
      <c r="R85" s="327">
        <f t="shared" si="55"/>
        <v>0</v>
      </c>
      <c r="S85" s="327">
        <f t="shared" si="55"/>
        <v>0</v>
      </c>
      <c r="T85" s="327">
        <f t="shared" si="55"/>
        <v>0</v>
      </c>
      <c r="U85" s="327">
        <f t="shared" si="55"/>
        <v>0</v>
      </c>
      <c r="V85" s="327">
        <f t="shared" si="55"/>
        <v>0</v>
      </c>
      <c r="W85" s="327">
        <f t="shared" si="55"/>
        <v>0</v>
      </c>
      <c r="X85" s="327">
        <f t="shared" si="55"/>
        <v>0</v>
      </c>
      <c r="Y85" s="14">
        <f t="shared" si="52"/>
        <v>0</v>
      </c>
      <c r="Z85" s="15">
        <v>0.18112413889844414</v>
      </c>
      <c r="AA85" s="15">
        <v>0.42955043930772852</v>
      </c>
      <c r="AB85" s="15">
        <v>0.3893254217938274</v>
      </c>
      <c r="AC85" s="15">
        <v>0</v>
      </c>
      <c r="AD85" s="15">
        <v>0</v>
      </c>
      <c r="AE85" s="15">
        <v>0</v>
      </c>
      <c r="AF85" s="15">
        <v>0</v>
      </c>
      <c r="AG85" s="16">
        <f t="shared" si="56"/>
        <v>1</v>
      </c>
      <c r="AH85" t="b">
        <f t="shared" si="54"/>
        <v>1</v>
      </c>
      <c r="AI85" s="5">
        <v>416.11120533381393</v>
      </c>
    </row>
    <row r="86" spans="2:35" x14ac:dyDescent="0.3">
      <c r="B86" s="232"/>
      <c r="C86" s="236" t="s">
        <v>295</v>
      </c>
      <c r="D86" s="171" t="str">
        <f>Unit_Rates!G98</f>
        <v>Distribution system assets</v>
      </c>
      <c r="E86" s="171" t="str">
        <f>Unit_Rates!H98</f>
        <v>Replacement</v>
      </c>
      <c r="F86" s="171" t="str">
        <f t="shared" si="57"/>
        <v>Distribution system assetsReplacement</v>
      </c>
      <c r="G86" s="228">
        <f>Unit_Rates!I98</f>
        <v>26.699079189686927</v>
      </c>
      <c r="H86" s="456">
        <f>INDEX(Feeder_Vols!$C$48:$I$56,MATCH($B$3,Feeder_Vols!$B$48:$B$56,0),7)</f>
        <v>0</v>
      </c>
      <c r="I86" s="264" t="s">
        <v>292</v>
      </c>
      <c r="J86" s="171"/>
      <c r="K86" s="268">
        <f t="shared" si="58"/>
        <v>0</v>
      </c>
      <c r="L86" s="268">
        <f>SUMPRODUCT(R$5:X$5,R86:X86)/Thousands</f>
        <v>0</v>
      </c>
      <c r="M86" s="268">
        <f>$H86*Unit_Rates!K98</f>
        <v>0</v>
      </c>
      <c r="N86" s="268">
        <f>$H86*Unit_Rates!L98</f>
        <v>0</v>
      </c>
      <c r="O86" s="268">
        <f>$H86*Unit_Rates!M98</f>
        <v>0</v>
      </c>
      <c r="P86" s="228">
        <f t="shared" si="59"/>
        <v>0</v>
      </c>
      <c r="Q86" s="19">
        <f>P86-H86*Unit_Rates!$E$95</f>
        <v>0</v>
      </c>
      <c r="R86" s="327">
        <f t="shared" si="55"/>
        <v>0</v>
      </c>
      <c r="S86" s="327">
        <f t="shared" si="55"/>
        <v>0</v>
      </c>
      <c r="T86" s="327">
        <f t="shared" si="55"/>
        <v>0</v>
      </c>
      <c r="U86" s="327">
        <f t="shared" si="55"/>
        <v>0</v>
      </c>
      <c r="V86" s="327">
        <f t="shared" si="55"/>
        <v>0</v>
      </c>
      <c r="W86" s="327">
        <f t="shared" si="55"/>
        <v>0</v>
      </c>
      <c r="X86" s="327">
        <f t="shared" si="55"/>
        <v>0</v>
      </c>
      <c r="Y86" s="14">
        <f t="shared" si="52"/>
        <v>0</v>
      </c>
      <c r="Z86" s="15">
        <v>0.30314923274650013</v>
      </c>
      <c r="AA86" s="15">
        <v>0.32449777026385929</v>
      </c>
      <c r="AB86" s="15">
        <v>0.37235299698964064</v>
      </c>
      <c r="AC86" s="15">
        <v>0</v>
      </c>
      <c r="AD86" s="15">
        <v>0</v>
      </c>
      <c r="AE86" s="15">
        <v>0</v>
      </c>
      <c r="AF86" s="15">
        <v>0</v>
      </c>
      <c r="AG86" s="16">
        <f t="shared" si="56"/>
        <v>1</v>
      </c>
      <c r="AH86" t="b">
        <f t="shared" si="54"/>
        <v>1</v>
      </c>
      <c r="AI86" s="5">
        <v>53.863654268137608</v>
      </c>
    </row>
    <row r="87" spans="2:35" x14ac:dyDescent="0.3">
      <c r="B87" s="232"/>
      <c r="C87" s="171"/>
      <c r="D87" s="171"/>
      <c r="E87" s="171"/>
      <c r="F87" s="171"/>
      <c r="G87" s="224"/>
      <c r="H87" s="232"/>
      <c r="I87" s="224"/>
      <c r="J87" s="171"/>
      <c r="K87" s="235"/>
      <c r="L87" s="235"/>
      <c r="M87" s="235"/>
      <c r="N87" s="235"/>
      <c r="O87" s="235"/>
      <c r="P87" s="224"/>
    </row>
    <row r="88" spans="2:35" x14ac:dyDescent="0.3">
      <c r="B88" s="251" t="s">
        <v>283</v>
      </c>
      <c r="C88" s="171"/>
      <c r="D88" s="171"/>
      <c r="E88" s="171"/>
      <c r="F88" s="171"/>
      <c r="G88" s="224"/>
      <c r="H88" s="232"/>
      <c r="I88" s="224"/>
      <c r="J88" s="171"/>
      <c r="K88" s="319">
        <f>SUM(K70:K86)</f>
        <v>495.31712369506869</v>
      </c>
      <c r="L88" s="319">
        <f t="shared" ref="L88:P88" si="60">SUM(L70:L86)</f>
        <v>497.60453601128143</v>
      </c>
      <c r="M88" s="319">
        <f t="shared" si="60"/>
        <v>149.44550378340853</v>
      </c>
      <c r="N88" s="319">
        <f t="shared" si="60"/>
        <v>910.25023656037126</v>
      </c>
      <c r="O88" s="319">
        <f t="shared" si="60"/>
        <v>31.838823781702416</v>
      </c>
      <c r="P88" s="319">
        <f t="shared" si="60"/>
        <v>2084.4562238318322</v>
      </c>
    </row>
    <row r="89" spans="2:35" x14ac:dyDescent="0.3">
      <c r="B89" s="259" t="s">
        <v>55</v>
      </c>
      <c r="C89" s="260"/>
      <c r="D89" s="260"/>
      <c r="E89" s="260"/>
      <c r="F89" s="260"/>
      <c r="G89" s="260"/>
      <c r="H89" s="260"/>
      <c r="I89" s="260"/>
      <c r="J89" s="260"/>
      <c r="K89" s="323">
        <f>K88-SUMIF(Direct_Capex_Totals!$B$19:$B$109,$B$3,Direct_Capex_Totals!Q$19:Q$109)</f>
        <v>0</v>
      </c>
      <c r="L89" s="323">
        <f>L88-SUMIF(Direct_Capex_Totals!$B$19:$B$109,$B$3,Direct_Capex_Totals!R$19:R$109)</f>
        <v>0</v>
      </c>
      <c r="M89" s="323">
        <f>M88-SUMIF(Direct_Capex_Totals!$B$19:$B$109,$B$3,Direct_Capex_Totals!S$19:S$109)</f>
        <v>0</v>
      </c>
      <c r="N89" s="323">
        <f>N88-SUMIF(Direct_Capex_Totals!$B$19:$B$109,$B$3,Direct_Capex_Totals!T$19:T$109)</f>
        <v>0</v>
      </c>
      <c r="O89" s="323">
        <f>O88-SUMIF(Direct_Capex_Totals!$B$19:$B$109,$B$3,Direct_Capex_Totals!U$19:U$109)</f>
        <v>0</v>
      </c>
      <c r="P89" s="324">
        <f>SUM(K89:O89)</f>
        <v>0</v>
      </c>
      <c r="Q89" s="11"/>
    </row>
    <row r="90" spans="2:35" x14ac:dyDescent="0.3">
      <c r="B90" s="232"/>
      <c r="C90" s="171"/>
      <c r="D90" s="171"/>
      <c r="E90" s="171"/>
      <c r="F90" s="171"/>
      <c r="G90" s="171"/>
      <c r="H90" s="171"/>
      <c r="I90" s="171"/>
      <c r="J90" s="171"/>
      <c r="K90" s="157"/>
      <c r="L90" s="157"/>
      <c r="M90" s="157"/>
      <c r="N90" s="157"/>
      <c r="O90" s="157"/>
      <c r="P90" s="233"/>
    </row>
    <row r="91" spans="2:35" x14ac:dyDescent="0.3">
      <c r="B91" s="251" t="s">
        <v>103</v>
      </c>
      <c r="C91" s="252"/>
      <c r="D91" s="252"/>
      <c r="E91" s="252"/>
      <c r="F91" s="252"/>
      <c r="G91" s="252"/>
      <c r="H91" s="252"/>
      <c r="I91" s="252"/>
      <c r="J91" s="252"/>
      <c r="K91" s="26">
        <f>K57+K88</f>
        <v>2348.1269814111738</v>
      </c>
      <c r="L91" s="26">
        <f>L57+L88</f>
        <v>1107.5920360112814</v>
      </c>
      <c r="M91" s="26">
        <f t="shared" ref="M91:N91" si="61">M57+M88</f>
        <v>546.09666657410617</v>
      </c>
      <c r="N91" s="26">
        <f t="shared" si="61"/>
        <v>2084.8818273865313</v>
      </c>
      <c r="O91" s="26">
        <f>O57+O88</f>
        <v>252.72322053702385</v>
      </c>
      <c r="P91" s="253">
        <f>P57+P88</f>
        <v>6339.420731920115</v>
      </c>
    </row>
    <row r="92" spans="2:35" x14ac:dyDescent="0.3">
      <c r="B92" s="258" t="s">
        <v>55</v>
      </c>
      <c r="C92" s="254"/>
      <c r="D92" s="254"/>
      <c r="E92" s="254"/>
      <c r="F92" s="254"/>
      <c r="G92" s="254"/>
      <c r="H92" s="254"/>
      <c r="I92" s="254"/>
      <c r="J92" s="254"/>
      <c r="K92" s="256">
        <f>K91-Direct_Capex_Totals!Q132</f>
        <v>0</v>
      </c>
      <c r="L92" s="256">
        <f>L91-Direct_Capex_Totals!R132</f>
        <v>0</v>
      </c>
      <c r="M92" s="256">
        <f>M91-Direct_Capex_Totals!S132</f>
        <v>0</v>
      </c>
      <c r="N92" s="256">
        <f>N91-Direct_Capex_Totals!T132</f>
        <v>0</v>
      </c>
      <c r="O92" s="256">
        <f>O91-Direct_Capex_Totals!U132</f>
        <v>0</v>
      </c>
      <c r="P92" s="343">
        <f>SUM(K92:O92)</f>
        <v>0</v>
      </c>
    </row>
    <row r="94" spans="2:35" x14ac:dyDescent="0.3">
      <c r="S94" s="287"/>
      <c r="T94" s="287"/>
      <c r="U94" s="287"/>
      <c r="V94" s="287"/>
    </row>
    <row r="95" spans="2:35" hidden="1" outlineLevel="1" x14ac:dyDescent="0.3">
      <c r="C95" t="s">
        <v>261</v>
      </c>
      <c r="D95" t="s">
        <v>18</v>
      </c>
      <c r="E95" t="s">
        <v>42</v>
      </c>
      <c r="F95" s="171" t="str">
        <f t="shared" ref="F95:F115" si="62">D95&amp;E95</f>
        <v>SubtransmissionAugmentation</v>
      </c>
      <c r="K95" s="6">
        <v>484.6763230322498</v>
      </c>
      <c r="L95" s="6">
        <v>0</v>
      </c>
      <c r="M95" s="6">
        <v>0</v>
      </c>
      <c r="N95" s="6">
        <v>933.92368659043211</v>
      </c>
      <c r="O95" s="6">
        <v>217.83167115679473</v>
      </c>
      <c r="P95" s="6">
        <v>1636.4316807794767</v>
      </c>
      <c r="S95" s="287"/>
      <c r="T95" s="287"/>
      <c r="U95" s="287"/>
      <c r="V95" s="287"/>
    </row>
    <row r="96" spans="2:35" hidden="1" outlineLevel="1" x14ac:dyDescent="0.3">
      <c r="D96" t="s">
        <v>18</v>
      </c>
      <c r="E96" t="s">
        <v>44</v>
      </c>
      <c r="F96" s="171" t="str">
        <f t="shared" si="62"/>
        <v>SubtransmissionReplacement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S96" s="287"/>
      <c r="T96" s="287"/>
      <c r="U96" s="287"/>
      <c r="V96" s="287"/>
    </row>
    <row r="97" spans="3:22" hidden="1" outlineLevel="1" x14ac:dyDescent="0.3">
      <c r="D97" t="s">
        <v>22</v>
      </c>
      <c r="E97" t="s">
        <v>42</v>
      </c>
      <c r="F97" s="171" t="str">
        <f t="shared" si="62"/>
        <v>SCADA/Network controlAugmentation</v>
      </c>
      <c r="K97" s="6">
        <v>1368.1335346838555</v>
      </c>
      <c r="L97" s="6">
        <v>0</v>
      </c>
      <c r="M97" s="6">
        <v>0</v>
      </c>
      <c r="N97" s="6">
        <v>240.70790423572745</v>
      </c>
      <c r="O97" s="6">
        <v>3.0527255985267034</v>
      </c>
      <c r="P97" s="6">
        <v>1611.8941645181096</v>
      </c>
      <c r="S97" s="287"/>
      <c r="T97" s="287"/>
      <c r="U97" s="287"/>
      <c r="V97" s="287"/>
    </row>
    <row r="98" spans="3:22" hidden="1" outlineLevel="1" x14ac:dyDescent="0.3">
      <c r="D98" t="s">
        <v>22</v>
      </c>
      <c r="E98" t="s">
        <v>44</v>
      </c>
      <c r="F98" s="171" t="str">
        <f t="shared" si="62"/>
        <v>SCADA/Network controlReplacement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</row>
    <row r="99" spans="3:22" hidden="1" outlineLevel="1" x14ac:dyDescent="0.3">
      <c r="D99" t="s">
        <v>195</v>
      </c>
      <c r="E99" t="s">
        <v>66</v>
      </c>
      <c r="F99" s="171" t="str">
        <f t="shared" si="62"/>
        <v>LandNon-Network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</row>
    <row r="100" spans="3:22" hidden="1" outlineLevel="1" x14ac:dyDescent="0.3">
      <c r="F100" s="171"/>
      <c r="K100" s="6">
        <v>1852.8098577161054</v>
      </c>
      <c r="L100" s="6">
        <v>0</v>
      </c>
      <c r="M100" s="6">
        <v>0</v>
      </c>
      <c r="N100" s="6">
        <v>1174.6315908261595</v>
      </c>
      <c r="O100" s="6">
        <v>220.88439675532143</v>
      </c>
      <c r="P100" s="6">
        <v>3248.3258452975861</v>
      </c>
    </row>
    <row r="101" spans="3:22" hidden="1" outlineLevel="1" x14ac:dyDescent="0.3">
      <c r="C101" t="s">
        <v>368</v>
      </c>
      <c r="D101" t="s">
        <v>18</v>
      </c>
      <c r="E101" t="s">
        <v>42</v>
      </c>
      <c r="F101" s="171" t="str">
        <f t="shared" ref="F101:F105" si="63">D101&amp;E101</f>
        <v>SubtransmissionAugmentation</v>
      </c>
      <c r="K101" s="6"/>
      <c r="L101" s="6">
        <v>307.29764112935641</v>
      </c>
      <c r="M101" s="6">
        <v>199.82371225114898</v>
      </c>
      <c r="N101" s="6">
        <v>0</v>
      </c>
      <c r="O101" s="6"/>
      <c r="P101" s="6">
        <v>507.12135338050541</v>
      </c>
    </row>
    <row r="102" spans="3:22" hidden="1" outlineLevel="1" x14ac:dyDescent="0.3">
      <c r="D102" t="s">
        <v>18</v>
      </c>
      <c r="E102" t="s">
        <v>44</v>
      </c>
      <c r="F102" s="171" t="str">
        <f t="shared" si="63"/>
        <v>SubtransmissionReplacement</v>
      </c>
      <c r="K102" s="6"/>
      <c r="L102" s="6">
        <v>0</v>
      </c>
      <c r="M102" s="6">
        <v>0</v>
      </c>
      <c r="N102" s="6">
        <v>0</v>
      </c>
      <c r="O102" s="6"/>
      <c r="P102" s="6">
        <v>0</v>
      </c>
    </row>
    <row r="103" spans="3:22" hidden="1" outlineLevel="1" x14ac:dyDescent="0.3">
      <c r="D103" t="s">
        <v>22</v>
      </c>
      <c r="E103" t="s">
        <v>42</v>
      </c>
      <c r="F103" s="171" t="str">
        <f t="shared" si="63"/>
        <v>SCADA/Network controlAugmentation</v>
      </c>
      <c r="K103" s="6"/>
      <c r="L103" s="6">
        <v>302.6898588706436</v>
      </c>
      <c r="M103" s="6">
        <v>196.82745053954869</v>
      </c>
      <c r="N103" s="6">
        <v>0</v>
      </c>
      <c r="O103" s="6"/>
      <c r="P103" s="6">
        <v>499.5173094101923</v>
      </c>
    </row>
    <row r="104" spans="3:22" hidden="1" outlineLevel="1" x14ac:dyDescent="0.3">
      <c r="D104" t="s">
        <v>22</v>
      </c>
      <c r="E104" t="s">
        <v>44</v>
      </c>
      <c r="F104" s="171" t="str">
        <f t="shared" si="63"/>
        <v>SCADA/Network controlReplacement</v>
      </c>
      <c r="K104" s="6"/>
      <c r="L104" s="6">
        <v>0</v>
      </c>
      <c r="M104" s="6">
        <v>0</v>
      </c>
      <c r="N104" s="6">
        <v>0</v>
      </c>
      <c r="O104" s="6"/>
      <c r="P104" s="6">
        <v>0</v>
      </c>
    </row>
    <row r="105" spans="3:22" hidden="1" outlineLevel="1" x14ac:dyDescent="0.3">
      <c r="D105" t="s">
        <v>195</v>
      </c>
      <c r="E105" t="s">
        <v>66</v>
      </c>
      <c r="F105" s="171" t="str">
        <f t="shared" si="63"/>
        <v>LandNon-Network</v>
      </c>
      <c r="K105" s="39"/>
      <c r="L105" s="39">
        <v>0</v>
      </c>
      <c r="M105" s="39">
        <v>0</v>
      </c>
      <c r="N105" s="39">
        <v>0</v>
      </c>
      <c r="O105" s="39"/>
      <c r="P105" s="39">
        <v>0</v>
      </c>
    </row>
    <row r="106" spans="3:22" hidden="1" outlineLevel="1" x14ac:dyDescent="0.3">
      <c r="F106" s="171"/>
      <c r="K106" s="6">
        <v>0</v>
      </c>
      <c r="L106" s="6">
        <v>609.98749999999995</v>
      </c>
      <c r="M106" s="6">
        <v>396.65116279069764</v>
      </c>
      <c r="N106" s="6">
        <v>0</v>
      </c>
      <c r="O106" s="6">
        <v>0</v>
      </c>
      <c r="P106" s="6">
        <v>1006.6386627906977</v>
      </c>
    </row>
    <row r="107" spans="3:22" hidden="1" outlineLevel="1" x14ac:dyDescent="0.3">
      <c r="C107" t="s">
        <v>377</v>
      </c>
      <c r="D107" t="s">
        <v>18</v>
      </c>
      <c r="E107" t="s">
        <v>42</v>
      </c>
      <c r="F107" s="171" t="str">
        <f t="shared" ref="F107:F111" si="64">D107&amp;E107</f>
        <v>SubtransmissionAugmentation</v>
      </c>
      <c r="K107" s="6">
        <v>484.6763230322498</v>
      </c>
      <c r="L107" s="6">
        <v>307.29764112935641</v>
      </c>
      <c r="M107" s="6">
        <v>199.82371225114898</v>
      </c>
      <c r="N107" s="6">
        <v>933.92368659043211</v>
      </c>
      <c r="O107" s="6">
        <v>217.83167115679473</v>
      </c>
      <c r="P107" s="6">
        <v>2143.553034159982</v>
      </c>
    </row>
    <row r="108" spans="3:22" hidden="1" outlineLevel="1" x14ac:dyDescent="0.3">
      <c r="D108" t="s">
        <v>18</v>
      </c>
      <c r="E108" t="s">
        <v>44</v>
      </c>
      <c r="F108" s="171" t="str">
        <f t="shared" si="64"/>
        <v>SubtransmissionReplacement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</row>
    <row r="109" spans="3:22" hidden="1" outlineLevel="1" x14ac:dyDescent="0.3">
      <c r="D109" t="s">
        <v>22</v>
      </c>
      <c r="E109" t="s">
        <v>42</v>
      </c>
      <c r="F109" s="171" t="str">
        <f t="shared" si="64"/>
        <v>SCADA/Network controlAugmentation</v>
      </c>
      <c r="K109" s="6">
        <v>1368.1335346838555</v>
      </c>
      <c r="L109" s="6">
        <v>302.6898588706436</v>
      </c>
      <c r="M109" s="6">
        <v>196.82745053954869</v>
      </c>
      <c r="N109" s="6">
        <v>240.70790423572745</v>
      </c>
      <c r="O109" s="6">
        <v>3.0527255985267034</v>
      </c>
      <c r="P109" s="6">
        <v>2111.4114739283018</v>
      </c>
    </row>
    <row r="110" spans="3:22" hidden="1" outlineLevel="1" x14ac:dyDescent="0.3">
      <c r="D110" t="s">
        <v>22</v>
      </c>
      <c r="E110" t="s">
        <v>44</v>
      </c>
      <c r="F110" s="171" t="str">
        <f t="shared" si="64"/>
        <v>SCADA/Network controlReplacement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3:22" hidden="1" outlineLevel="1" x14ac:dyDescent="0.3">
      <c r="D111" t="s">
        <v>195</v>
      </c>
      <c r="E111" t="s">
        <v>66</v>
      </c>
      <c r="F111" s="171" t="str">
        <f t="shared" si="64"/>
        <v>LandNon-Network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</row>
    <row r="112" spans="3:22" hidden="1" outlineLevel="1" x14ac:dyDescent="0.3">
      <c r="F112" s="171"/>
      <c r="K112" s="6">
        <v>1852.8098577161054</v>
      </c>
      <c r="L112" s="6">
        <v>609.98749999999995</v>
      </c>
      <c r="M112" s="6">
        <v>396.65116279069764</v>
      </c>
      <c r="N112" s="6">
        <v>1174.6315908261595</v>
      </c>
      <c r="O112" s="6">
        <v>220.88439675532143</v>
      </c>
      <c r="P112" s="6">
        <v>4254.9645080882838</v>
      </c>
    </row>
    <row r="113" spans="3:16" hidden="1" outlineLevel="1" x14ac:dyDescent="0.3">
      <c r="F113" s="171"/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</row>
    <row r="114" spans="3:16" hidden="1" outlineLevel="1" x14ac:dyDescent="0.3">
      <c r="C114" t="s">
        <v>17</v>
      </c>
      <c r="D114" t="s">
        <v>19</v>
      </c>
      <c r="E114" t="s">
        <v>42</v>
      </c>
      <c r="F114" s="171" t="str">
        <f t="shared" si="62"/>
        <v>Distribution system assetsAugmentation</v>
      </c>
      <c r="K114" s="6">
        <v>92.375097674418583</v>
      </c>
      <c r="L114" s="6">
        <v>136.2033149772451</v>
      </c>
      <c r="M114" s="6">
        <v>145.05533023255813</v>
      </c>
      <c r="N114" s="6">
        <v>283.67043783621534</v>
      </c>
      <c r="O114" s="6">
        <v>25.427501982264111</v>
      </c>
      <c r="P114" s="6">
        <v>682.73168270270128</v>
      </c>
    </row>
    <row r="115" spans="3:16" hidden="1" outlineLevel="1" x14ac:dyDescent="0.3">
      <c r="D115" t="s">
        <v>19</v>
      </c>
      <c r="E115" t="s">
        <v>44</v>
      </c>
      <c r="F115" s="171" t="str">
        <f t="shared" si="62"/>
        <v>Distribution system assetsReplacement</v>
      </c>
      <c r="K115" s="39">
        <v>0</v>
      </c>
      <c r="L115" s="39">
        <v>1.2581768759185463</v>
      </c>
      <c r="M115" s="39">
        <v>0</v>
      </c>
      <c r="N115" s="39">
        <v>49.916208595348827</v>
      </c>
      <c r="O115" s="39">
        <v>0</v>
      </c>
      <c r="P115" s="39">
        <v>51.174385471267371</v>
      </c>
    </row>
    <row r="116" spans="3:16" hidden="1" outlineLevel="1" x14ac:dyDescent="0.3">
      <c r="F116" s="171"/>
      <c r="K116" s="14">
        <v>92.375097674418583</v>
      </c>
      <c r="L116" s="14">
        <v>137.46149185316364</v>
      </c>
      <c r="M116" s="14">
        <v>145.05533023255813</v>
      </c>
      <c r="N116" s="14">
        <v>333.58664643156419</v>
      </c>
      <c r="O116" s="14">
        <v>25.427501982264111</v>
      </c>
      <c r="P116" s="14">
        <v>733.90606817396861</v>
      </c>
    </row>
    <row r="117" spans="3:16" hidden="1" outlineLevel="1" x14ac:dyDescent="0.3">
      <c r="F117" s="171"/>
      <c r="K117" s="19">
        <f>K116-K70</f>
        <v>0</v>
      </c>
      <c r="L117" s="19">
        <f t="shared" ref="L117:P117" si="65">L116-L70</f>
        <v>0</v>
      </c>
      <c r="M117" s="19">
        <f t="shared" si="65"/>
        <v>0</v>
      </c>
      <c r="N117" s="19">
        <f t="shared" si="65"/>
        <v>0</v>
      </c>
      <c r="O117" s="19">
        <f t="shared" si="65"/>
        <v>0</v>
      </c>
      <c r="P117" s="19">
        <f t="shared" si="65"/>
        <v>0</v>
      </c>
    </row>
    <row r="118" spans="3:16" collapsed="1" x14ac:dyDescent="0.3">
      <c r="F118" s="171"/>
    </row>
  </sheetData>
  <dataConsolidate/>
  <mergeCells count="3">
    <mergeCell ref="K3:P3"/>
    <mergeCell ref="G3:I3"/>
    <mergeCell ref="R3:X3"/>
  </mergeCells>
  <conditionalFormatting sqref="Q57">
    <cfRule type="expression" dxfId="2" priority="1">
      <formula>$P$57-$Q$57=0</formula>
    </cfRule>
  </conditionalFormatting>
  <pageMargins left="0.25" right="0.25" top="0.75" bottom="0.75" header="0.3" footer="0.3"/>
  <pageSetup paperSize="9" scale="72" fitToHeight="0" orientation="portrait" r:id="rId1"/>
  <ignoredErrors>
    <ignoredError sqref="AG77:AG81 AG62:AG72 L10:L13" formulaRange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B1:BC121"/>
  <sheetViews>
    <sheetView zoomScale="85" zoomScaleNormal="85" workbookViewId="0">
      <pane xSplit="3" ySplit="4" topLeftCell="D5" activePane="bottomRight" state="frozen"/>
      <selection activeCell="C6" sqref="C6"/>
      <selection pane="topRight" activeCell="C6" sqref="C6"/>
      <selection pane="bottomLeft" activeCell="C6" sqref="C6"/>
      <selection pane="bottomRight" activeCell="P48" sqref="P48"/>
    </sheetView>
  </sheetViews>
  <sheetFormatPr defaultRowHeight="14.4" outlineLevelRow="1" outlineLevelCol="1" x14ac:dyDescent="0.3"/>
  <cols>
    <col min="1" max="1" width="2.33203125" customWidth="1"/>
    <col min="2" max="2" width="3" customWidth="1"/>
    <col min="3" max="3" width="52" customWidth="1"/>
    <col min="4" max="4" width="20" hidden="1" customWidth="1" outlineLevel="1"/>
    <col min="5" max="6" width="15.33203125" hidden="1" customWidth="1" outlineLevel="1"/>
    <col min="7" max="7" width="9.33203125" customWidth="1" collapsed="1"/>
    <col min="8" max="8" width="8.6640625" customWidth="1"/>
    <col min="9" max="9" width="10.6640625" customWidth="1"/>
    <col min="10" max="10" width="2.33203125" customWidth="1"/>
    <col min="11" max="11" width="9.6640625" bestFit="1" customWidth="1"/>
    <col min="12" max="12" width="9.5546875" bestFit="1" customWidth="1"/>
    <col min="13" max="13" width="9.44140625" customWidth="1"/>
    <col min="14" max="14" width="12.33203125" customWidth="1"/>
    <col min="15" max="15" width="9.33203125" bestFit="1" customWidth="1"/>
    <col min="16" max="16" width="10.33203125" customWidth="1"/>
    <col min="17" max="17" width="9.6640625" bestFit="1" customWidth="1"/>
    <col min="18" max="18" width="9" bestFit="1" customWidth="1"/>
    <col min="19" max="19" width="9.6640625" customWidth="1"/>
    <col min="20" max="22" width="9" bestFit="1" customWidth="1"/>
    <col min="26" max="35" width="8.88671875" hidden="1" customWidth="1" outlineLevel="1"/>
    <col min="36" max="36" width="8.88671875" collapsed="1"/>
    <col min="42" max="42" width="37.6640625" customWidth="1"/>
    <col min="48" max="48" width="9.5546875" bestFit="1" customWidth="1"/>
  </cols>
  <sheetData>
    <row r="1" spans="2:33" x14ac:dyDescent="0.3">
      <c r="N1" s="567" t="s">
        <v>425</v>
      </c>
    </row>
    <row r="2" spans="2:33" x14ac:dyDescent="0.3">
      <c r="B2" s="22" t="str">
        <f>STN_2&amp;" Volumes &amp; Unit Rates"</f>
        <v>ELM Volumes &amp; Unit Rates</v>
      </c>
      <c r="R2" s="176"/>
      <c r="S2" s="176"/>
      <c r="T2" s="176"/>
      <c r="U2" s="176"/>
      <c r="V2" s="176"/>
      <c r="W2" s="176"/>
      <c r="X2" s="176"/>
    </row>
    <row r="3" spans="2:33" x14ac:dyDescent="0.3">
      <c r="B3" t="str">
        <f>STN_2</f>
        <v>ELM</v>
      </c>
      <c r="G3" s="596" t="s">
        <v>135</v>
      </c>
      <c r="H3" s="597"/>
      <c r="I3" s="598"/>
      <c r="K3" s="596" t="s">
        <v>633</v>
      </c>
      <c r="L3" s="597"/>
      <c r="M3" s="597"/>
      <c r="N3" s="597"/>
      <c r="O3" s="597"/>
      <c r="P3" s="598"/>
      <c r="R3" s="596" t="s">
        <v>352</v>
      </c>
      <c r="S3" s="597"/>
      <c r="T3" s="597"/>
      <c r="U3" s="597"/>
      <c r="V3" s="597"/>
      <c r="W3" s="597"/>
      <c r="X3" s="598"/>
    </row>
    <row r="4" spans="2:33" ht="45" customHeight="1" x14ac:dyDescent="0.3">
      <c r="D4" t="s">
        <v>362</v>
      </c>
      <c r="E4" t="s">
        <v>84</v>
      </c>
      <c r="G4" s="221" t="s">
        <v>634</v>
      </c>
      <c r="H4" s="230" t="s">
        <v>265</v>
      </c>
      <c r="I4" s="220" t="s">
        <v>293</v>
      </c>
      <c r="K4" s="220" t="s">
        <v>135</v>
      </c>
      <c r="L4" s="220" t="s">
        <v>290</v>
      </c>
      <c r="M4" s="295" t="s">
        <v>136</v>
      </c>
      <c r="N4" s="221" t="s">
        <v>137</v>
      </c>
      <c r="O4" s="220" t="s">
        <v>60</v>
      </c>
      <c r="P4" s="220" t="s">
        <v>291</v>
      </c>
      <c r="Q4" s="266" t="s">
        <v>114</v>
      </c>
      <c r="R4" s="298" t="s">
        <v>285</v>
      </c>
      <c r="S4" s="298" t="s">
        <v>289</v>
      </c>
      <c r="T4" s="298" t="s">
        <v>256</v>
      </c>
      <c r="U4" s="298" t="s">
        <v>286</v>
      </c>
      <c r="V4" s="298" t="s">
        <v>287</v>
      </c>
      <c r="W4" s="298" t="s">
        <v>288</v>
      </c>
      <c r="X4" s="298" t="s">
        <v>345</v>
      </c>
      <c r="Y4" s="460" t="s">
        <v>485</v>
      </c>
    </row>
    <row r="5" spans="2:33" x14ac:dyDescent="0.3">
      <c r="B5" s="248" t="s">
        <v>314</v>
      </c>
      <c r="C5" s="292"/>
      <c r="D5" s="292"/>
      <c r="E5" s="292"/>
      <c r="F5" s="292"/>
      <c r="G5" s="221"/>
      <c r="H5" s="293"/>
      <c r="I5" s="294"/>
      <c r="J5" s="292"/>
      <c r="K5" s="294"/>
      <c r="L5" s="294"/>
      <c r="M5" s="294"/>
      <c r="N5" s="295"/>
      <c r="O5" s="294"/>
      <c r="P5" s="294"/>
      <c r="R5" s="325">
        <f>Lab_Rates!$C$6*(1+Escalators!C5)*(1+Escalators!C15)</f>
        <v>158.45839054425579</v>
      </c>
      <c r="S5" s="325">
        <f>Lab_Rates!$C$7*(1+Escalators!C5)*(1+Escalators!C15)</f>
        <v>148.03349642950209</v>
      </c>
      <c r="T5" s="325">
        <f>Lab_Rates!$C$8*(1+Escalators!C5)*(1+Escalators!C15)</f>
        <v>172.01075289343555</v>
      </c>
      <c r="U5" s="325">
        <f>Lab_Rates!$C$9*(1+Escalators!C5)*(1+Escalators!C15)</f>
        <v>224.1352234672039</v>
      </c>
      <c r="V5" s="325">
        <f>Lab_Rates!$C$6*(1+Escalators!C5)*(1+Escalators!C15)</f>
        <v>158.45839054425579</v>
      </c>
      <c r="W5" s="325">
        <f>Lab_Rates!$C$10*(1+Escalators!C5)*(1+Escalators!C15)</f>
        <v>158.45839054425579</v>
      </c>
      <c r="X5" s="325">
        <f>Lab_Rates!$C$5*(1+Escalators!C5)*(1+Escalators!C15)</f>
        <v>130.31117643442087</v>
      </c>
    </row>
    <row r="6" spans="2:33" x14ac:dyDescent="0.3">
      <c r="B6" s="251"/>
      <c r="C6" s="171"/>
      <c r="D6" s="171"/>
      <c r="E6" s="171"/>
      <c r="F6" s="171"/>
      <c r="G6" s="271"/>
      <c r="H6" s="231"/>
      <c r="I6" s="264"/>
      <c r="K6" s="271"/>
      <c r="L6" s="271"/>
      <c r="M6" s="271"/>
      <c r="N6" s="222"/>
      <c r="O6" s="271"/>
      <c r="P6" s="223"/>
      <c r="R6" s="326"/>
      <c r="S6" s="326"/>
      <c r="T6" s="326"/>
      <c r="U6" s="326"/>
      <c r="V6" s="326"/>
      <c r="W6" s="326"/>
      <c r="X6" s="326"/>
    </row>
    <row r="7" spans="2:33" x14ac:dyDescent="0.3">
      <c r="B7" s="232" t="s">
        <v>315</v>
      </c>
      <c r="D7" t="s">
        <v>365</v>
      </c>
      <c r="E7" t="s">
        <v>365</v>
      </c>
      <c r="G7" s="309"/>
      <c r="H7" s="314"/>
      <c r="I7" s="315"/>
      <c r="K7" s="309"/>
      <c r="L7" s="271">
        <f>SUMPRODUCT(R$5:X$5,R7:X7)/Thousands</f>
        <v>0</v>
      </c>
      <c r="M7" s="447">
        <v>644.55813953488359</v>
      </c>
      <c r="N7" s="447"/>
      <c r="O7" s="309"/>
      <c r="P7" s="223">
        <f t="shared" ref="P7" si="0">SUM(K7:O7)</f>
        <v>644.55813953488359</v>
      </c>
      <c r="Q7" s="19"/>
      <c r="R7" s="327">
        <v>0</v>
      </c>
      <c r="S7" s="328"/>
      <c r="T7" s="328"/>
      <c r="U7" s="328"/>
      <c r="V7" s="328"/>
      <c r="W7" s="328"/>
      <c r="X7" s="328"/>
    </row>
    <row r="8" spans="2:33" x14ac:dyDescent="0.3">
      <c r="B8" s="234"/>
      <c r="C8" s="42"/>
      <c r="D8" s="42"/>
      <c r="E8" s="42"/>
      <c r="F8" s="42"/>
      <c r="G8" s="241"/>
      <c r="H8" s="284"/>
      <c r="I8" s="263"/>
      <c r="K8" s="241"/>
      <c r="L8" s="241"/>
      <c r="M8" s="310"/>
      <c r="N8" s="310"/>
      <c r="O8" s="310"/>
      <c r="P8" s="242"/>
      <c r="R8" s="326"/>
      <c r="S8" s="326"/>
      <c r="T8" s="326"/>
      <c r="U8" s="326"/>
      <c r="V8" s="326"/>
      <c r="W8" s="326"/>
      <c r="X8" s="326"/>
    </row>
    <row r="9" spans="2:33" x14ac:dyDescent="0.3">
      <c r="B9" s="237" t="s">
        <v>269</v>
      </c>
      <c r="C9" s="238"/>
      <c r="D9" s="292"/>
      <c r="E9" s="292"/>
      <c r="F9" s="292"/>
      <c r="G9" s="239"/>
      <c r="H9" s="285"/>
      <c r="I9" s="220"/>
      <c r="K9" s="239"/>
      <c r="L9" s="239"/>
      <c r="M9" s="311"/>
      <c r="N9" s="311"/>
      <c r="O9" s="311"/>
      <c r="P9" s="243"/>
      <c r="R9" s="326"/>
      <c r="S9" s="326"/>
      <c r="T9" s="326"/>
      <c r="U9" s="326"/>
      <c r="V9" s="326"/>
      <c r="W9" s="326"/>
      <c r="X9" s="326"/>
    </row>
    <row r="10" spans="2:33" x14ac:dyDescent="0.3">
      <c r="B10" s="232"/>
      <c r="C10" s="171" t="s">
        <v>270</v>
      </c>
      <c r="D10" s="171" t="s">
        <v>365</v>
      </c>
      <c r="E10" s="171" t="s">
        <v>365</v>
      </c>
      <c r="F10" s="171"/>
      <c r="G10" s="309"/>
      <c r="H10" s="314"/>
      <c r="I10" s="315"/>
      <c r="K10" s="307"/>
      <c r="L10" s="225">
        <f>SUMPRODUCT(R$5:X$5,R10:X10)/Thousands</f>
        <v>48.69400000000001</v>
      </c>
      <c r="M10" s="306"/>
      <c r="N10" s="306">
        <v>0</v>
      </c>
      <c r="O10" s="307"/>
      <c r="P10" s="223">
        <f>SUM(K10:O10)</f>
        <v>48.69400000000001</v>
      </c>
      <c r="Q10" s="19"/>
      <c r="R10" s="327">
        <v>207.21403142993012</v>
      </c>
      <c r="S10" s="327">
        <v>77.473237968352223</v>
      </c>
      <c r="T10" s="327">
        <v>15.400463648641695</v>
      </c>
      <c r="U10" s="327">
        <v>7.7699453535485574</v>
      </c>
      <c r="V10" s="327">
        <v>0</v>
      </c>
      <c r="W10" s="327">
        <v>0</v>
      </c>
      <c r="X10" s="327">
        <v>0</v>
      </c>
      <c r="Y10" s="14">
        <f>SUM(R10:X10)</f>
        <v>307.85767840047259</v>
      </c>
      <c r="AA10" s="15"/>
      <c r="AB10" s="15"/>
      <c r="AC10" s="15"/>
      <c r="AD10" s="15"/>
      <c r="AE10" s="15"/>
      <c r="AF10" s="15"/>
      <c r="AG10" s="15"/>
    </row>
    <row r="11" spans="2:33" x14ac:dyDescent="0.3">
      <c r="B11" s="232"/>
      <c r="C11" s="171" t="s">
        <v>271</v>
      </c>
      <c r="D11" s="171" t="s">
        <v>365</v>
      </c>
      <c r="E11" s="171" t="s">
        <v>365</v>
      </c>
      <c r="F11" s="171"/>
      <c r="G11" s="309"/>
      <c r="H11" s="314"/>
      <c r="I11" s="315"/>
      <c r="K11" s="307"/>
      <c r="L11" s="225">
        <f>SUMPRODUCT(R$5:X$5,R11:X11)/Thousands</f>
        <v>415.87900000000002</v>
      </c>
      <c r="M11" s="306"/>
      <c r="N11" s="447">
        <v>0</v>
      </c>
      <c r="O11" s="307"/>
      <c r="P11" s="223">
        <f>SUM(K11:O11)</f>
        <v>415.87900000000002</v>
      </c>
      <c r="Q11" s="347"/>
      <c r="R11" s="327">
        <v>287.37330189104176</v>
      </c>
      <c r="S11" s="327">
        <v>0</v>
      </c>
      <c r="T11" s="327">
        <v>576.73626530228296</v>
      </c>
      <c r="U11" s="327">
        <v>82.470745122980759</v>
      </c>
      <c r="V11" s="327">
        <v>766.32880504277796</v>
      </c>
      <c r="W11" s="327">
        <v>828.11406494935193</v>
      </c>
      <c r="X11" s="327">
        <v>0</v>
      </c>
      <c r="Y11" s="14">
        <f t="shared" ref="Y11:Y13" si="1">SUM(R11:X11)</f>
        <v>2541.0231823084355</v>
      </c>
      <c r="AA11" s="15"/>
      <c r="AB11" s="15"/>
      <c r="AC11" s="15"/>
      <c r="AD11" s="15"/>
      <c r="AE11" s="15"/>
      <c r="AF11" s="15"/>
      <c r="AG11" s="15"/>
    </row>
    <row r="12" spans="2:33" x14ac:dyDescent="0.3">
      <c r="B12" s="232"/>
      <c r="C12" s="171" t="s">
        <v>304</v>
      </c>
      <c r="D12" s="171" t="s">
        <v>365</v>
      </c>
      <c r="E12" s="171" t="s">
        <v>365</v>
      </c>
      <c r="F12" s="171"/>
      <c r="G12" s="309"/>
      <c r="H12" s="314"/>
      <c r="I12" s="315"/>
      <c r="K12" s="307"/>
      <c r="L12" s="225">
        <f>SUMPRODUCT(R$5:X$5,R12:X12)/Thousands</f>
        <v>234.15000000000003</v>
      </c>
      <c r="M12" s="306"/>
      <c r="N12" s="306">
        <v>0</v>
      </c>
      <c r="O12" s="307"/>
      <c r="P12" s="223">
        <f>SUM(K12:O12)</f>
        <v>234.15000000000003</v>
      </c>
      <c r="Q12" s="19"/>
      <c r="R12" s="327">
        <v>0</v>
      </c>
      <c r="S12" s="327">
        <v>0</v>
      </c>
      <c r="T12" s="327">
        <v>301.04328725272808</v>
      </c>
      <c r="U12" s="327">
        <v>0</v>
      </c>
      <c r="V12" s="327">
        <v>428.03608650749743</v>
      </c>
      <c r="W12" s="327">
        <v>134.66303845179695</v>
      </c>
      <c r="X12" s="327">
        <v>715.23350762884866</v>
      </c>
      <c r="Y12" s="14">
        <f t="shared" si="1"/>
        <v>1578.975919840871</v>
      </c>
      <c r="AA12" s="15"/>
      <c r="AB12" s="15"/>
      <c r="AC12" s="15"/>
      <c r="AD12" s="15"/>
      <c r="AE12" s="15"/>
      <c r="AF12" s="15"/>
      <c r="AG12" s="15"/>
    </row>
    <row r="13" spans="2:33" x14ac:dyDescent="0.3">
      <c r="B13" s="232"/>
      <c r="C13" s="171" t="s">
        <v>272</v>
      </c>
      <c r="D13" s="171" t="s">
        <v>365</v>
      </c>
      <c r="E13" s="171" t="s">
        <v>365</v>
      </c>
      <c r="F13" s="171"/>
      <c r="G13" s="309"/>
      <c r="H13" s="314"/>
      <c r="I13" s="315"/>
      <c r="K13" s="307"/>
      <c r="L13" s="225">
        <f>SUMPRODUCT(R$5:X$5,R13:X13)/Thousands</f>
        <v>124.9875</v>
      </c>
      <c r="M13" s="306"/>
      <c r="N13" s="306">
        <v>0</v>
      </c>
      <c r="O13" s="307"/>
      <c r="P13" s="223">
        <f>SUM(K13:O13)</f>
        <v>124.9875</v>
      </c>
      <c r="Q13" s="19"/>
      <c r="R13" s="327">
        <v>0</v>
      </c>
      <c r="S13" s="327">
        <v>0</v>
      </c>
      <c r="T13" s="327">
        <v>726.62608527405553</v>
      </c>
      <c r="U13" s="327">
        <v>0</v>
      </c>
      <c r="V13" s="327">
        <v>0</v>
      </c>
      <c r="W13" s="327">
        <v>0</v>
      </c>
      <c r="X13" s="327">
        <v>0</v>
      </c>
      <c r="Y13" s="14">
        <f t="shared" si="1"/>
        <v>726.62608527405553</v>
      </c>
      <c r="AA13" s="15"/>
      <c r="AB13" s="15"/>
      <c r="AC13" s="15"/>
      <c r="AD13" s="15"/>
      <c r="AE13" s="15"/>
      <c r="AF13" s="15"/>
      <c r="AG13" s="15"/>
    </row>
    <row r="14" spans="2:33" x14ac:dyDescent="0.3">
      <c r="B14" s="234"/>
      <c r="C14" s="42"/>
      <c r="D14" s="42"/>
      <c r="E14" s="42"/>
      <c r="F14" s="42"/>
      <c r="G14" s="241"/>
      <c r="H14" s="240"/>
      <c r="I14" s="263"/>
      <c r="K14" s="244"/>
      <c r="L14" s="245"/>
      <c r="M14" s="245"/>
      <c r="N14" s="246"/>
      <c r="O14" s="244"/>
      <c r="P14" s="247"/>
      <c r="R14" s="326"/>
      <c r="S14" s="326"/>
      <c r="T14" s="326"/>
      <c r="U14" s="326"/>
      <c r="V14" s="326"/>
      <c r="W14" s="326"/>
      <c r="X14" s="326"/>
    </row>
    <row r="15" spans="2:33" x14ac:dyDescent="0.3">
      <c r="B15" s="237" t="s">
        <v>261</v>
      </c>
      <c r="C15" s="238"/>
      <c r="D15" s="292"/>
      <c r="E15" s="292"/>
      <c r="F15" s="292"/>
      <c r="G15" s="297"/>
      <c r="H15" s="248"/>
      <c r="I15" s="243"/>
      <c r="K15" s="249"/>
      <c r="L15" s="249"/>
      <c r="M15" s="355"/>
      <c r="N15" s="249"/>
      <c r="O15" s="249"/>
      <c r="P15" s="250"/>
      <c r="Q15" s="11"/>
      <c r="R15" s="329"/>
      <c r="S15" s="326"/>
      <c r="T15" s="326"/>
      <c r="U15" s="326"/>
      <c r="V15" s="326"/>
      <c r="W15" s="326"/>
      <c r="X15" s="326"/>
      <c r="AA15" s="28"/>
      <c r="AB15" s="28"/>
      <c r="AC15" s="28"/>
      <c r="AD15" s="28"/>
      <c r="AE15" s="28"/>
      <c r="AF15" s="28"/>
      <c r="AG15" s="28"/>
    </row>
    <row r="16" spans="2:33" x14ac:dyDescent="0.3">
      <c r="B16" s="251" t="s">
        <v>263</v>
      </c>
      <c r="C16" s="171"/>
      <c r="D16" s="171"/>
      <c r="E16" s="171"/>
      <c r="F16" s="171"/>
      <c r="G16" s="228"/>
      <c r="H16" s="232"/>
      <c r="I16" s="224"/>
      <c r="J16" s="157"/>
      <c r="K16" s="225"/>
      <c r="L16" s="225"/>
      <c r="M16" s="225"/>
      <c r="N16" s="225"/>
      <c r="O16" s="225"/>
      <c r="P16" s="224"/>
      <c r="R16" s="326"/>
      <c r="S16" s="326"/>
      <c r="T16" s="326"/>
      <c r="U16" s="326"/>
      <c r="V16" s="326"/>
      <c r="W16" s="326"/>
      <c r="X16" s="326"/>
      <c r="AA16" s="28"/>
      <c r="AB16" s="28"/>
      <c r="AC16" s="28"/>
      <c r="AD16" s="28"/>
      <c r="AE16" s="28"/>
      <c r="AF16" s="28"/>
      <c r="AG16" s="28"/>
    </row>
    <row r="17" spans="2:33" x14ac:dyDescent="0.3">
      <c r="B17" s="232"/>
      <c r="C17" s="171" t="s">
        <v>306</v>
      </c>
      <c r="D17" s="171" t="str">
        <f>INDEX(Unit_Rates!$C$7:$K$54,MATCH($C17,Unit_Rates!$C$7:$C$54,0),5)</f>
        <v>Subtransmission</v>
      </c>
      <c r="E17" s="171" t="str">
        <f>INDEX(Unit_Rates!$C$7:$K$54,MATCH($C17,Unit_Rates!$C$7:$C$54,0),6)</f>
        <v>Augmentation</v>
      </c>
      <c r="F17" s="171" t="str">
        <f>D17&amp;E17</f>
        <v>SubtransmissionAugmentation</v>
      </c>
      <c r="G17" s="268">
        <f>INDEX(Unit_Rates!$C$7:$K$54,MATCH($C17,Unit_Rates!$C$7:$C$54,0),7)</f>
        <v>78.838847145488032</v>
      </c>
      <c r="H17" s="299"/>
      <c r="I17" s="264" t="s">
        <v>292</v>
      </c>
      <c r="J17" s="157"/>
      <c r="K17" s="226">
        <f>G17*$H17</f>
        <v>0</v>
      </c>
      <c r="L17" s="302">
        <f t="shared" ref="L17:L40" si="2">SUMPRODUCT(R$5:X$5,R17:X17)/Thousands</f>
        <v>0</v>
      </c>
      <c r="M17" s="356"/>
      <c r="N17" s="568">
        <f>$H17*INDEX(Unit_Rates!$C$7:$K$54,MATCH($C17,Unit_Rates!$C$7:$C$54,0),8)</f>
        <v>0</v>
      </c>
      <c r="O17" s="568">
        <f>$H17*INDEX(Unit_Rates!$C$7:$K$54,MATCH($C17,Unit_Rates!$C$7:$C$54,0),9)</f>
        <v>0</v>
      </c>
      <c r="P17" s="569">
        <f t="shared" ref="P17:P40" si="3">SUM(K17:O17)</f>
        <v>0</v>
      </c>
      <c r="Q17" s="336">
        <f>P17-H17*VLOOKUP(C17,Unit_Rates!$C$7:$E$39,3,FALSE)</f>
        <v>0</v>
      </c>
      <c r="R17" s="327">
        <v>0</v>
      </c>
      <c r="S17" s="327">
        <v>0</v>
      </c>
      <c r="T17" s="327">
        <v>0</v>
      </c>
      <c r="U17" s="327">
        <v>0</v>
      </c>
      <c r="V17" s="327">
        <v>0</v>
      </c>
      <c r="W17" s="327">
        <v>0</v>
      </c>
      <c r="X17" s="327">
        <v>0</v>
      </c>
      <c r="Y17" s="14">
        <f t="shared" ref="Y17:Y41" si="4">SUM(R17:X17)</f>
        <v>0</v>
      </c>
      <c r="AA17" s="28"/>
      <c r="AB17" s="28"/>
      <c r="AC17" s="28"/>
      <c r="AD17" s="28"/>
      <c r="AE17" s="28"/>
      <c r="AF17" s="28"/>
      <c r="AG17" s="28"/>
    </row>
    <row r="18" spans="2:33" x14ac:dyDescent="0.3">
      <c r="B18" s="232"/>
      <c r="C18" s="171" t="s">
        <v>329</v>
      </c>
      <c r="D18" s="171" t="str">
        <f>INDEX(Unit_Rates!$C$7:$K$54,MATCH($C18,Unit_Rates!$C$7:$C$54,0),5)</f>
        <v>Subtransmission</v>
      </c>
      <c r="E18" s="171" t="str">
        <f>INDEX(Unit_Rates!$C$7:$K$54,MATCH($C18,Unit_Rates!$C$7:$C$54,0),6)</f>
        <v>Augmentation</v>
      </c>
      <c r="F18" s="171" t="str">
        <f t="shared" ref="F18:F40" si="5">D18&amp;E18</f>
        <v>SubtransmissionAugmentation</v>
      </c>
      <c r="G18" s="268">
        <f>INDEX(Unit_Rates!$C$7:$K$54,MATCH($C18,Unit_Rates!$C$7:$C$54,0),7)</f>
        <v>90.745458563535905</v>
      </c>
      <c r="H18" s="299">
        <v>2</v>
      </c>
      <c r="I18" s="264" t="s">
        <v>292</v>
      </c>
      <c r="J18" s="157"/>
      <c r="K18" s="226">
        <f>G18*$H18</f>
        <v>181.49091712707181</v>
      </c>
      <c r="L18" s="302">
        <f t="shared" si="2"/>
        <v>0</v>
      </c>
      <c r="M18" s="356"/>
      <c r="N18" s="568">
        <f>$H18*INDEX(Unit_Rates!$C$7:$K$54,MATCH($C18,Unit_Rates!$C$7:$C$54,0),8)</f>
        <v>0</v>
      </c>
      <c r="O18" s="568">
        <f>$H18*INDEX(Unit_Rates!$C$7:$K$54,MATCH($C18,Unit_Rates!$C$7:$C$54,0),9)</f>
        <v>0</v>
      </c>
      <c r="P18" s="569">
        <f t="shared" si="3"/>
        <v>181.49091712707181</v>
      </c>
      <c r="Q18" s="336">
        <f>P18-H18*VLOOKUP(C18,Unit_Rates!$C$7:$E$39,3,FALSE)</f>
        <v>181.49091712707181</v>
      </c>
      <c r="R18" s="327">
        <v>0</v>
      </c>
      <c r="S18" s="327">
        <v>0</v>
      </c>
      <c r="T18" s="327">
        <v>0</v>
      </c>
      <c r="U18" s="327">
        <v>0</v>
      </c>
      <c r="V18" s="327">
        <v>0</v>
      </c>
      <c r="W18" s="327">
        <v>0</v>
      </c>
      <c r="X18" s="327">
        <v>0</v>
      </c>
      <c r="Y18" s="14">
        <f t="shared" si="4"/>
        <v>0</v>
      </c>
      <c r="AA18" s="28"/>
      <c r="AB18" s="28"/>
      <c r="AC18" s="28"/>
      <c r="AD18" s="28"/>
      <c r="AE18" s="28"/>
      <c r="AF18" s="28"/>
      <c r="AG18" s="28"/>
    </row>
    <row r="19" spans="2:33" x14ac:dyDescent="0.3">
      <c r="B19" s="232"/>
      <c r="C19" s="171" t="s">
        <v>502</v>
      </c>
      <c r="D19" s="171" t="str">
        <f>INDEX(Unit_Rates!$C$7:$K$54,MATCH($C19,Unit_Rates!$C$7:$C$54,0),5)</f>
        <v>Subtransmission</v>
      </c>
      <c r="E19" s="171" t="str">
        <f>INDEX(Unit_Rates!$C$7:$K$54,MATCH($C19,Unit_Rates!$C$7:$C$54,0),6)</f>
        <v>Augmentation</v>
      </c>
      <c r="F19" s="171" t="str">
        <f t="shared" ref="F19" si="6">D19&amp;E19</f>
        <v>SubtransmissionAugmentation</v>
      </c>
      <c r="G19" s="268">
        <f>INDEX(Unit_Rates!$C$7:$K$54,MATCH($C19,Unit_Rates!$C$7:$C$54,0),7)</f>
        <v>25.236519337016578</v>
      </c>
      <c r="H19" s="299">
        <v>1</v>
      </c>
      <c r="I19" s="264" t="s">
        <v>292</v>
      </c>
      <c r="J19" s="157"/>
      <c r="K19" s="226">
        <f>G19*$H19</f>
        <v>25.236519337016578</v>
      </c>
      <c r="L19" s="302">
        <f t="shared" ref="L19" si="7">SUMPRODUCT(R$5:X$5,R19:X19)/Thousands</f>
        <v>0</v>
      </c>
      <c r="M19" s="356"/>
      <c r="N19" s="568">
        <f>$H19*INDEX(Unit_Rates!$C$7:$K$54,MATCH($C19,Unit_Rates!$C$7:$C$54,0),8)</f>
        <v>0</v>
      </c>
      <c r="O19" s="568">
        <f>$H19*INDEX(Unit_Rates!$C$7:$K$54,MATCH($C19,Unit_Rates!$C$7:$C$54,0),9)</f>
        <v>0</v>
      </c>
      <c r="P19" s="569">
        <f t="shared" ref="P19" si="8">SUM(K19:O19)</f>
        <v>25.236519337016578</v>
      </c>
      <c r="Q19" s="336"/>
      <c r="R19" s="327"/>
      <c r="S19" s="327"/>
      <c r="T19" s="327"/>
      <c r="U19" s="327"/>
      <c r="V19" s="327"/>
      <c r="W19" s="327"/>
      <c r="X19" s="327"/>
      <c r="Y19" s="14"/>
    </row>
    <row r="20" spans="2:33" x14ac:dyDescent="0.3">
      <c r="B20" s="232"/>
      <c r="C20" s="171" t="s">
        <v>503</v>
      </c>
      <c r="D20" s="171" t="str">
        <f>INDEX(Unit_Rates!$C$7:$K$54,MATCH($C20,Unit_Rates!$C$7:$C$54,0),5)</f>
        <v>Subtransmission</v>
      </c>
      <c r="E20" s="171" t="str">
        <f>INDEX(Unit_Rates!$C$7:$K$54,MATCH($C20,Unit_Rates!$C$7:$C$54,0),6)</f>
        <v>Augmentation</v>
      </c>
      <c r="F20" s="171" t="str">
        <f t="shared" si="5"/>
        <v>SubtransmissionAugmentation</v>
      </c>
      <c r="G20" s="268">
        <f>INDEX(Unit_Rates!$C$7:$K$54,MATCH($C20,Unit_Rates!$C$7:$C$54,0),7)</f>
        <v>38.571335174953965</v>
      </c>
      <c r="H20" s="299">
        <v>1</v>
      </c>
      <c r="I20" s="264" t="s">
        <v>292</v>
      </c>
      <c r="J20" s="157"/>
      <c r="K20" s="226">
        <f>G20*H20</f>
        <v>38.571335174953965</v>
      </c>
      <c r="L20" s="302">
        <f t="shared" si="2"/>
        <v>0</v>
      </c>
      <c r="M20" s="356"/>
      <c r="N20" s="568">
        <f>$H20*INDEX(Unit_Rates!$C$7:$K$54,MATCH($C20,Unit_Rates!$C$7:$C$54,0),8)</f>
        <v>0</v>
      </c>
      <c r="O20" s="568">
        <f>$H20*INDEX(Unit_Rates!$C$7:$K$54,MATCH($C20,Unit_Rates!$C$7:$C$54,0),9)</f>
        <v>0</v>
      </c>
      <c r="P20" s="569">
        <f t="shared" si="3"/>
        <v>38.571335174953965</v>
      </c>
      <c r="Q20" s="336">
        <f>P20-H20*VLOOKUP(C20,Unit_Rates!$C$7:$E$39,3,FALSE)</f>
        <v>38.571335174953965</v>
      </c>
      <c r="R20" s="327">
        <v>0</v>
      </c>
      <c r="S20" s="327">
        <v>0</v>
      </c>
      <c r="T20" s="327">
        <v>0</v>
      </c>
      <c r="U20" s="327">
        <v>0</v>
      </c>
      <c r="V20" s="327">
        <v>0</v>
      </c>
      <c r="W20" s="327">
        <v>0</v>
      </c>
      <c r="X20" s="327">
        <v>0</v>
      </c>
      <c r="Y20" s="14">
        <f t="shared" si="4"/>
        <v>0</v>
      </c>
      <c r="AA20" s="28"/>
      <c r="AB20" s="28"/>
      <c r="AC20" s="28"/>
      <c r="AD20" s="28"/>
      <c r="AE20" s="28"/>
      <c r="AF20" s="28"/>
      <c r="AG20" s="28"/>
    </row>
    <row r="21" spans="2:33" x14ac:dyDescent="0.3">
      <c r="B21" s="232"/>
      <c r="C21" s="171" t="s">
        <v>372</v>
      </c>
      <c r="D21" s="171" t="str">
        <f>INDEX(Unit_Rates!$C$7:$K$54,MATCH($C21,Unit_Rates!$C$7:$C$54,0),5)</f>
        <v>Subtransmission</v>
      </c>
      <c r="E21" s="171" t="str">
        <f>INDEX(Unit_Rates!$C$7:$K$54,MATCH($C21,Unit_Rates!$C$7:$C$54,0),6)</f>
        <v>Augmentation</v>
      </c>
      <c r="F21" s="171" t="str">
        <f t="shared" si="5"/>
        <v>SubtransmissionAugmentation</v>
      </c>
      <c r="G21" s="268">
        <f>INDEX(Unit_Rates!$C$7:$K$54,MATCH($C21,Unit_Rates!$C$7:$C$54,0),7)</f>
        <v>0</v>
      </c>
      <c r="H21" s="299"/>
      <c r="I21" s="264" t="s">
        <v>292</v>
      </c>
      <c r="J21" s="157"/>
      <c r="K21" s="226">
        <f>G21*H21</f>
        <v>0</v>
      </c>
      <c r="L21" s="302">
        <f t="shared" si="2"/>
        <v>0</v>
      </c>
      <c r="M21" s="356"/>
      <c r="N21" s="568">
        <f>$H21*INDEX(Unit_Rates!$C$7:$K$54,MATCH($C21,Unit_Rates!$C$7:$C$54,0),8)</f>
        <v>0</v>
      </c>
      <c r="O21" s="568">
        <f>$H21*INDEX(Unit_Rates!$C$7:$K$54,MATCH($C21,Unit_Rates!$C$7:$C$54,0),9)</f>
        <v>0</v>
      </c>
      <c r="P21" s="569">
        <f t="shared" si="3"/>
        <v>0</v>
      </c>
      <c r="Q21" s="336">
        <f>P21-H21*VLOOKUP(C21,Unit_Rates!$C$7:$E$39,3,FALSE)</f>
        <v>0</v>
      </c>
      <c r="R21" s="327">
        <v>0</v>
      </c>
      <c r="S21" s="327">
        <v>0</v>
      </c>
      <c r="T21" s="327">
        <v>0</v>
      </c>
      <c r="U21" s="327">
        <v>0</v>
      </c>
      <c r="V21" s="327">
        <v>0</v>
      </c>
      <c r="W21" s="327">
        <v>0</v>
      </c>
      <c r="X21" s="327">
        <v>0</v>
      </c>
      <c r="Y21" s="14">
        <f t="shared" si="4"/>
        <v>0</v>
      </c>
      <c r="AA21" s="28"/>
      <c r="AB21" s="28"/>
      <c r="AC21" s="28"/>
      <c r="AD21" s="28"/>
      <c r="AE21" s="28"/>
      <c r="AF21" s="28"/>
      <c r="AG21" s="28"/>
    </row>
    <row r="22" spans="2:33" x14ac:dyDescent="0.3">
      <c r="B22" s="232"/>
      <c r="C22" s="171" t="s">
        <v>266</v>
      </c>
      <c r="D22" s="171" t="str">
        <f>INDEX(Unit_Rates!$C$7:$K$54,MATCH($C22,Unit_Rates!$C$7:$C$54,0),5)</f>
        <v>SCADA/Network control</v>
      </c>
      <c r="E22" s="171" t="str">
        <f>INDEX(Unit_Rates!$C$7:$K$54,MATCH($C22,Unit_Rates!$C$7:$C$54,0),6)</f>
        <v>Augmentation</v>
      </c>
      <c r="F22" s="171" t="str">
        <f t="shared" si="5"/>
        <v>SCADA/Network controlAugmentation</v>
      </c>
      <c r="G22" s="268">
        <f>INDEX(Unit_Rates!$C$7:$K$54,MATCH($C22,Unit_Rates!$C$7:$C$54,0),7)</f>
        <v>1084.7777777777778</v>
      </c>
      <c r="H22" s="299">
        <v>2</v>
      </c>
      <c r="I22" s="264" t="s">
        <v>292</v>
      </c>
      <c r="J22" s="157"/>
      <c r="K22" s="226">
        <f>G22*H22</f>
        <v>2169.5555555555557</v>
      </c>
      <c r="L22" s="302">
        <f t="shared" si="2"/>
        <v>0</v>
      </c>
      <c r="M22" s="356"/>
      <c r="N22" s="568">
        <f>$H22*INDEX(Unit_Rates!$C$7:$K$54,MATCH($C22,Unit_Rates!$C$7:$C$54,0),8)</f>
        <v>0</v>
      </c>
      <c r="O22" s="568">
        <f>$H22*INDEX(Unit_Rates!$C$7:$K$54,MATCH($C22,Unit_Rates!$C$7:$C$54,0),9)</f>
        <v>0</v>
      </c>
      <c r="P22" s="569">
        <f t="shared" si="3"/>
        <v>2169.5555555555557</v>
      </c>
      <c r="Q22" s="336">
        <f>P22-H22*VLOOKUP(C22,Unit_Rates!$C$7:$E$39,3,FALSE)</f>
        <v>2169.5555555555557</v>
      </c>
      <c r="R22" s="327">
        <v>0</v>
      </c>
      <c r="S22" s="327">
        <v>0</v>
      </c>
      <c r="T22" s="327">
        <v>0</v>
      </c>
      <c r="U22" s="327">
        <v>0</v>
      </c>
      <c r="V22" s="327">
        <v>0</v>
      </c>
      <c r="W22" s="327">
        <v>0</v>
      </c>
      <c r="X22" s="327">
        <v>0</v>
      </c>
      <c r="Y22" s="14">
        <f t="shared" si="4"/>
        <v>0</v>
      </c>
      <c r="AA22" s="28"/>
      <c r="AB22" s="28"/>
      <c r="AC22" s="28"/>
      <c r="AD22" s="28"/>
      <c r="AE22" s="28"/>
      <c r="AF22" s="28"/>
      <c r="AG22" s="28"/>
    </row>
    <row r="23" spans="2:33" x14ac:dyDescent="0.3">
      <c r="B23" s="232"/>
      <c r="C23" s="171" t="s">
        <v>308</v>
      </c>
      <c r="D23" s="171" t="str">
        <f>INDEX(Unit_Rates!$C$7:$K$54,MATCH($C23,Unit_Rates!$C$7:$C$54,0),5)</f>
        <v>Subtransmission</v>
      </c>
      <c r="E23" s="171" t="str">
        <f>INDEX(Unit_Rates!$C$7:$K$54,MATCH($C23,Unit_Rates!$C$7:$C$54,0),6)</f>
        <v>Augmentation</v>
      </c>
      <c r="F23" s="171" t="str">
        <f t="shared" si="5"/>
        <v>SubtransmissionAugmentation</v>
      </c>
      <c r="G23" s="268">
        <f>INDEX(Unit_Rates!$C$7:$K$54,MATCH($C23,Unit_Rates!$C$7:$C$54,0),7)</f>
        <v>0</v>
      </c>
      <c r="H23" s="299">
        <v>2</v>
      </c>
      <c r="I23" s="264" t="s">
        <v>292</v>
      </c>
      <c r="J23" s="157"/>
      <c r="K23" s="226"/>
      <c r="L23" s="302">
        <f t="shared" si="2"/>
        <v>0</v>
      </c>
      <c r="M23" s="356"/>
      <c r="N23" s="568">
        <f>$H23*INDEX(Unit_Rates!$C$7:$K$54,MATCH($C23,Unit_Rates!$C$7:$C$54,0),8)</f>
        <v>0</v>
      </c>
      <c r="O23" s="568">
        <f>$H23*INDEX(Unit_Rates!$C$7:$K$54,MATCH($C23,Unit_Rates!$C$7:$C$54,0),9)</f>
        <v>0</v>
      </c>
      <c r="P23" s="569">
        <f t="shared" si="3"/>
        <v>0</v>
      </c>
      <c r="Q23" s="336">
        <f>P23-H23*VLOOKUP(C23,Unit_Rates!$C$7:$E$39,3,FALSE)</f>
        <v>0</v>
      </c>
      <c r="R23" s="327">
        <v>0</v>
      </c>
      <c r="S23" s="327">
        <v>0</v>
      </c>
      <c r="T23" s="327">
        <v>0</v>
      </c>
      <c r="U23" s="327">
        <v>0</v>
      </c>
      <c r="V23" s="327">
        <v>0</v>
      </c>
      <c r="W23" s="327">
        <v>0</v>
      </c>
      <c r="X23" s="327">
        <v>0</v>
      </c>
      <c r="Y23" s="14">
        <f t="shared" si="4"/>
        <v>0</v>
      </c>
      <c r="AA23" s="28"/>
      <c r="AB23" s="28"/>
      <c r="AC23" s="28"/>
      <c r="AD23" s="28"/>
      <c r="AE23" s="28"/>
      <c r="AF23" s="28"/>
      <c r="AG23" s="28"/>
    </row>
    <row r="24" spans="2:33" x14ac:dyDescent="0.3">
      <c r="B24" s="232"/>
      <c r="C24" s="171" t="s">
        <v>280</v>
      </c>
      <c r="D24" s="171" t="str">
        <f>INDEX(Unit_Rates!$C$7:$K$54,MATCH($C24,Unit_Rates!$C$7:$C$54,0),5)</f>
        <v>Subtransmission</v>
      </c>
      <c r="E24" s="171" t="str">
        <f>INDEX(Unit_Rates!$C$7:$K$54,MATCH($C24,Unit_Rates!$C$7:$C$54,0),6)</f>
        <v>Augmentation</v>
      </c>
      <c r="F24" s="171" t="str">
        <f t="shared" si="5"/>
        <v>SubtransmissionAugmentation</v>
      </c>
      <c r="G24" s="268">
        <f>INDEX(Unit_Rates!$C$7:$K$54,MATCH($C24,Unit_Rates!$C$7:$C$54,0),7)</f>
        <v>1249.4511627906975</v>
      </c>
      <c r="H24" s="299"/>
      <c r="I24" s="264" t="s">
        <v>292</v>
      </c>
      <c r="J24" s="157"/>
      <c r="K24" s="226">
        <f t="shared" ref="K24:K40" si="9">G24*H24</f>
        <v>0</v>
      </c>
      <c r="L24" s="302">
        <f t="shared" si="2"/>
        <v>0</v>
      </c>
      <c r="M24" s="356"/>
      <c r="N24" s="568">
        <f>$H24*INDEX(Unit_Rates!$C$7:$K$54,MATCH($C24,Unit_Rates!$C$7:$C$54,0),8)</f>
        <v>0</v>
      </c>
      <c r="O24" s="568">
        <f>$H24*INDEX(Unit_Rates!$C$7:$K$54,MATCH($C24,Unit_Rates!$C$7:$C$54,0),9)</f>
        <v>0</v>
      </c>
      <c r="P24" s="569">
        <f t="shared" si="3"/>
        <v>0</v>
      </c>
      <c r="Q24" s="336">
        <f>P24-H24*VLOOKUP(C24,Unit_Rates!$C$7:$E$39,3,FALSE)</f>
        <v>0</v>
      </c>
      <c r="R24" s="327">
        <v>0</v>
      </c>
      <c r="S24" s="327">
        <v>0</v>
      </c>
      <c r="T24" s="327">
        <v>0</v>
      </c>
      <c r="U24" s="327">
        <v>0</v>
      </c>
      <c r="V24" s="327">
        <v>0</v>
      </c>
      <c r="W24" s="327">
        <v>0</v>
      </c>
      <c r="X24" s="327">
        <v>0</v>
      </c>
      <c r="Y24" s="14">
        <f t="shared" si="4"/>
        <v>0</v>
      </c>
    </row>
    <row r="25" spans="2:33" x14ac:dyDescent="0.3">
      <c r="B25" s="232"/>
      <c r="C25" s="171" t="s">
        <v>279</v>
      </c>
      <c r="D25" s="171" t="str">
        <f>INDEX(Unit_Rates!$C$7:$K$54,MATCH($C25,Unit_Rates!$C$7:$C$54,0),5)</f>
        <v>Subtransmission</v>
      </c>
      <c r="E25" s="171" t="str">
        <f>INDEX(Unit_Rates!$C$7:$K$54,MATCH($C25,Unit_Rates!$C$7:$C$54,0),6)</f>
        <v>Augmentation</v>
      </c>
      <c r="F25" s="171" t="str">
        <f t="shared" si="5"/>
        <v>SubtransmissionAugmentation</v>
      </c>
      <c r="G25" s="268">
        <f>INDEX(Unit_Rates!$C$7:$K$54,MATCH($C25,Unit_Rates!$C$7:$C$54,0),7)</f>
        <v>1378.3627906976742</v>
      </c>
      <c r="H25" s="299"/>
      <c r="I25" s="264" t="s">
        <v>292</v>
      </c>
      <c r="J25" s="157"/>
      <c r="K25" s="226">
        <f t="shared" si="9"/>
        <v>0</v>
      </c>
      <c r="L25" s="302">
        <f t="shared" si="2"/>
        <v>0</v>
      </c>
      <c r="M25" s="356"/>
      <c r="N25" s="568">
        <f>$H25*INDEX(Unit_Rates!$C$7:$K$54,MATCH($C25,Unit_Rates!$C$7:$C$54,0),8)</f>
        <v>0</v>
      </c>
      <c r="O25" s="568">
        <f>$H25*INDEX(Unit_Rates!$C$7:$K$54,MATCH($C25,Unit_Rates!$C$7:$C$54,0),9)</f>
        <v>0</v>
      </c>
      <c r="P25" s="569">
        <f t="shared" si="3"/>
        <v>0</v>
      </c>
      <c r="Q25" s="336">
        <f>P25-H25*VLOOKUP(C25,Unit_Rates!$C$7:$E$39,3,FALSE)</f>
        <v>0</v>
      </c>
      <c r="R25" s="327">
        <v>0</v>
      </c>
      <c r="S25" s="327">
        <v>0</v>
      </c>
      <c r="T25" s="327">
        <v>0</v>
      </c>
      <c r="U25" s="327">
        <v>0</v>
      </c>
      <c r="V25" s="327">
        <v>0</v>
      </c>
      <c r="W25" s="327">
        <v>0</v>
      </c>
      <c r="X25" s="327">
        <v>0</v>
      </c>
      <c r="Y25" s="14">
        <f t="shared" si="4"/>
        <v>0</v>
      </c>
    </row>
    <row r="26" spans="2:33" x14ac:dyDescent="0.3">
      <c r="B26" s="232"/>
      <c r="C26" s="171" t="s">
        <v>519</v>
      </c>
      <c r="D26" s="171" t="str">
        <f>INDEX(Unit_Rates!$C$7:$K$54,MATCH($C26,Unit_Rates!$C$7:$C$54,0),5)</f>
        <v>Subtransmission</v>
      </c>
      <c r="E26" s="171" t="str">
        <f>INDEX(Unit_Rates!$C$7:$K$54,MATCH($C26,Unit_Rates!$C$7:$C$54,0),6)</f>
        <v>Augmentation</v>
      </c>
      <c r="F26" s="171" t="str">
        <f t="shared" si="5"/>
        <v>SubtransmissionAugmentation</v>
      </c>
      <c r="G26" s="268">
        <f>INDEX(Unit_Rates!$C$7:$K$54,MATCH($C26,Unit_Rates!$C$7:$C$54,0),7)</f>
        <v>314.14672930232553</v>
      </c>
      <c r="H26" s="299">
        <v>2</v>
      </c>
      <c r="I26" s="264" t="s">
        <v>292</v>
      </c>
      <c r="J26" s="157"/>
      <c r="K26" s="226">
        <f t="shared" si="9"/>
        <v>628.29345860465105</v>
      </c>
      <c r="L26" s="302">
        <f t="shared" si="2"/>
        <v>0</v>
      </c>
      <c r="M26" s="356"/>
      <c r="N26" s="568">
        <f>$H26*INDEX(Unit_Rates!$C$7:$K$54,MATCH($C26,Unit_Rates!$C$7:$C$54,0),8)</f>
        <v>0</v>
      </c>
      <c r="O26" s="568">
        <f>$H26*INDEX(Unit_Rates!$C$7:$K$54,MATCH($C26,Unit_Rates!$C$7:$C$54,0),9)</f>
        <v>0</v>
      </c>
      <c r="P26" s="569">
        <f t="shared" si="3"/>
        <v>628.29345860465105</v>
      </c>
      <c r="Q26" s="336">
        <f>P26-H26*VLOOKUP(C26,Unit_Rates!$C$7:$E$39,3,FALSE)</f>
        <v>628.29345860465105</v>
      </c>
      <c r="R26" s="327">
        <v>0</v>
      </c>
      <c r="S26" s="327">
        <v>0</v>
      </c>
      <c r="T26" s="327">
        <v>0</v>
      </c>
      <c r="U26" s="327">
        <v>0</v>
      </c>
      <c r="V26" s="327">
        <v>0</v>
      </c>
      <c r="W26" s="327">
        <v>0</v>
      </c>
      <c r="X26" s="327">
        <v>0</v>
      </c>
      <c r="Y26" s="14">
        <f t="shared" si="4"/>
        <v>0</v>
      </c>
    </row>
    <row r="27" spans="2:33" x14ac:dyDescent="0.3">
      <c r="B27" s="232"/>
      <c r="C27" s="171" t="s">
        <v>373</v>
      </c>
      <c r="D27" s="171" t="str">
        <f>INDEX(Unit_Rates!$C$7:$K$54,MATCH($C27,Unit_Rates!$C$7:$C$54,0),5)</f>
        <v>Subtransmission</v>
      </c>
      <c r="E27" s="171" t="str">
        <f>INDEX(Unit_Rates!$C$7:$K$54,MATCH($C27,Unit_Rates!$C$7:$C$54,0),6)</f>
        <v>Augmentation</v>
      </c>
      <c r="F27" s="171" t="str">
        <f t="shared" si="5"/>
        <v>SubtransmissionAugmentation</v>
      </c>
      <c r="G27" s="268">
        <f>INDEX(Unit_Rates!$C$7:$K$54,MATCH($C27,Unit_Rates!$C$7:$C$54,0),7)</f>
        <v>0</v>
      </c>
      <c r="H27" s="299">
        <v>2</v>
      </c>
      <c r="I27" s="264" t="s">
        <v>292</v>
      </c>
      <c r="J27" s="157"/>
      <c r="K27" s="226">
        <f t="shared" ref="K27" si="10">G27*H27</f>
        <v>0</v>
      </c>
      <c r="L27" s="302">
        <f t="shared" si="2"/>
        <v>0</v>
      </c>
      <c r="M27" s="356"/>
      <c r="N27" s="568">
        <f>$H27*INDEX(Unit_Rates!$C$7:$K$54,MATCH($C27,Unit_Rates!$C$7:$C$54,0),8)</f>
        <v>0</v>
      </c>
      <c r="O27" s="568">
        <f>$H27*INDEX(Unit_Rates!$C$7:$K$54,MATCH($C27,Unit_Rates!$C$7:$C$54,0),9)</f>
        <v>0</v>
      </c>
      <c r="P27" s="569">
        <f t="shared" si="3"/>
        <v>0</v>
      </c>
      <c r="Q27" s="336">
        <f>P27-H27*VLOOKUP(C27,Unit_Rates!$C$7:$E$39,3,FALSE)</f>
        <v>0</v>
      </c>
      <c r="R27" s="327">
        <v>0</v>
      </c>
      <c r="S27" s="327">
        <v>0</v>
      </c>
      <c r="T27" s="327">
        <v>0</v>
      </c>
      <c r="U27" s="327">
        <v>0</v>
      </c>
      <c r="V27" s="327">
        <v>0</v>
      </c>
      <c r="W27" s="327">
        <v>0</v>
      </c>
      <c r="X27" s="327">
        <v>0</v>
      </c>
      <c r="Y27" s="14">
        <f t="shared" si="4"/>
        <v>0</v>
      </c>
    </row>
    <row r="28" spans="2:33" x14ac:dyDescent="0.3">
      <c r="B28" s="232"/>
      <c r="C28" s="171" t="s">
        <v>350</v>
      </c>
      <c r="D28" s="171" t="str">
        <f>INDEX(Unit_Rates!$C$7:$K$54,MATCH($C28,Unit_Rates!$C$7:$C$54,0),5)</f>
        <v>Subtransmission</v>
      </c>
      <c r="E28" s="171" t="str">
        <f>INDEX(Unit_Rates!$C$7:$K$54,MATCH($C28,Unit_Rates!$C$7:$C$54,0),6)</f>
        <v>Augmentation</v>
      </c>
      <c r="F28" s="171" t="str">
        <f t="shared" si="5"/>
        <v>SubtransmissionAugmentation</v>
      </c>
      <c r="G28" s="268">
        <f>INDEX(Unit_Rates!$C$7:$K$54,MATCH($C28,Unit_Rates!$C$7:$C$54,0),7)</f>
        <v>62.900871086556172</v>
      </c>
      <c r="H28" s="299"/>
      <c r="I28" s="264" t="s">
        <v>292</v>
      </c>
      <c r="J28" s="157"/>
      <c r="K28" s="226">
        <f t="shared" ref="K28:K34" si="11">G28*H28</f>
        <v>0</v>
      </c>
      <c r="L28" s="302">
        <f t="shared" si="2"/>
        <v>0</v>
      </c>
      <c r="M28" s="356"/>
      <c r="N28" s="568">
        <f>$H28*INDEX(Unit_Rates!$C$7:$K$54,MATCH($C28,Unit_Rates!$C$7:$C$54,0),8)</f>
        <v>0</v>
      </c>
      <c r="O28" s="568">
        <f>$H28*INDEX(Unit_Rates!$C$7:$K$54,MATCH($C28,Unit_Rates!$C$7:$C$54,0),9)</f>
        <v>0</v>
      </c>
      <c r="P28" s="569">
        <f t="shared" si="3"/>
        <v>0</v>
      </c>
      <c r="Q28" s="336">
        <f>P28-H28*VLOOKUP(C28,Unit_Rates!$C$7:$E$39,3,FALSE)</f>
        <v>0</v>
      </c>
      <c r="R28" s="327">
        <v>0</v>
      </c>
      <c r="S28" s="327">
        <v>0</v>
      </c>
      <c r="T28" s="327">
        <v>0</v>
      </c>
      <c r="U28" s="327">
        <v>0</v>
      </c>
      <c r="V28" s="327">
        <v>0</v>
      </c>
      <c r="W28" s="327">
        <v>0</v>
      </c>
      <c r="X28" s="327">
        <v>0</v>
      </c>
      <c r="Y28" s="14">
        <f t="shared" si="4"/>
        <v>0</v>
      </c>
    </row>
    <row r="29" spans="2:33" x14ac:dyDescent="0.3">
      <c r="B29" s="232"/>
      <c r="C29" s="171" t="s">
        <v>334</v>
      </c>
      <c r="D29" s="171" t="str">
        <f>INDEX(Unit_Rates!$C$7:$K$54,MATCH($C29,Unit_Rates!$C$7:$C$54,0),5)</f>
        <v>Subtransmission</v>
      </c>
      <c r="E29" s="171" t="str">
        <f>INDEX(Unit_Rates!$C$7:$K$54,MATCH($C29,Unit_Rates!$C$7:$C$54,0),6)</f>
        <v>Augmentation</v>
      </c>
      <c r="F29" s="171" t="str">
        <f t="shared" si="5"/>
        <v>SubtransmissionAugmentation</v>
      </c>
      <c r="G29" s="268">
        <f>INDEX(Unit_Rates!$C$7:$K$54,MATCH($C29,Unit_Rates!$C$7:$C$54,0),7)</f>
        <v>6.8116309209302308</v>
      </c>
      <c r="H29" s="299"/>
      <c r="I29" s="264" t="s">
        <v>292</v>
      </c>
      <c r="J29" s="157"/>
      <c r="K29" s="226">
        <f t="shared" si="11"/>
        <v>0</v>
      </c>
      <c r="L29" s="302">
        <f t="shared" si="2"/>
        <v>0</v>
      </c>
      <c r="M29" s="356"/>
      <c r="N29" s="568">
        <f>$H29*INDEX(Unit_Rates!$C$7:$K$54,MATCH($C29,Unit_Rates!$C$7:$C$54,0),8)</f>
        <v>0</v>
      </c>
      <c r="O29" s="568">
        <f>$H29*INDEX(Unit_Rates!$C$7:$K$54,MATCH($C29,Unit_Rates!$C$7:$C$54,0),9)</f>
        <v>0</v>
      </c>
      <c r="P29" s="569">
        <f t="shared" si="3"/>
        <v>0</v>
      </c>
      <c r="Q29" s="336">
        <f>P29-H29*VLOOKUP(C29,Unit_Rates!$C$7:$E$39,3,FALSE)</f>
        <v>0</v>
      </c>
      <c r="R29" s="327">
        <v>0</v>
      </c>
      <c r="S29" s="327">
        <v>0</v>
      </c>
      <c r="T29" s="327">
        <v>0</v>
      </c>
      <c r="U29" s="327">
        <v>0</v>
      </c>
      <c r="V29" s="327">
        <v>0</v>
      </c>
      <c r="W29" s="327">
        <v>0</v>
      </c>
      <c r="X29" s="327">
        <v>0</v>
      </c>
      <c r="Y29" s="14">
        <f t="shared" si="4"/>
        <v>0</v>
      </c>
    </row>
    <row r="30" spans="2:33" x14ac:dyDescent="0.3">
      <c r="B30" s="232"/>
      <c r="C30" s="171" t="s">
        <v>333</v>
      </c>
      <c r="D30" s="171" t="str">
        <f>INDEX(Unit_Rates!$C$7:$K$54,MATCH($C30,Unit_Rates!$C$7:$C$54,0),5)</f>
        <v>Subtransmission</v>
      </c>
      <c r="E30" s="171" t="str">
        <f>INDEX(Unit_Rates!$C$7:$K$54,MATCH($C30,Unit_Rates!$C$7:$C$54,0),6)</f>
        <v>Augmentation</v>
      </c>
      <c r="F30" s="171" t="str">
        <f t="shared" si="5"/>
        <v>SubtransmissionAugmentation</v>
      </c>
      <c r="G30" s="268">
        <f>INDEX(Unit_Rates!$C$7:$K$54,MATCH($C30,Unit_Rates!$C$7:$C$54,0),7)</f>
        <v>0</v>
      </c>
      <c r="H30" s="299"/>
      <c r="I30" s="264" t="s">
        <v>292</v>
      </c>
      <c r="J30" s="157"/>
      <c r="K30" s="226">
        <f t="shared" si="11"/>
        <v>0</v>
      </c>
      <c r="L30" s="302">
        <f t="shared" si="2"/>
        <v>0</v>
      </c>
      <c r="M30" s="356"/>
      <c r="N30" s="568">
        <f>$H30*INDEX(Unit_Rates!$C$7:$K$54,MATCH($C30,Unit_Rates!$C$7:$C$54,0),8)</f>
        <v>0</v>
      </c>
      <c r="O30" s="568">
        <f>$H30*INDEX(Unit_Rates!$C$7:$K$54,MATCH($C30,Unit_Rates!$C$7:$C$54,0),9)</f>
        <v>0</v>
      </c>
      <c r="P30" s="569">
        <f t="shared" si="3"/>
        <v>0</v>
      </c>
      <c r="Q30" s="336">
        <f>P30-H30*VLOOKUP(C30,Unit_Rates!$C$7:$E$39,3,FALSE)</f>
        <v>0</v>
      </c>
      <c r="R30" s="327">
        <v>0</v>
      </c>
      <c r="S30" s="327">
        <v>0</v>
      </c>
      <c r="T30" s="327">
        <v>0</v>
      </c>
      <c r="U30" s="327">
        <v>0</v>
      </c>
      <c r="V30" s="327">
        <v>0</v>
      </c>
      <c r="W30" s="327">
        <v>0</v>
      </c>
      <c r="X30" s="327">
        <v>0</v>
      </c>
      <c r="Y30" s="14">
        <f t="shared" si="4"/>
        <v>0</v>
      </c>
    </row>
    <row r="31" spans="2:33" ht="15" x14ac:dyDescent="0.25">
      <c r="B31" s="232"/>
      <c r="C31" s="236" t="s">
        <v>493</v>
      </c>
      <c r="D31" s="171" t="str">
        <f>INDEX(Unit_Rates!$C$7:$K$54,MATCH($C31,Unit_Rates!$C$7:$C$54,0),5)</f>
        <v>Subtransmission</v>
      </c>
      <c r="E31" s="171" t="str">
        <f>INDEX(Unit_Rates!$C$7:$K$54,MATCH($C31,Unit_Rates!$C$7:$C$54,0),6)</f>
        <v>Augmentation</v>
      </c>
      <c r="F31" s="171" t="str">
        <f t="shared" ref="F31" si="12">D31&amp;E31</f>
        <v>SubtransmissionAugmentation</v>
      </c>
      <c r="G31" s="268">
        <f>INDEX(Unit_Rates!$C$7:$K$54,MATCH($C31,Unit_Rates!$C$7:$C$54,0),7)</f>
        <v>0</v>
      </c>
      <c r="H31" s="299">
        <f ca="1">OFFSET(Feeder_Vols!$C$6,MATCH($B$3,Feeder_Vols!$B$7:$B$15,0),0)</f>
        <v>8</v>
      </c>
      <c r="I31" s="264" t="s">
        <v>292</v>
      </c>
      <c r="J31" s="157"/>
      <c r="K31" s="226">
        <f t="shared" ref="K31" ca="1" si="13">G31*H31</f>
        <v>0</v>
      </c>
      <c r="L31" s="302">
        <f t="shared" ref="L31" si="14">SUMPRODUCT(R$5:X$5,R31:X31)/Thousands</f>
        <v>0</v>
      </c>
      <c r="M31" s="356"/>
      <c r="N31" s="568">
        <f ca="1">$H31*INDEX(Unit_Rates!$C$7:$K$54,MATCH($C31,Unit_Rates!$C$7:$C$54,0),8)</f>
        <v>0</v>
      </c>
      <c r="O31" s="568">
        <f ca="1">$H31*INDEX(Unit_Rates!$C$7:$K$54,MATCH($C31,Unit_Rates!$C$7:$C$54,0),9)</f>
        <v>0</v>
      </c>
      <c r="P31" s="569">
        <f t="shared" ref="P31" ca="1" si="15">SUM(K31:O31)</f>
        <v>0</v>
      </c>
      <c r="Q31" s="336">
        <f ca="1">P31-H31*VLOOKUP(C31,Unit_Rates!$C$7:$E$39,3,FALSE)</f>
        <v>0</v>
      </c>
      <c r="R31" s="327">
        <v>0</v>
      </c>
      <c r="S31" s="327">
        <v>0</v>
      </c>
      <c r="T31" s="327">
        <v>0</v>
      </c>
      <c r="U31" s="327">
        <v>0</v>
      </c>
      <c r="V31" s="327">
        <v>0</v>
      </c>
      <c r="W31" s="327">
        <v>0</v>
      </c>
      <c r="X31" s="327">
        <v>0</v>
      </c>
      <c r="Y31" s="14">
        <f t="shared" ref="Y31" si="16">SUM(R31:X31)</f>
        <v>0</v>
      </c>
    </row>
    <row r="32" spans="2:33" ht="15" x14ac:dyDescent="0.25">
      <c r="B32" s="232"/>
      <c r="C32" s="171" t="s">
        <v>335</v>
      </c>
      <c r="D32" s="171" t="str">
        <f>INDEX(Unit_Rates!$C$7:$K$54,MATCH($C32,Unit_Rates!$C$7:$C$54,0),5)</f>
        <v>Subtransmission</v>
      </c>
      <c r="E32" s="171" t="str">
        <f>INDEX(Unit_Rates!$C$7:$K$54,MATCH($C32,Unit_Rates!$C$7:$C$54,0),6)</f>
        <v>Augmentation</v>
      </c>
      <c r="F32" s="171" t="str">
        <f t="shared" si="5"/>
        <v>SubtransmissionAugmentation</v>
      </c>
      <c r="G32" s="268">
        <f>INDEX(Unit_Rates!$C$7:$K$54,MATCH($C32,Unit_Rates!$C$7:$C$54,0),7)</f>
        <v>0</v>
      </c>
      <c r="H32" s="299">
        <v>9</v>
      </c>
      <c r="I32" s="264" t="s">
        <v>292</v>
      </c>
      <c r="J32" s="157"/>
      <c r="K32" s="226">
        <f t="shared" si="11"/>
        <v>0</v>
      </c>
      <c r="L32" s="302">
        <f t="shared" si="2"/>
        <v>0</v>
      </c>
      <c r="M32" s="356"/>
      <c r="N32" s="568">
        <f>$H32*INDEX(Unit_Rates!$C$7:$K$54,MATCH($C32,Unit_Rates!$C$7:$C$54,0),8)</f>
        <v>0</v>
      </c>
      <c r="O32" s="568">
        <f>$H32*INDEX(Unit_Rates!$C$7:$K$54,MATCH($C32,Unit_Rates!$C$7:$C$54,0),9)</f>
        <v>0</v>
      </c>
      <c r="P32" s="569">
        <f t="shared" si="3"/>
        <v>0</v>
      </c>
      <c r="Q32" s="336">
        <f>P32-H32*VLOOKUP(C32,Unit_Rates!$C$7:$E$39,3,FALSE)</f>
        <v>0</v>
      </c>
      <c r="R32" s="327">
        <v>0</v>
      </c>
      <c r="S32" s="327">
        <v>0</v>
      </c>
      <c r="T32" s="327">
        <v>0</v>
      </c>
      <c r="U32" s="327">
        <v>0</v>
      </c>
      <c r="V32" s="327">
        <v>0</v>
      </c>
      <c r="W32" s="327">
        <v>0</v>
      </c>
      <c r="X32" s="327">
        <v>0</v>
      </c>
      <c r="Y32" s="14">
        <f t="shared" si="4"/>
        <v>0</v>
      </c>
    </row>
    <row r="33" spans="2:55" ht="15" x14ac:dyDescent="0.25">
      <c r="B33" s="232"/>
      <c r="C33" s="171" t="s">
        <v>336</v>
      </c>
      <c r="D33" s="171" t="str">
        <f>INDEX(Unit_Rates!$C$7:$K$54,MATCH($C33,Unit_Rates!$C$7:$C$54,0),5)</f>
        <v>Subtransmission</v>
      </c>
      <c r="E33" s="171" t="str">
        <f>INDEX(Unit_Rates!$C$7:$K$54,MATCH($C33,Unit_Rates!$C$7:$C$54,0),6)</f>
        <v>Augmentation</v>
      </c>
      <c r="F33" s="171" t="str">
        <f t="shared" si="5"/>
        <v>SubtransmissionAugmentation</v>
      </c>
      <c r="G33" s="268">
        <f>INDEX(Unit_Rates!$C$7:$K$54,MATCH($C33,Unit_Rates!$C$7:$C$54,0),7)</f>
        <v>0.60844172586161538</v>
      </c>
      <c r="H33" s="299">
        <v>12</v>
      </c>
      <c r="I33" s="264" t="s">
        <v>292</v>
      </c>
      <c r="J33" s="157"/>
      <c r="K33" s="226">
        <f t="shared" si="11"/>
        <v>7.301300710339385</v>
      </c>
      <c r="L33" s="302">
        <f t="shared" si="2"/>
        <v>0</v>
      </c>
      <c r="M33" s="356"/>
      <c r="N33" s="568">
        <f>$H33*INDEX(Unit_Rates!$C$7:$K$54,MATCH($C33,Unit_Rates!$C$7:$C$54,0),8)</f>
        <v>0</v>
      </c>
      <c r="O33" s="568">
        <f>$H33*INDEX(Unit_Rates!$C$7:$K$54,MATCH($C33,Unit_Rates!$C$7:$C$54,0),9)</f>
        <v>0</v>
      </c>
      <c r="P33" s="569">
        <f t="shared" si="3"/>
        <v>7.301300710339385</v>
      </c>
      <c r="Q33" s="336">
        <f>P33-H33*VLOOKUP(C33,Unit_Rates!$C$7:$E$39,3,FALSE)</f>
        <v>7.301300710339385</v>
      </c>
      <c r="R33" s="327">
        <v>0</v>
      </c>
      <c r="S33" s="327">
        <v>0</v>
      </c>
      <c r="T33" s="327">
        <v>0</v>
      </c>
      <c r="U33" s="327">
        <v>0</v>
      </c>
      <c r="V33" s="327">
        <v>0</v>
      </c>
      <c r="W33" s="327">
        <v>0</v>
      </c>
      <c r="X33" s="327">
        <v>0</v>
      </c>
      <c r="Y33" s="14">
        <f t="shared" si="4"/>
        <v>0</v>
      </c>
    </row>
    <row r="34" spans="2:55" x14ac:dyDescent="0.3">
      <c r="B34" s="232"/>
      <c r="C34" s="171" t="s">
        <v>495</v>
      </c>
      <c r="D34" s="171" t="str">
        <f>INDEX(Unit_Rates!$C$7:$K$54,MATCH($C34,Unit_Rates!$C$7:$C$54,0),5)</f>
        <v>Subtransmission</v>
      </c>
      <c r="E34" s="171" t="str">
        <f>INDEX(Unit_Rates!$C$7:$K$54,MATCH($C34,Unit_Rates!$C$7:$C$54,0),6)</f>
        <v>Augmentation</v>
      </c>
      <c r="F34" s="171" t="str">
        <f t="shared" si="5"/>
        <v>SubtransmissionAugmentation</v>
      </c>
      <c r="G34" s="268">
        <f>INDEX(Unit_Rates!$C$7:$K$54,MATCH($C34,Unit_Rates!$C$7:$C$54,0),7)</f>
        <v>0</v>
      </c>
      <c r="H34" s="299">
        <v>1</v>
      </c>
      <c r="I34" s="264" t="s">
        <v>292</v>
      </c>
      <c r="J34" s="157"/>
      <c r="K34" s="226">
        <f t="shared" si="11"/>
        <v>0</v>
      </c>
      <c r="L34" s="302">
        <f t="shared" si="2"/>
        <v>0</v>
      </c>
      <c r="M34" s="356"/>
      <c r="N34" s="568">
        <f>$H34*INDEX(Unit_Rates!$C$7:$K$54,MATCH($C34,Unit_Rates!$C$7:$C$54,0),8)</f>
        <v>0</v>
      </c>
      <c r="O34" s="568">
        <f>$H34*INDEX(Unit_Rates!$C$7:$K$54,MATCH($C34,Unit_Rates!$C$7:$C$54,0),9)</f>
        <v>0</v>
      </c>
      <c r="P34" s="569">
        <f t="shared" si="3"/>
        <v>0</v>
      </c>
      <c r="Q34" s="336">
        <f>P34-H34*VLOOKUP(C34,Unit_Rates!$C$7:$E$39,3,FALSE)</f>
        <v>0</v>
      </c>
      <c r="R34" s="327">
        <v>0</v>
      </c>
      <c r="S34" s="327">
        <v>0</v>
      </c>
      <c r="T34" s="327">
        <v>0</v>
      </c>
      <c r="U34" s="327">
        <v>0</v>
      </c>
      <c r="V34" s="327">
        <v>0</v>
      </c>
      <c r="W34" s="327">
        <v>0</v>
      </c>
      <c r="X34" s="327">
        <v>0</v>
      </c>
      <c r="Y34" s="14">
        <f t="shared" si="4"/>
        <v>0</v>
      </c>
    </row>
    <row r="35" spans="2:55" x14ac:dyDescent="0.3">
      <c r="B35" s="232"/>
      <c r="C35" s="171" t="s">
        <v>209</v>
      </c>
      <c r="D35" s="171" t="str">
        <f>INDEX(Unit_Rates!$C$7:$K$54,MATCH($C35,Unit_Rates!$C$7:$C$54,0),5)</f>
        <v>Subtransmission</v>
      </c>
      <c r="E35" s="171" t="str">
        <f>INDEX(Unit_Rates!$C$7:$K$54,MATCH($C35,Unit_Rates!$C$7:$C$54,0),6)</f>
        <v>Augmentation</v>
      </c>
      <c r="F35" s="171" t="str">
        <f t="shared" si="5"/>
        <v>SubtransmissionAugmentation</v>
      </c>
      <c r="G35" s="268">
        <f>INDEX(Unit_Rates!$C$7:$K$54,MATCH($C35,Unit_Rates!$C$7:$C$54,0),7)</f>
        <v>94.457808471454882</v>
      </c>
      <c r="H35" s="299">
        <v>2</v>
      </c>
      <c r="I35" s="264" t="s">
        <v>292</v>
      </c>
      <c r="J35" s="157"/>
      <c r="K35" s="226">
        <f t="shared" si="9"/>
        <v>188.91561694290976</v>
      </c>
      <c r="L35" s="302">
        <f t="shared" si="2"/>
        <v>0</v>
      </c>
      <c r="M35" s="356"/>
      <c r="N35" s="568">
        <f>$H35*INDEX(Unit_Rates!$C$7:$K$54,MATCH($C35,Unit_Rates!$C$7:$C$54,0),8)</f>
        <v>0</v>
      </c>
      <c r="O35" s="568">
        <f>$H35*INDEX(Unit_Rates!$C$7:$K$54,MATCH($C35,Unit_Rates!$C$7:$C$54,0),9)</f>
        <v>0</v>
      </c>
      <c r="P35" s="569">
        <f t="shared" si="3"/>
        <v>188.91561694290976</v>
      </c>
      <c r="Q35" s="336">
        <f>P35-H35*VLOOKUP(C35,Unit_Rates!$C$7:$E$39,3,FALSE)</f>
        <v>188.91561694290976</v>
      </c>
      <c r="R35" s="327">
        <v>0</v>
      </c>
      <c r="S35" s="327">
        <v>0</v>
      </c>
      <c r="T35" s="327">
        <v>0</v>
      </c>
      <c r="U35" s="327">
        <v>0</v>
      </c>
      <c r="V35" s="327">
        <v>0</v>
      </c>
      <c r="W35" s="327">
        <v>0</v>
      </c>
      <c r="X35" s="327">
        <v>0</v>
      </c>
      <c r="Y35" s="14">
        <f t="shared" si="4"/>
        <v>0</v>
      </c>
    </row>
    <row r="36" spans="2:55" x14ac:dyDescent="0.3">
      <c r="B36" s="232"/>
      <c r="C36" s="171" t="s">
        <v>497</v>
      </c>
      <c r="D36" s="171" t="str">
        <f>INDEX(Unit_Rates!$C$7:$K$54,MATCH($C36,Unit_Rates!$C$7:$C$54,0),5)</f>
        <v>Subtransmission</v>
      </c>
      <c r="E36" s="171" t="str">
        <f>INDEX(Unit_Rates!$C$7:$K$54,MATCH($C36,Unit_Rates!$C$7:$C$54,0),6)</f>
        <v>Augmentation</v>
      </c>
      <c r="F36" s="171" t="str">
        <f t="shared" si="5"/>
        <v>SubtransmissionAugmentation</v>
      </c>
      <c r="G36" s="268">
        <f>INDEX(Unit_Rates!$C$7:$K$54,MATCH($C36,Unit_Rates!$C$7:$C$54,0),7)</f>
        <v>0</v>
      </c>
      <c r="H36" s="299">
        <v>1</v>
      </c>
      <c r="I36" s="264" t="s">
        <v>292</v>
      </c>
      <c r="J36" s="157"/>
      <c r="K36" s="226">
        <f t="shared" si="9"/>
        <v>0</v>
      </c>
      <c r="L36" s="302">
        <f t="shared" si="2"/>
        <v>0</v>
      </c>
      <c r="M36" s="356"/>
      <c r="N36" s="568">
        <f>$H36*INDEX(Unit_Rates!$C$7:$K$54,MATCH($C36,Unit_Rates!$C$7:$C$54,0),8)</f>
        <v>0</v>
      </c>
      <c r="O36" s="568">
        <f>$H36*INDEX(Unit_Rates!$C$7:$K$54,MATCH($C36,Unit_Rates!$C$7:$C$54,0),9)</f>
        <v>0</v>
      </c>
      <c r="P36" s="569">
        <f t="shared" si="3"/>
        <v>0</v>
      </c>
      <c r="Q36" s="336">
        <f>P36-H36*VLOOKUP(C36,Unit_Rates!$C$7:$E$39,3,FALSE)</f>
        <v>0</v>
      </c>
      <c r="R36" s="327">
        <v>0</v>
      </c>
      <c r="S36" s="327">
        <v>0</v>
      </c>
      <c r="T36" s="327">
        <v>0</v>
      </c>
      <c r="U36" s="327">
        <v>0</v>
      </c>
      <c r="V36" s="327">
        <v>0</v>
      </c>
      <c r="W36" s="327">
        <v>0</v>
      </c>
      <c r="X36" s="327">
        <v>0</v>
      </c>
      <c r="Y36" s="14">
        <f t="shared" si="4"/>
        <v>0</v>
      </c>
    </row>
    <row r="37" spans="2:55" x14ac:dyDescent="0.3">
      <c r="B37" s="232"/>
      <c r="C37" s="171" t="s">
        <v>364</v>
      </c>
      <c r="D37" s="171" t="str">
        <f>INDEX(Unit_Rates!$C$7:$K$54,MATCH($C37,Unit_Rates!$C$7:$C$54,0),5)</f>
        <v>Subtransmission</v>
      </c>
      <c r="E37" s="171" t="str">
        <f>INDEX(Unit_Rates!$C$7:$K$54,MATCH($C37,Unit_Rates!$C$7:$C$54,0),6)</f>
        <v>Augmentation</v>
      </c>
      <c r="F37" s="171" t="str">
        <f t="shared" si="5"/>
        <v>SubtransmissionAugmentation</v>
      </c>
      <c r="G37" s="268">
        <f>INDEX(Unit_Rates!$C$7:$K$54,MATCH($C37,Unit_Rates!$C$7:$C$54,0),7)</f>
        <v>226.61039779005526</v>
      </c>
      <c r="H37" s="299"/>
      <c r="I37" s="264" t="s">
        <v>292</v>
      </c>
      <c r="J37" s="157"/>
      <c r="K37" s="226">
        <f t="shared" si="9"/>
        <v>0</v>
      </c>
      <c r="L37" s="302">
        <f t="shared" si="2"/>
        <v>0</v>
      </c>
      <c r="M37" s="356"/>
      <c r="N37" s="568">
        <f>$H37*INDEX(Unit_Rates!$C$7:$K$54,MATCH($C37,Unit_Rates!$C$7:$C$54,0),8)</f>
        <v>0</v>
      </c>
      <c r="O37" s="568">
        <f>$H37*INDEX(Unit_Rates!$C$7:$K$54,MATCH($C37,Unit_Rates!$C$7:$C$54,0),9)</f>
        <v>0</v>
      </c>
      <c r="P37" s="569">
        <f t="shared" si="3"/>
        <v>0</v>
      </c>
      <c r="Q37" s="336">
        <f>P37-H37*VLOOKUP(C37,Unit_Rates!$C$7:$E$39,3,FALSE)</f>
        <v>0</v>
      </c>
      <c r="R37" s="327">
        <v>0</v>
      </c>
      <c r="S37" s="327">
        <v>0</v>
      </c>
      <c r="T37" s="327">
        <v>0</v>
      </c>
      <c r="U37" s="327">
        <v>0</v>
      </c>
      <c r="V37" s="327">
        <v>0</v>
      </c>
      <c r="W37" s="327">
        <v>0</v>
      </c>
      <c r="X37" s="327">
        <v>0</v>
      </c>
      <c r="Y37" s="14">
        <f t="shared" si="4"/>
        <v>0</v>
      </c>
    </row>
    <row r="38" spans="2:55" x14ac:dyDescent="0.3">
      <c r="B38" s="232"/>
      <c r="C38" s="236" t="s">
        <v>273</v>
      </c>
      <c r="D38" s="171" t="str">
        <f>INDEX(Unit_Rates!$C$7:$K$54,MATCH($C38,Unit_Rates!$C$7:$C$54,0),5)</f>
        <v>Subtransmission</v>
      </c>
      <c r="E38" s="171" t="str">
        <f>INDEX(Unit_Rates!$C$7:$K$54,MATCH($C38,Unit_Rates!$C$7:$C$54,0),6)</f>
        <v>Augmentation</v>
      </c>
      <c r="F38" s="171" t="str">
        <f t="shared" si="5"/>
        <v>SubtransmissionAugmentation</v>
      </c>
      <c r="G38" s="268">
        <f>INDEX(Unit_Rates!$C$7:$K$54,MATCH($C38,Unit_Rates!$C$7:$C$54,0),7)</f>
        <v>362.24270165745855</v>
      </c>
      <c r="H38" s="299"/>
      <c r="I38" s="264" t="s">
        <v>292</v>
      </c>
      <c r="J38" s="157"/>
      <c r="K38" s="226">
        <f t="shared" si="9"/>
        <v>0</v>
      </c>
      <c r="L38" s="302">
        <f t="shared" si="2"/>
        <v>0</v>
      </c>
      <c r="M38" s="356"/>
      <c r="N38" s="568">
        <f>$H38*INDEX(Unit_Rates!$C$7:$K$54,MATCH($C38,Unit_Rates!$C$7:$C$54,0),8)</f>
        <v>0</v>
      </c>
      <c r="O38" s="568">
        <f>$H38*INDEX(Unit_Rates!$C$7:$K$54,MATCH($C38,Unit_Rates!$C$7:$C$54,0),9)</f>
        <v>0</v>
      </c>
      <c r="P38" s="569">
        <f t="shared" si="3"/>
        <v>0</v>
      </c>
      <c r="Q38" s="336">
        <f>P38-H38*VLOOKUP(C38,Unit_Rates!$C$7:$E$39,3,FALSE)</f>
        <v>0</v>
      </c>
      <c r="R38" s="327">
        <v>0</v>
      </c>
      <c r="S38" s="327">
        <v>0</v>
      </c>
      <c r="T38" s="327">
        <v>0</v>
      </c>
      <c r="U38" s="327">
        <v>0</v>
      </c>
      <c r="V38" s="327">
        <v>0</v>
      </c>
      <c r="W38" s="327">
        <v>0</v>
      </c>
      <c r="X38" s="327">
        <v>0</v>
      </c>
      <c r="Y38" s="14">
        <f t="shared" si="4"/>
        <v>0</v>
      </c>
    </row>
    <row r="39" spans="2:55" x14ac:dyDescent="0.3">
      <c r="B39" s="232"/>
      <c r="C39" s="171" t="s">
        <v>303</v>
      </c>
      <c r="D39" s="171" t="s">
        <v>18</v>
      </c>
      <c r="E39" s="171" t="s">
        <v>42</v>
      </c>
      <c r="F39" s="171" t="str">
        <f t="shared" si="5"/>
        <v>SubtransmissionAugmentation</v>
      </c>
      <c r="G39" s="441">
        <v>8.1762955522071551E-2</v>
      </c>
      <c r="H39" s="535">
        <v>1650</v>
      </c>
      <c r="I39" s="264" t="s">
        <v>318</v>
      </c>
      <c r="J39" s="157"/>
      <c r="K39" s="226">
        <f t="shared" si="9"/>
        <v>134.90887661141807</v>
      </c>
      <c r="L39" s="302">
        <f t="shared" si="2"/>
        <v>0</v>
      </c>
      <c r="M39" s="356"/>
      <c r="N39" s="568">
        <v>467.85620994475141</v>
      </c>
      <c r="O39" s="573">
        <v>0</v>
      </c>
      <c r="P39" s="569">
        <f t="shared" si="3"/>
        <v>602.76508655616954</v>
      </c>
      <c r="Q39" s="290"/>
      <c r="R39" s="327">
        <v>0</v>
      </c>
      <c r="S39" s="327">
        <v>0</v>
      </c>
      <c r="T39" s="327">
        <v>0</v>
      </c>
      <c r="U39" s="327">
        <v>0</v>
      </c>
      <c r="V39" s="327">
        <v>0</v>
      </c>
      <c r="W39" s="327">
        <v>0</v>
      </c>
      <c r="X39" s="327">
        <v>0</v>
      </c>
      <c r="Y39" s="14">
        <f t="shared" si="4"/>
        <v>0</v>
      </c>
    </row>
    <row r="40" spans="2:55" x14ac:dyDescent="0.3">
      <c r="B40" s="232"/>
      <c r="C40" s="171" t="s">
        <v>60</v>
      </c>
      <c r="D40" s="171" t="s">
        <v>18</v>
      </c>
      <c r="E40" s="171" t="s">
        <v>42</v>
      </c>
      <c r="F40" s="171" t="str">
        <f t="shared" si="5"/>
        <v>SubtransmissionAugmentation</v>
      </c>
      <c r="G40" s="441">
        <v>17.77844567219153</v>
      </c>
      <c r="H40" s="533">
        <v>1</v>
      </c>
      <c r="I40" s="264" t="s">
        <v>292</v>
      </c>
      <c r="J40" s="157"/>
      <c r="K40" s="226">
        <f t="shared" si="9"/>
        <v>17.77844567219153</v>
      </c>
      <c r="L40" s="227">
        <f t="shared" si="2"/>
        <v>0</v>
      </c>
      <c r="M40" s="356"/>
      <c r="N40" s="568">
        <v>39.899418047882136</v>
      </c>
      <c r="O40" s="573">
        <v>0.26993554327808472</v>
      </c>
      <c r="P40" s="569">
        <f t="shared" si="3"/>
        <v>57.947799263351754</v>
      </c>
      <c r="Q40" s="290"/>
      <c r="R40" s="327">
        <v>0</v>
      </c>
      <c r="S40" s="327">
        <v>0</v>
      </c>
      <c r="T40" s="327">
        <v>0</v>
      </c>
      <c r="U40" s="327">
        <v>0</v>
      </c>
      <c r="V40" s="327">
        <v>0</v>
      </c>
      <c r="W40" s="327">
        <v>0</v>
      </c>
      <c r="X40" s="327">
        <v>0</v>
      </c>
      <c r="Y40" s="14">
        <f t="shared" si="4"/>
        <v>0</v>
      </c>
      <c r="AO40" s="236"/>
      <c r="AP40" s="236"/>
      <c r="AQ40" s="318"/>
      <c r="AR40" s="546"/>
      <c r="AS40" s="318"/>
      <c r="AT40" s="318"/>
      <c r="AU40" s="318"/>
      <c r="AV40" s="318"/>
      <c r="AW40" s="318"/>
      <c r="AX40" s="318"/>
      <c r="AY40" s="547"/>
      <c r="AZ40" s="548"/>
      <c r="BA40" s="318"/>
      <c r="BB40" s="236"/>
      <c r="BC40" s="236"/>
    </row>
    <row r="41" spans="2:55" x14ac:dyDescent="0.3">
      <c r="B41" s="232"/>
      <c r="C41" s="171"/>
      <c r="D41" s="171"/>
      <c r="E41" s="171"/>
      <c r="F41" s="171"/>
      <c r="G41" s="268"/>
      <c r="H41" s="232"/>
      <c r="I41" s="224"/>
      <c r="J41" s="157"/>
      <c r="K41" s="225"/>
      <c r="L41" s="224"/>
      <c r="M41" s="224"/>
      <c r="N41" s="225"/>
      <c r="O41" s="225"/>
      <c r="P41" s="224"/>
      <c r="Q41" s="291"/>
      <c r="R41" s="326"/>
      <c r="S41" s="326"/>
      <c r="T41" s="326"/>
      <c r="U41" s="326"/>
      <c r="V41" s="326"/>
      <c r="W41" s="326"/>
      <c r="X41" s="326"/>
      <c r="Y41" s="14">
        <f t="shared" si="4"/>
        <v>0</v>
      </c>
      <c r="AO41" s="236"/>
      <c r="AP41" s="236"/>
      <c r="AQ41" s="274"/>
      <c r="AR41" s="274"/>
      <c r="AS41" s="549"/>
      <c r="AT41" s="236"/>
      <c r="AU41" s="549"/>
      <c r="AV41" s="549"/>
      <c r="AW41" s="549"/>
      <c r="AX41" s="415"/>
      <c r="AY41" s="547"/>
      <c r="AZ41" s="236"/>
      <c r="BA41" s="416"/>
      <c r="BB41" s="236"/>
      <c r="BC41" s="236"/>
    </row>
    <row r="42" spans="2:55" x14ac:dyDescent="0.3">
      <c r="B42" s="251" t="s">
        <v>307</v>
      </c>
      <c r="C42" s="171"/>
      <c r="D42" s="171"/>
      <c r="E42" s="171"/>
      <c r="F42" s="171"/>
      <c r="G42" s="268"/>
      <c r="H42" s="277"/>
      <c r="I42" s="266"/>
      <c r="J42" s="274"/>
      <c r="K42" s="226"/>
      <c r="L42" s="226"/>
      <c r="M42" s="226"/>
      <c r="N42" s="281"/>
      <c r="O42" s="226"/>
      <c r="P42" s="223"/>
      <c r="Q42" s="290"/>
      <c r="R42" s="326"/>
      <c r="S42" s="326"/>
      <c r="T42" s="326"/>
      <c r="U42" s="326"/>
      <c r="V42" s="326"/>
      <c r="W42" s="326"/>
      <c r="X42" s="326"/>
      <c r="AO42" s="236"/>
      <c r="AP42" s="236"/>
      <c r="AQ42" s="318"/>
      <c r="AR42" s="274"/>
      <c r="AS42" s="549"/>
      <c r="AT42" s="549"/>
      <c r="AU42" s="549"/>
      <c r="AV42" s="549"/>
      <c r="AW42" s="549"/>
      <c r="AX42" s="415"/>
      <c r="AY42" s="547"/>
      <c r="AZ42" s="236"/>
      <c r="BA42" s="416"/>
      <c r="BB42" s="236"/>
      <c r="BC42" s="236"/>
    </row>
    <row r="43" spans="2:55" x14ac:dyDescent="0.3">
      <c r="B43" s="232"/>
      <c r="C43" s="276" t="s">
        <v>500</v>
      </c>
      <c r="D43" s="171" t="str">
        <f>INDEX(Unit_Rates!$C$7:$K$54,MATCH($C43,Unit_Rates!$C$7:$C$54,0),5)</f>
        <v>SCADA/Network control</v>
      </c>
      <c r="E43" s="171" t="str">
        <f>INDEX(Unit_Rates!$C$7:$K$54,MATCH($C43,Unit_Rates!$C$7:$C$54,0),6)</f>
        <v>Augmentation</v>
      </c>
      <c r="F43" s="171" t="str">
        <f t="shared" ref="F43:F50" si="17">D43&amp;E43</f>
        <v>SCADA/Network controlAugmentation</v>
      </c>
      <c r="G43" s="268">
        <f>INDEX(Unit_Rates!$C$7:$K$54,MATCH($C43,Unit_Rates!$C$7:$C$54,0),7)</f>
        <v>58.317856353591161</v>
      </c>
      <c r="H43" s="299">
        <v>1</v>
      </c>
      <c r="I43" s="264" t="s">
        <v>292</v>
      </c>
      <c r="J43" s="157"/>
      <c r="K43" s="225">
        <f>G43*H43</f>
        <v>58.317856353591161</v>
      </c>
      <c r="L43" s="225">
        <f t="shared" ref="L43:L50" si="18">SUMPRODUCT(R$5:X$5,R43:X43)/Thousands</f>
        <v>0</v>
      </c>
      <c r="M43" s="307"/>
      <c r="N43" s="568">
        <f>$H43*INDEX(Unit_Rates!$C$7:$K$54,MATCH($C43,Unit_Rates!$C$7:$C$54,0),8)</f>
        <v>0</v>
      </c>
      <c r="O43" s="573">
        <f>$H43*INDEX(Unit_Rates!$C$7:$K$54,MATCH($C43,Unit_Rates!$C$7:$C$54,0),9)</f>
        <v>0</v>
      </c>
      <c r="P43" s="569">
        <f t="shared" ref="P43:P49" si="19">SUM(K43:O43)</f>
        <v>58.317856353591161</v>
      </c>
      <c r="Q43" s="336">
        <f>P43-H43*VLOOKUP(C43,Unit_Rates!$C$44:$E$54,3,FALSE)</f>
        <v>58.317856353591161</v>
      </c>
      <c r="R43" s="327">
        <v>0</v>
      </c>
      <c r="S43" s="327">
        <v>0</v>
      </c>
      <c r="T43" s="327">
        <v>0</v>
      </c>
      <c r="U43" s="327">
        <v>0</v>
      </c>
      <c r="V43" s="327">
        <v>0</v>
      </c>
      <c r="W43" s="327">
        <v>0</v>
      </c>
      <c r="X43" s="327">
        <v>0</v>
      </c>
      <c r="AO43" s="236"/>
      <c r="AP43" s="236"/>
      <c r="AQ43" s="318"/>
      <c r="AR43" s="274"/>
      <c r="AS43" s="549"/>
      <c r="AT43" s="549"/>
      <c r="AU43" s="549"/>
      <c r="AV43" s="549"/>
      <c r="AW43" s="549"/>
      <c r="AX43" s="415"/>
      <c r="AY43" s="547"/>
      <c r="AZ43" s="236"/>
      <c r="BA43" s="416"/>
      <c r="BB43" s="236"/>
      <c r="BC43" s="236"/>
    </row>
    <row r="44" spans="2:55" x14ac:dyDescent="0.3">
      <c r="B44" s="232"/>
      <c r="C44" s="276" t="s">
        <v>319</v>
      </c>
      <c r="D44" s="171" t="str">
        <f>INDEX(Unit_Rates!$C$7:$K$54,MATCH($C44,Unit_Rates!$C$7:$C$54,0),5)</f>
        <v>SCADA/Network control</v>
      </c>
      <c r="E44" s="171" t="str">
        <f>INDEX(Unit_Rates!$C$7:$K$54,MATCH($C44,Unit_Rates!$C$7:$C$54,0),6)</f>
        <v>Augmentation</v>
      </c>
      <c r="F44" s="171" t="str">
        <f t="shared" si="17"/>
        <v>SCADA/Network controlAugmentation</v>
      </c>
      <c r="G44" s="268">
        <f>INDEX(Unit_Rates!$C$7:$K$54,MATCH($C44,Unit_Rates!$C$7:$C$54,0),7)</f>
        <v>5.88950276243094</v>
      </c>
      <c r="H44" s="299">
        <v>2</v>
      </c>
      <c r="I44" s="264" t="s">
        <v>292</v>
      </c>
      <c r="J44" s="157"/>
      <c r="K44" s="225">
        <f>G44*H44</f>
        <v>11.77900552486188</v>
      </c>
      <c r="L44" s="225">
        <f t="shared" si="18"/>
        <v>0</v>
      </c>
      <c r="M44" s="307"/>
      <c r="N44" s="568">
        <f>$H44*INDEX(Unit_Rates!$C$7:$K$54,MATCH($C44,Unit_Rates!$C$7:$C$54,0),8)</f>
        <v>0</v>
      </c>
      <c r="O44" s="573">
        <f>$H44*INDEX(Unit_Rates!$C$7:$K$54,MATCH($C44,Unit_Rates!$C$7:$C$54,0),9)</f>
        <v>0</v>
      </c>
      <c r="P44" s="569">
        <f t="shared" ref="P44" si="20">SUM(K44:O44)</f>
        <v>11.77900552486188</v>
      </c>
      <c r="Q44" s="336">
        <f>P44-H44*VLOOKUP(C44,Unit_Rates!$C$44:$E$54,3,FALSE)</f>
        <v>11.77900552486188</v>
      </c>
      <c r="R44" s="327">
        <v>0</v>
      </c>
      <c r="S44" s="327">
        <v>0</v>
      </c>
      <c r="T44" s="327">
        <v>0</v>
      </c>
      <c r="U44" s="327">
        <v>0</v>
      </c>
      <c r="V44" s="327">
        <v>0</v>
      </c>
      <c r="W44" s="327">
        <v>0</v>
      </c>
      <c r="X44" s="327">
        <v>0</v>
      </c>
      <c r="Y44" s="14">
        <f t="shared" ref="Y44:Y51" si="21">SUM(R44:X44)</f>
        <v>0</v>
      </c>
      <c r="AO44" s="236"/>
      <c r="AP44" s="236"/>
      <c r="AQ44" s="318"/>
      <c r="AR44" s="274"/>
      <c r="AS44" s="549"/>
      <c r="AT44" s="555"/>
      <c r="AU44" s="550"/>
      <c r="AV44" s="550"/>
      <c r="AW44" s="236"/>
      <c r="AX44" s="415"/>
      <c r="AY44" s="547"/>
      <c r="AZ44" s="236"/>
      <c r="BA44" s="416"/>
      <c r="BB44" s="236"/>
      <c r="BC44" s="236"/>
    </row>
    <row r="45" spans="2:55" x14ac:dyDescent="0.3">
      <c r="B45" s="232"/>
      <c r="C45" s="276" t="s">
        <v>321</v>
      </c>
      <c r="D45" s="171" t="str">
        <f>INDEX(Unit_Rates!$C$7:$K$54,MATCH($C45,Unit_Rates!$C$7:$C$54,0),5)</f>
        <v>SCADA/Network control</v>
      </c>
      <c r="E45" s="171" t="str">
        <f>INDEX(Unit_Rates!$C$7:$K$54,MATCH($C45,Unit_Rates!$C$7:$C$54,0),6)</f>
        <v>Augmentation</v>
      </c>
      <c r="F45" s="171" t="str">
        <f t="shared" si="17"/>
        <v>SCADA/Network controlAugmentation</v>
      </c>
      <c r="G45" s="268">
        <f>INDEX(Unit_Rates!$C$7:$K$54,MATCH($C45,Unit_Rates!$C$7:$C$54,0),7)</f>
        <v>8.2030957642725593</v>
      </c>
      <c r="H45" s="299">
        <v>2</v>
      </c>
      <c r="I45" s="264" t="s">
        <v>292</v>
      </c>
      <c r="J45" s="157"/>
      <c r="K45" s="225">
        <f t="shared" ref="K45:K46" si="22">G45*H45</f>
        <v>16.406191528545119</v>
      </c>
      <c r="L45" s="225">
        <f t="shared" si="18"/>
        <v>0</v>
      </c>
      <c r="M45" s="307"/>
      <c r="N45" s="568">
        <f>$H45*INDEX(Unit_Rates!$C$7:$K$54,MATCH($C45,Unit_Rates!$C$7:$C$54,0),8)</f>
        <v>0</v>
      </c>
      <c r="O45" s="573">
        <f>$H45*INDEX(Unit_Rates!$C$7:$K$54,MATCH($C45,Unit_Rates!$C$7:$C$54,0),9)</f>
        <v>0</v>
      </c>
      <c r="P45" s="569">
        <f t="shared" si="19"/>
        <v>16.406191528545119</v>
      </c>
      <c r="Q45" s="336">
        <f>P45-H45*VLOOKUP(C45,Unit_Rates!$C$44:$E$54,3,FALSE)</f>
        <v>16.406191528545119</v>
      </c>
      <c r="R45" s="327">
        <v>0</v>
      </c>
      <c r="S45" s="327">
        <v>0</v>
      </c>
      <c r="T45" s="327">
        <v>0</v>
      </c>
      <c r="U45" s="327">
        <v>0</v>
      </c>
      <c r="V45" s="327">
        <v>0</v>
      </c>
      <c r="W45" s="327">
        <v>0</v>
      </c>
      <c r="X45" s="327">
        <v>0</v>
      </c>
      <c r="Y45" s="14">
        <f t="shared" si="21"/>
        <v>0</v>
      </c>
      <c r="AO45" s="236"/>
      <c r="AP45" s="236"/>
      <c r="AQ45" s="236"/>
      <c r="AR45" s="236"/>
      <c r="AS45" s="236"/>
      <c r="AT45" s="236"/>
      <c r="AU45" s="236"/>
      <c r="AV45" s="236"/>
      <c r="AW45" s="236"/>
      <c r="AX45" s="415"/>
      <c r="AY45" s="236"/>
      <c r="AZ45" s="236"/>
      <c r="BA45" s="416"/>
      <c r="BB45" s="236"/>
      <c r="BC45" s="236"/>
    </row>
    <row r="46" spans="2:55" x14ac:dyDescent="0.3">
      <c r="B46" s="232"/>
      <c r="C46" s="276" t="s">
        <v>520</v>
      </c>
      <c r="D46" s="171" t="str">
        <f>INDEX(Unit_Rates!$C$7:$K$54,MATCH($C46,Unit_Rates!$C$7:$C$54,0),5)</f>
        <v>SCADA/Network control</v>
      </c>
      <c r="E46" s="171" t="str">
        <f>INDEX(Unit_Rates!$C$7:$K$54,MATCH($C46,Unit_Rates!$C$7:$C$54,0),6)</f>
        <v>Augmentation</v>
      </c>
      <c r="F46" s="171" t="str">
        <f t="shared" si="17"/>
        <v>SCADA/Network controlAugmentation</v>
      </c>
      <c r="G46" s="268">
        <f>INDEX(Unit_Rates!$C$7:$K$54,MATCH($C46,Unit_Rates!$C$7:$C$54,0),7)</f>
        <v>92.456849907918979</v>
      </c>
      <c r="H46" s="299">
        <v>2</v>
      </c>
      <c r="I46" s="264" t="s">
        <v>292</v>
      </c>
      <c r="J46" s="157"/>
      <c r="K46" s="225">
        <f t="shared" si="22"/>
        <v>184.91369981583796</v>
      </c>
      <c r="L46" s="225">
        <f t="shared" si="18"/>
        <v>0</v>
      </c>
      <c r="M46" s="307"/>
      <c r="N46" s="568">
        <f>$H46*INDEX(Unit_Rates!$C$7:$K$54,MATCH($C46,Unit_Rates!$C$7:$C$54,0),8)</f>
        <v>0</v>
      </c>
      <c r="O46" s="573">
        <f>$H46*INDEX(Unit_Rates!$C$7:$K$54,MATCH($C46,Unit_Rates!$C$7:$C$54,0),9)</f>
        <v>0</v>
      </c>
      <c r="P46" s="569">
        <f t="shared" si="19"/>
        <v>184.91369981583796</v>
      </c>
      <c r="Q46" s="336">
        <f>P46-H46*VLOOKUP(C46,Unit_Rates!$C$44:$E$54,3,FALSE)</f>
        <v>184.91369981583796</v>
      </c>
      <c r="R46" s="327">
        <v>0</v>
      </c>
      <c r="S46" s="327">
        <v>0</v>
      </c>
      <c r="T46" s="327">
        <v>0</v>
      </c>
      <c r="U46" s="327">
        <v>0</v>
      </c>
      <c r="V46" s="327">
        <v>0</v>
      </c>
      <c r="W46" s="327">
        <v>0</v>
      </c>
      <c r="X46" s="327">
        <v>0</v>
      </c>
      <c r="Y46" s="14">
        <f t="shared" si="21"/>
        <v>0</v>
      </c>
      <c r="AO46" s="236"/>
      <c r="AP46" s="236"/>
      <c r="AQ46" s="236"/>
      <c r="AR46" s="236"/>
      <c r="AS46" s="236"/>
      <c r="AT46" s="236"/>
      <c r="AU46" s="236"/>
      <c r="AV46" s="236"/>
      <c r="AW46" s="236"/>
      <c r="AX46" s="415"/>
      <c r="AY46" s="236"/>
      <c r="AZ46" s="236"/>
      <c r="BA46" s="416"/>
      <c r="BB46" s="236"/>
      <c r="BC46" s="236"/>
    </row>
    <row r="47" spans="2:55" x14ac:dyDescent="0.3">
      <c r="B47" s="232"/>
      <c r="C47" s="276" t="s">
        <v>526</v>
      </c>
      <c r="D47" s="171" t="str">
        <f>INDEX(Unit_Rates!$C$7:$K$54,MATCH($C47,Unit_Rates!$C$7:$C$54,0),5)</f>
        <v>SCADA/Network control</v>
      </c>
      <c r="E47" s="171" t="str">
        <f>INDEX(Unit_Rates!$C$7:$K$54,MATCH($C47,Unit_Rates!$C$7:$C$54,0),6)</f>
        <v>Augmentation</v>
      </c>
      <c r="F47" s="171" t="str">
        <f t="shared" ref="F47" si="23">D47&amp;E47</f>
        <v>SCADA/Network controlAugmentation</v>
      </c>
      <c r="G47" s="268">
        <f>INDEX(Unit_Rates!$C$7:$K$54,MATCH($C47,Unit_Rates!$C$7:$C$54,0),7)</f>
        <v>39.589237569060778</v>
      </c>
      <c r="H47" s="299">
        <v>1</v>
      </c>
      <c r="I47" s="264" t="s">
        <v>292</v>
      </c>
      <c r="J47" s="157"/>
      <c r="K47" s="225">
        <f t="shared" ref="K47" si="24">G47*H47</f>
        <v>39.589237569060778</v>
      </c>
      <c r="L47" s="225">
        <f t="shared" ref="L47" si="25">SUMPRODUCT(R$5:X$5,R47:X47)/Thousands</f>
        <v>0</v>
      </c>
      <c r="M47" s="307"/>
      <c r="N47" s="568">
        <f>$H47*INDEX(Unit_Rates!$C$7:$K$54,MATCH($C47,Unit_Rates!$C$7:$C$54,0),8)</f>
        <v>0</v>
      </c>
      <c r="O47" s="573">
        <f>$H47*INDEX(Unit_Rates!$C$7:$K$54,MATCH($C47,Unit_Rates!$C$7:$C$54,0),9)</f>
        <v>0</v>
      </c>
      <c r="P47" s="569">
        <f t="shared" ref="P47" si="26">SUM(K47:O47)</f>
        <v>39.589237569060778</v>
      </c>
      <c r="Q47" s="336">
        <f>P47-H47*VLOOKUP(C47,Unit_Rates!$C$44:$E$54,3,FALSE)</f>
        <v>39.589237569060778</v>
      </c>
      <c r="R47" s="327">
        <v>0</v>
      </c>
      <c r="S47" s="327">
        <v>0</v>
      </c>
      <c r="T47" s="327">
        <v>0</v>
      </c>
      <c r="U47" s="327">
        <v>0</v>
      </c>
      <c r="V47" s="327">
        <v>0</v>
      </c>
      <c r="W47" s="327">
        <v>0</v>
      </c>
      <c r="X47" s="327">
        <v>0</v>
      </c>
      <c r="Y47" s="14">
        <f t="shared" ref="Y47" si="27">SUM(R47:X47)</f>
        <v>0</v>
      </c>
      <c r="AO47" s="236"/>
      <c r="AP47" s="236"/>
      <c r="AQ47" s="236"/>
      <c r="AR47" s="236"/>
      <c r="AS47" s="236"/>
      <c r="AT47" s="236"/>
      <c r="AU47" s="236"/>
      <c r="AV47" s="236"/>
      <c r="AW47" s="236"/>
      <c r="AX47" s="415"/>
      <c r="AY47" s="236"/>
      <c r="AZ47" s="236"/>
      <c r="BA47" s="416"/>
      <c r="BB47" s="236"/>
      <c r="BC47" s="236"/>
    </row>
    <row r="48" spans="2:55" x14ac:dyDescent="0.3">
      <c r="B48" s="232"/>
      <c r="C48" s="171" t="s">
        <v>324</v>
      </c>
      <c r="D48" s="276" t="s">
        <v>22</v>
      </c>
      <c r="E48" s="276" t="s">
        <v>42</v>
      </c>
      <c r="F48" s="171" t="str">
        <f t="shared" si="17"/>
        <v>SCADA/Network controlAugmentation</v>
      </c>
      <c r="G48" s="441">
        <v>21.945268876611419</v>
      </c>
      <c r="H48" s="533">
        <v>1</v>
      </c>
      <c r="I48" s="264" t="s">
        <v>292</v>
      </c>
      <c r="J48" s="157"/>
      <c r="K48" s="225">
        <f t="shared" ref="K48:K49" si="28">G48*H48</f>
        <v>21.945268876611419</v>
      </c>
      <c r="L48" s="225">
        <f t="shared" si="18"/>
        <v>0</v>
      </c>
      <c r="M48" s="307"/>
      <c r="N48" s="568">
        <v>61.934011049723757</v>
      </c>
      <c r="O48" s="573"/>
      <c r="P48" s="569">
        <f t="shared" si="19"/>
        <v>83.879279926335172</v>
      </c>
      <c r="Q48" s="290"/>
      <c r="R48" s="327">
        <v>0</v>
      </c>
      <c r="S48" s="327">
        <v>0</v>
      </c>
      <c r="T48" s="327">
        <v>0</v>
      </c>
      <c r="U48" s="327">
        <v>0</v>
      </c>
      <c r="V48" s="327">
        <v>0</v>
      </c>
      <c r="W48" s="327">
        <v>0</v>
      </c>
      <c r="X48" s="327">
        <v>0</v>
      </c>
      <c r="Y48" s="14">
        <f t="shared" si="21"/>
        <v>0</v>
      </c>
      <c r="AO48" s="236"/>
      <c r="AP48" s="236"/>
      <c r="AQ48" s="236"/>
      <c r="AR48" s="236"/>
      <c r="AS48" s="236"/>
      <c r="AT48" s="236"/>
      <c r="AU48" s="236"/>
      <c r="AV48" s="236"/>
      <c r="AW48" s="236"/>
      <c r="AX48" s="415"/>
      <c r="AY48" s="236"/>
      <c r="AZ48" s="236"/>
      <c r="BA48" s="416"/>
      <c r="BB48" s="236"/>
      <c r="BC48" s="236"/>
    </row>
    <row r="49" spans="2:55" x14ac:dyDescent="0.3">
      <c r="B49" s="232"/>
      <c r="C49" s="171" t="s">
        <v>322</v>
      </c>
      <c r="D49" s="276" t="s">
        <v>22</v>
      </c>
      <c r="E49" s="276" t="s">
        <v>42</v>
      </c>
      <c r="F49" s="171" t="str">
        <f t="shared" si="17"/>
        <v>SCADA/Network controlAugmentation</v>
      </c>
      <c r="G49" s="441">
        <v>287.62172007366485</v>
      </c>
      <c r="H49" s="533">
        <v>1</v>
      </c>
      <c r="I49" s="264" t="s">
        <v>292</v>
      </c>
      <c r="J49" s="157"/>
      <c r="K49" s="225">
        <f t="shared" si="28"/>
        <v>287.62172007366485</v>
      </c>
      <c r="L49" s="225">
        <f t="shared" si="18"/>
        <v>0</v>
      </c>
      <c r="M49" s="307"/>
      <c r="N49" s="568">
        <v>153.37835727440148</v>
      </c>
      <c r="O49" s="573"/>
      <c r="P49" s="569">
        <f t="shared" si="19"/>
        <v>441.00007734806633</v>
      </c>
      <c r="Q49" s="290"/>
      <c r="R49" s="327">
        <v>0</v>
      </c>
      <c r="S49" s="327">
        <v>0</v>
      </c>
      <c r="T49" s="327">
        <v>0</v>
      </c>
      <c r="U49" s="327">
        <v>0</v>
      </c>
      <c r="V49" s="327">
        <v>0</v>
      </c>
      <c r="W49" s="327">
        <v>0</v>
      </c>
      <c r="X49" s="327">
        <v>0</v>
      </c>
      <c r="Y49" s="14">
        <f t="shared" si="21"/>
        <v>0</v>
      </c>
      <c r="AO49" s="236"/>
      <c r="AP49" s="236"/>
      <c r="AQ49" s="236"/>
      <c r="AR49" s="236"/>
      <c r="AS49" s="236"/>
      <c r="AT49" s="236"/>
      <c r="AU49" s="236"/>
      <c r="AV49" s="236"/>
      <c r="AW49" s="236"/>
      <c r="AX49" s="415"/>
      <c r="AY49" s="236"/>
      <c r="AZ49" s="236"/>
      <c r="BA49" s="416"/>
      <c r="BB49" s="236"/>
      <c r="BC49" s="236"/>
    </row>
    <row r="50" spans="2:55" x14ac:dyDescent="0.3">
      <c r="B50" s="251" t="s">
        <v>281</v>
      </c>
      <c r="C50" s="171"/>
      <c r="D50" s="236" t="s">
        <v>18</v>
      </c>
      <c r="E50" s="236" t="s">
        <v>42</v>
      </c>
      <c r="F50" s="171" t="str">
        <f t="shared" si="17"/>
        <v>SubtransmissionAugmentation</v>
      </c>
      <c r="G50" s="441">
        <v>30.665659300184164</v>
      </c>
      <c r="H50" s="533">
        <v>1</v>
      </c>
      <c r="I50" s="264" t="s">
        <v>292</v>
      </c>
      <c r="J50" s="157"/>
      <c r="K50" s="225">
        <f>G50*H50</f>
        <v>30.665659300184164</v>
      </c>
      <c r="L50" s="225">
        <f t="shared" si="18"/>
        <v>0</v>
      </c>
      <c r="M50" s="307"/>
      <c r="N50" s="568">
        <v>2.5840000000000001</v>
      </c>
      <c r="O50" s="573">
        <v>0</v>
      </c>
      <c r="P50" s="569">
        <f>SUM(K50:O50)</f>
        <v>33.249659300184163</v>
      </c>
      <c r="Q50" s="290"/>
      <c r="R50" s="327">
        <v>0</v>
      </c>
      <c r="S50" s="327">
        <v>0</v>
      </c>
      <c r="T50" s="327">
        <v>0</v>
      </c>
      <c r="U50" s="327">
        <v>0</v>
      </c>
      <c r="V50" s="327">
        <v>0</v>
      </c>
      <c r="W50" s="327">
        <v>0</v>
      </c>
      <c r="X50" s="327">
        <v>0</v>
      </c>
      <c r="Y50" s="14">
        <f t="shared" si="21"/>
        <v>0</v>
      </c>
      <c r="AO50" s="236"/>
      <c r="AP50" s="236"/>
      <c r="AQ50" s="318"/>
      <c r="AR50" s="318"/>
      <c r="AS50" s="551"/>
      <c r="AT50" s="551"/>
      <c r="AU50" s="551"/>
      <c r="AV50" s="551"/>
      <c r="AW50" s="551"/>
      <c r="AX50" s="551"/>
      <c r="AY50" s="547"/>
      <c r="AZ50" s="236"/>
      <c r="BA50" s="416"/>
      <c r="BB50" s="236"/>
      <c r="BC50" s="236"/>
    </row>
    <row r="51" spans="2:55" x14ac:dyDescent="0.3">
      <c r="B51" s="251" t="s">
        <v>312</v>
      </c>
      <c r="C51" s="171"/>
      <c r="D51" s="171"/>
      <c r="E51" s="276"/>
      <c r="F51" s="276"/>
      <c r="G51" s="265"/>
      <c r="H51" s="232"/>
      <c r="I51" s="224"/>
      <c r="J51" s="171"/>
      <c r="K51" s="225"/>
      <c r="L51" s="225"/>
      <c r="M51" s="225"/>
      <c r="N51" s="222"/>
      <c r="O51" s="225"/>
      <c r="P51" s="223"/>
      <c r="Q51" s="290"/>
      <c r="R51" s="326"/>
      <c r="S51" s="326"/>
      <c r="T51" s="326"/>
      <c r="U51" s="326"/>
      <c r="V51" s="326"/>
      <c r="W51" s="326"/>
      <c r="X51" s="326"/>
      <c r="Y51" s="14">
        <f t="shared" si="21"/>
        <v>0</v>
      </c>
      <c r="AO51" s="236"/>
      <c r="AP51" s="236"/>
      <c r="AQ51" s="236"/>
      <c r="AR51" s="552"/>
      <c r="AS51" s="553"/>
      <c r="AT51" s="553"/>
      <c r="AU51" s="553"/>
      <c r="AV51" s="553"/>
      <c r="AW51" s="553"/>
      <c r="AX51" s="553"/>
      <c r="AY51" s="236"/>
      <c r="AZ51" s="415"/>
      <c r="BA51" s="554"/>
      <c r="BB51" s="236"/>
      <c r="BC51" s="236"/>
    </row>
    <row r="52" spans="2:55" x14ac:dyDescent="0.3">
      <c r="B52" s="232"/>
      <c r="C52" s="236" t="s">
        <v>325</v>
      </c>
      <c r="D52" s="236" t="s">
        <v>18</v>
      </c>
      <c r="E52" s="276" t="s">
        <v>42</v>
      </c>
      <c r="F52" s="171" t="str">
        <f t="shared" ref="F52:F58" si="29">D52&amp;E52</f>
        <v>SubtransmissionAugmentation</v>
      </c>
      <c r="G52" s="441">
        <v>0</v>
      </c>
      <c r="H52" s="299"/>
      <c r="I52" s="264" t="s">
        <v>292</v>
      </c>
      <c r="J52" s="171"/>
      <c r="K52" s="225">
        <f>G52*H52</f>
        <v>0</v>
      </c>
      <c r="L52" s="225">
        <f>SUMPRODUCT(R$5:X$5,R52:X52)/Thousands</f>
        <v>0</v>
      </c>
      <c r="M52" s="307"/>
      <c r="N52" s="568">
        <v>0</v>
      </c>
      <c r="O52" s="573">
        <v>6.3802946593001844</v>
      </c>
      <c r="P52" s="569">
        <f>SUM(K52:O52)</f>
        <v>6.3802946593001844</v>
      </c>
      <c r="Q52" s="290"/>
      <c r="R52" s="327">
        <v>0</v>
      </c>
      <c r="S52" s="327">
        <v>0</v>
      </c>
      <c r="T52" s="327">
        <v>0</v>
      </c>
      <c r="U52" s="327">
        <v>0</v>
      </c>
      <c r="V52" s="327">
        <v>0</v>
      </c>
      <c r="W52" s="327">
        <v>0</v>
      </c>
      <c r="X52" s="327">
        <v>0</v>
      </c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</row>
    <row r="53" spans="2:55" x14ac:dyDescent="0.3">
      <c r="B53" s="232"/>
      <c r="C53" s="236" t="s">
        <v>316</v>
      </c>
      <c r="D53" s="171" t="str">
        <f>Unit_Rates!G39</f>
        <v>Subtransmission</v>
      </c>
      <c r="E53" s="171" t="str">
        <f>Unit_Rates!H39</f>
        <v>Augmentation</v>
      </c>
      <c r="F53" s="171" t="str">
        <f t="shared" si="29"/>
        <v>SubtransmissionAugmentation</v>
      </c>
      <c r="G53" s="268">
        <f>Unit_Rates!$I$39</f>
        <v>123.95348837209301</v>
      </c>
      <c r="H53" s="299"/>
      <c r="I53" s="264" t="s">
        <v>292</v>
      </c>
      <c r="J53" s="171"/>
      <c r="K53" s="225">
        <f>G53*H53</f>
        <v>0</v>
      </c>
      <c r="L53" s="225">
        <f>SUMPRODUCT(R$5:X$5,R53:X53)/Thousands</f>
        <v>0</v>
      </c>
      <c r="M53" s="307"/>
      <c r="N53" s="568">
        <f>$H53*INDEX(Unit_Rates!$C$7:$K$54,MATCH("Oil separator",Unit_Rates!$C$7:$C$54,0),8)</f>
        <v>0</v>
      </c>
      <c r="O53" s="568">
        <f>$H53*INDEX(Unit_Rates!$C$7:$K$54,MATCH("Oil separator",Unit_Rates!$C$7:$C$54,0),9)</f>
        <v>0</v>
      </c>
      <c r="P53" s="569">
        <f>SUM(K53:O53)</f>
        <v>0</v>
      </c>
      <c r="Q53" s="336">
        <f>P53-H53*VLOOKUP("Oil separator",Unit_Rates!$C$7:$E$39,3,FALSE)</f>
        <v>0</v>
      </c>
      <c r="R53" s="327">
        <v>0</v>
      </c>
      <c r="S53" s="327">
        <v>0</v>
      </c>
      <c r="T53" s="327">
        <v>0</v>
      </c>
      <c r="U53" s="327">
        <v>0</v>
      </c>
      <c r="V53" s="327">
        <v>0</v>
      </c>
      <c r="W53" s="327">
        <v>0</v>
      </c>
      <c r="X53" s="327">
        <v>0</v>
      </c>
      <c r="Y53" s="14">
        <f t="shared" ref="Y53:Y58" si="30">SUM(R53:X53)</f>
        <v>0</v>
      </c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</row>
    <row r="54" spans="2:55" x14ac:dyDescent="0.3">
      <c r="B54" s="232"/>
      <c r="C54" s="296" t="s">
        <v>317</v>
      </c>
      <c r="D54" s="171" t="s">
        <v>18</v>
      </c>
      <c r="E54" s="276" t="s">
        <v>42</v>
      </c>
      <c r="F54" s="171" t="str">
        <f t="shared" si="29"/>
        <v>SubtransmissionAugmentation</v>
      </c>
      <c r="G54" s="441">
        <v>0</v>
      </c>
      <c r="H54" s="299"/>
      <c r="I54" s="264" t="s">
        <v>292</v>
      </c>
      <c r="J54" s="171"/>
      <c r="K54" s="225">
        <f>G54*H54</f>
        <v>0</v>
      </c>
      <c r="L54" s="225">
        <f>SUMPRODUCT(R$5:X$5,R54:X54)/Thousands</f>
        <v>0</v>
      </c>
      <c r="M54" s="307"/>
      <c r="N54" s="568">
        <v>18.257458563535913</v>
      </c>
      <c r="O54" s="568">
        <v>0</v>
      </c>
      <c r="P54" s="569">
        <f>SUM(K54:O54)</f>
        <v>18.257458563535913</v>
      </c>
      <c r="Q54" s="290"/>
      <c r="R54" s="327">
        <v>0</v>
      </c>
      <c r="S54" s="327">
        <v>0</v>
      </c>
      <c r="T54" s="327">
        <v>0</v>
      </c>
      <c r="U54" s="327">
        <v>0</v>
      </c>
      <c r="V54" s="327">
        <v>0</v>
      </c>
      <c r="W54" s="327">
        <v>0</v>
      </c>
      <c r="X54" s="327">
        <v>0</v>
      </c>
      <c r="Y54" s="14">
        <f t="shared" si="30"/>
        <v>0</v>
      </c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</row>
    <row r="55" spans="2:55" x14ac:dyDescent="0.3">
      <c r="B55" s="313" t="s">
        <v>284</v>
      </c>
      <c r="C55" s="296"/>
      <c r="D55" s="171" t="s">
        <v>18</v>
      </c>
      <c r="E55" s="276" t="s">
        <v>42</v>
      </c>
      <c r="F55" s="171" t="str">
        <f t="shared" si="29"/>
        <v>SubtransmissionAugmentation</v>
      </c>
      <c r="G55" s="268">
        <v>0</v>
      </c>
      <c r="H55" s="299">
        <v>1</v>
      </c>
      <c r="I55" s="264" t="s">
        <v>292</v>
      </c>
      <c r="J55" s="171"/>
      <c r="K55" s="228">
        <v>0</v>
      </c>
      <c r="L55" s="228">
        <f>SUMPRODUCT(R$5:X$5,R55:X55)/Thousands</f>
        <v>0</v>
      </c>
      <c r="M55" s="312"/>
      <c r="N55" s="568">
        <v>378.67834069981592</v>
      </c>
      <c r="O55" s="566">
        <v>343.31580294659301</v>
      </c>
      <c r="P55" s="569">
        <f>SUM(K55:O55)</f>
        <v>721.99414364640893</v>
      </c>
      <c r="Q55" s="290"/>
      <c r="R55" s="327">
        <v>0</v>
      </c>
      <c r="S55" s="327">
        <v>0</v>
      </c>
      <c r="T55" s="327">
        <v>0</v>
      </c>
      <c r="U55" s="327">
        <v>0</v>
      </c>
      <c r="V55" s="327">
        <v>0</v>
      </c>
      <c r="W55" s="327">
        <v>0</v>
      </c>
      <c r="X55" s="327">
        <v>0</v>
      </c>
      <c r="Y55" s="14">
        <f t="shared" si="30"/>
        <v>0</v>
      </c>
      <c r="AO55" s="236"/>
      <c r="AP55" s="318"/>
      <c r="AQ55" s="546"/>
      <c r="AR55" s="318"/>
      <c r="AS55" s="318"/>
      <c r="AT55" s="318"/>
      <c r="AU55" s="318"/>
      <c r="AV55" s="318"/>
      <c r="AW55" s="318"/>
      <c r="AX55" s="547"/>
      <c r="AY55" s="236"/>
      <c r="AZ55" s="236"/>
      <c r="BA55" s="236"/>
      <c r="BB55" s="236"/>
      <c r="BC55" s="236"/>
    </row>
    <row r="56" spans="2:55" x14ac:dyDescent="0.3">
      <c r="B56" s="251" t="s">
        <v>268</v>
      </c>
      <c r="C56" s="171"/>
      <c r="D56" s="171" t="s">
        <v>195</v>
      </c>
      <c r="E56" s="276" t="s">
        <v>66</v>
      </c>
      <c r="F56" s="171" t="str">
        <f t="shared" si="29"/>
        <v>LandNon-Network</v>
      </c>
      <c r="G56" s="268">
        <v>0</v>
      </c>
      <c r="H56" s="299"/>
      <c r="I56" s="264" t="s">
        <v>292</v>
      </c>
      <c r="J56" s="171"/>
      <c r="K56" s="228">
        <v>0</v>
      </c>
      <c r="L56" s="228">
        <f>SUMPRODUCT(R$5:X$5,R56:X56)/Thousands</f>
        <v>0</v>
      </c>
      <c r="M56" s="312"/>
      <c r="N56" s="568"/>
      <c r="O56" s="566"/>
      <c r="P56" s="569">
        <f>SUM(K56:O56)</f>
        <v>0</v>
      </c>
      <c r="Q56" s="19"/>
      <c r="R56" s="327">
        <v>0</v>
      </c>
      <c r="S56" s="327">
        <v>0</v>
      </c>
      <c r="T56" s="327">
        <v>0</v>
      </c>
      <c r="U56" s="327">
        <v>0</v>
      </c>
      <c r="V56" s="327">
        <v>0</v>
      </c>
      <c r="W56" s="327">
        <v>0</v>
      </c>
      <c r="X56" s="327">
        <v>0</v>
      </c>
      <c r="Y56" s="14">
        <f t="shared" si="30"/>
        <v>0</v>
      </c>
      <c r="AO56" s="236"/>
      <c r="AP56" s="318"/>
      <c r="AQ56" s="236"/>
      <c r="AR56" s="274"/>
      <c r="AS56" s="555"/>
      <c r="AT56" s="556"/>
      <c r="AU56" s="274"/>
      <c r="AV56" s="274"/>
      <c r="AW56" s="415"/>
      <c r="AX56" s="547"/>
      <c r="AY56" s="236"/>
      <c r="AZ56" s="236"/>
      <c r="BA56" s="236"/>
      <c r="BB56" s="236"/>
      <c r="BC56" s="236"/>
    </row>
    <row r="57" spans="2:55" x14ac:dyDescent="0.3">
      <c r="B57" s="251"/>
      <c r="C57" s="171"/>
      <c r="D57" s="171"/>
      <c r="E57" s="276"/>
      <c r="F57" s="171"/>
      <c r="G57" s="268"/>
      <c r="H57" s="277"/>
      <c r="I57" s="266"/>
      <c r="J57" s="236"/>
      <c r="K57" s="268"/>
      <c r="L57" s="268"/>
      <c r="M57" s="268"/>
      <c r="N57" s="281"/>
      <c r="O57" s="268"/>
      <c r="P57" s="305"/>
      <c r="Q57" s="347"/>
      <c r="R57" s="331"/>
      <c r="S57" s="331"/>
      <c r="T57" s="331"/>
      <c r="U57" s="331"/>
      <c r="V57" s="331"/>
      <c r="W57" s="331"/>
      <c r="X57" s="331"/>
      <c r="Y57" s="14"/>
      <c r="AO57" s="236"/>
      <c r="AP57" s="318"/>
      <c r="AQ57" s="236"/>
      <c r="AR57" s="274"/>
      <c r="AS57" s="555"/>
      <c r="AT57" s="274"/>
      <c r="AU57" s="274"/>
      <c r="AV57" s="274"/>
      <c r="AW57" s="415"/>
      <c r="AX57" s="236"/>
      <c r="AY57" s="236"/>
      <c r="AZ57" s="236"/>
      <c r="BA57" s="236"/>
      <c r="BB57" s="236"/>
      <c r="BC57" s="236"/>
    </row>
    <row r="58" spans="2:55" x14ac:dyDescent="0.3">
      <c r="B58" s="442" t="s">
        <v>427</v>
      </c>
      <c r="C58" s="420"/>
      <c r="D58" s="236" t="s">
        <v>18</v>
      </c>
      <c r="E58" s="422" t="s">
        <v>44</v>
      </c>
      <c r="F58" s="171" t="str">
        <f t="shared" si="29"/>
        <v>SubtransmissionReplacement</v>
      </c>
      <c r="G58" s="423">
        <v>0</v>
      </c>
      <c r="H58" s="424"/>
      <c r="I58" s="425" t="s">
        <v>292</v>
      </c>
      <c r="J58" s="421"/>
      <c r="K58" s="426">
        <v>0</v>
      </c>
      <c r="L58" s="426">
        <f>SUMPRODUCT(R$5:X$5,R58:X58)/Thousands</f>
        <v>0</v>
      </c>
      <c r="M58" s="427"/>
      <c r="N58" s="574"/>
      <c r="O58" s="575"/>
      <c r="P58" s="575">
        <f>SUM(K58:O58)</f>
        <v>0</v>
      </c>
      <c r="Q58" s="19"/>
      <c r="R58" s="327">
        <v>0</v>
      </c>
      <c r="S58" s="327">
        <v>0</v>
      </c>
      <c r="T58" s="327">
        <v>0</v>
      </c>
      <c r="U58" s="327">
        <v>0</v>
      </c>
      <c r="V58" s="327">
        <v>0</v>
      </c>
      <c r="W58" s="327">
        <v>0</v>
      </c>
      <c r="X58" s="327">
        <v>0</v>
      </c>
      <c r="Y58" s="14">
        <f t="shared" si="30"/>
        <v>0</v>
      </c>
      <c r="AO58" s="236"/>
      <c r="AP58" s="318"/>
      <c r="AQ58" s="236"/>
      <c r="AR58" s="274"/>
      <c r="AS58" s="274"/>
      <c r="AT58" s="274"/>
      <c r="AU58" s="274"/>
      <c r="AV58" s="274"/>
      <c r="AW58" s="415"/>
      <c r="AX58" s="236"/>
      <c r="AY58" s="236"/>
      <c r="AZ58" s="236"/>
      <c r="BA58" s="236"/>
      <c r="BB58" s="236"/>
      <c r="BC58" s="236"/>
    </row>
    <row r="59" spans="2:55" x14ac:dyDescent="0.3">
      <c r="B59" s="232"/>
      <c r="C59" s="171"/>
      <c r="D59" s="171"/>
      <c r="E59" s="171"/>
      <c r="F59" s="171"/>
      <c r="G59" s="224"/>
      <c r="H59" s="232"/>
      <c r="I59" s="224"/>
      <c r="J59" s="171"/>
      <c r="K59" s="229"/>
      <c r="L59" s="229"/>
      <c r="M59" s="229"/>
      <c r="N59" s="229"/>
      <c r="O59" s="229"/>
      <c r="P59" s="229"/>
      <c r="AO59" s="236"/>
      <c r="AP59" s="236"/>
      <c r="AQ59" s="236"/>
      <c r="AR59" s="415"/>
      <c r="AS59" s="415"/>
      <c r="AT59" s="415"/>
      <c r="AU59" s="415"/>
      <c r="AV59" s="415"/>
      <c r="AW59" s="415"/>
      <c r="AX59" s="236"/>
      <c r="AY59" s="236"/>
      <c r="AZ59" s="236"/>
      <c r="BA59" s="236"/>
      <c r="BB59" s="236"/>
      <c r="BC59" s="236"/>
    </row>
    <row r="60" spans="2:55" x14ac:dyDescent="0.3">
      <c r="B60" s="251" t="s">
        <v>282</v>
      </c>
      <c r="C60" s="171"/>
      <c r="D60" s="171"/>
      <c r="E60" s="171"/>
      <c r="F60" s="171"/>
      <c r="G60" s="224"/>
      <c r="H60" s="232"/>
      <c r="I60" s="224"/>
      <c r="J60" s="171"/>
      <c r="K60" s="319">
        <v>4043.2906647784662</v>
      </c>
      <c r="L60" s="319">
        <v>823.71050000000002</v>
      </c>
      <c r="M60" s="319">
        <v>644.55813953488359</v>
      </c>
      <c r="N60" s="319">
        <v>2100.5809329735748</v>
      </c>
      <c r="O60" s="319">
        <v>368.65552463403145</v>
      </c>
      <c r="P60" s="319">
        <v>7980.7957619209546</v>
      </c>
      <c r="Q60" s="178"/>
      <c r="AO60" s="236"/>
      <c r="AP60" s="236"/>
      <c r="AQ60" s="552"/>
      <c r="AR60" s="553"/>
      <c r="AS60" s="553"/>
      <c r="AT60" s="553"/>
      <c r="AU60" s="553"/>
      <c r="AV60" s="553"/>
      <c r="AW60" s="553"/>
      <c r="AX60" s="236"/>
      <c r="AY60" s="236"/>
      <c r="AZ60" s="236"/>
      <c r="BA60" s="236"/>
      <c r="BB60" s="236"/>
      <c r="BC60" s="236"/>
    </row>
    <row r="61" spans="2:55" x14ac:dyDescent="0.3">
      <c r="B61" s="259" t="s">
        <v>55</v>
      </c>
      <c r="C61" s="260"/>
      <c r="D61" s="260"/>
      <c r="E61" s="260"/>
      <c r="F61" s="260"/>
      <c r="G61" s="267"/>
      <c r="H61" s="259"/>
      <c r="I61" s="267"/>
      <c r="J61" s="260"/>
      <c r="K61" s="320">
        <f>K60-Direct_Capex_Totals!Q6</f>
        <v>0</v>
      </c>
      <c r="L61" s="321">
        <f>L60-Direct_Capex_Totals!R6</f>
        <v>0</v>
      </c>
      <c r="M61" s="321">
        <f>M60-Direct_Capex_Totals!S6</f>
        <v>0</v>
      </c>
      <c r="N61" s="321">
        <f>N60-Direct_Capex_Totals!T6</f>
        <v>0</v>
      </c>
      <c r="O61" s="321">
        <f>O60-Direct_Capex_Totals!U6</f>
        <v>0</v>
      </c>
      <c r="P61" s="322">
        <f>SUM(K61:O61)</f>
        <v>0</v>
      </c>
    </row>
    <row r="62" spans="2:55" ht="28.8" x14ac:dyDescent="0.3">
      <c r="B62" s="237" t="s">
        <v>262</v>
      </c>
      <c r="C62" s="238"/>
      <c r="D62" s="292"/>
      <c r="E62" s="292"/>
      <c r="F62" s="292"/>
      <c r="G62" s="273" t="s">
        <v>302</v>
      </c>
      <c r="H62" s="272" t="s">
        <v>265</v>
      </c>
      <c r="I62" s="18" t="s">
        <v>293</v>
      </c>
      <c r="J62" s="260"/>
      <c r="K62" s="18" t="s">
        <v>135</v>
      </c>
      <c r="L62" s="18" t="s">
        <v>290</v>
      </c>
      <c r="M62" s="273" t="s">
        <v>136</v>
      </c>
      <c r="N62" s="273" t="s">
        <v>137</v>
      </c>
      <c r="O62" s="18" t="s">
        <v>60</v>
      </c>
      <c r="P62" s="18" t="s">
        <v>291</v>
      </c>
    </row>
    <row r="63" spans="2:55" x14ac:dyDescent="0.3">
      <c r="B63" s="251"/>
      <c r="C63" s="171"/>
      <c r="D63" s="171"/>
      <c r="E63" s="171"/>
      <c r="F63" s="171"/>
      <c r="G63" s="224"/>
      <c r="H63" s="232"/>
      <c r="I63" s="224"/>
      <c r="J63" s="171"/>
      <c r="K63" s="235"/>
      <c r="L63" s="235"/>
      <c r="M63" s="235"/>
      <c r="N63" s="235"/>
      <c r="O63" s="235"/>
      <c r="P63" s="224"/>
    </row>
    <row r="64" spans="2:55" x14ac:dyDescent="0.3">
      <c r="B64" s="251" t="s">
        <v>17</v>
      </c>
      <c r="C64" s="171"/>
      <c r="D64" s="171"/>
      <c r="E64" s="171"/>
      <c r="F64" s="171"/>
      <c r="G64" s="224"/>
      <c r="H64" s="232"/>
      <c r="I64" s="224"/>
      <c r="J64" s="171"/>
      <c r="K64" s="235"/>
      <c r="L64" s="235"/>
      <c r="M64" s="235"/>
      <c r="N64" s="235"/>
      <c r="O64" s="235"/>
      <c r="P64" s="224"/>
      <c r="Y64" s="14"/>
      <c r="AI64" t="s">
        <v>486</v>
      </c>
    </row>
    <row r="65" spans="2:35" x14ac:dyDescent="0.3">
      <c r="B65" s="251"/>
      <c r="C65" s="282" t="s">
        <v>328</v>
      </c>
      <c r="D65" s="282" t="str">
        <f>IF($B$3="WYK2",Unit_Rates!G60,Unit_Rates!G61)</f>
        <v>Distribution system assets</v>
      </c>
      <c r="E65" s="282" t="str">
        <f>IF($B$3="WYK2",Unit_Rates!H60,Unit_Rates!H61)</f>
        <v>Augmentation</v>
      </c>
      <c r="F65" s="171" t="str">
        <f t="shared" ref="F65:F72" si="31">D65&amp;E65</f>
        <v>Distribution system assetsAugmentation</v>
      </c>
      <c r="G65" s="283">
        <v>0</v>
      </c>
      <c r="H65" s="455">
        <f>INDEX(Feeder_Vols!$E$7:$O$16,MATCH($B$3,Feeder_Vols!$B$7:$B$15,0),MATCH(1,Feeder_Vols!$E$6:$O$6,0))</f>
        <v>11</v>
      </c>
      <c r="I65" s="224" t="s">
        <v>297</v>
      </c>
      <c r="J65" s="282"/>
      <c r="K65" s="283"/>
      <c r="L65" s="283">
        <f t="shared" ref="L65:L72" si="32">SUMPRODUCT(R$5:X$5,R65:X65)/Thousands</f>
        <v>90.305645269053656</v>
      </c>
      <c r="M65" s="283">
        <f>$H65*IF($B$3="WYK2",Unit_Rates!K60,Unit_Rates!K61)</f>
        <v>199.45107906976745</v>
      </c>
      <c r="N65" s="283">
        <f>$H65*IF($B$3="WYK2",Unit_Rates!L60,Unit_Rates!L61)</f>
        <v>0</v>
      </c>
      <c r="O65" s="283">
        <f>$H65*IF($B$3="WYK2",Unit_Rates!M60,Unit_Rates!M61)</f>
        <v>0</v>
      </c>
      <c r="P65" s="228">
        <f t="shared" ref="P65:P72" si="33">SUM(K65:O65)</f>
        <v>289.75672433882107</v>
      </c>
      <c r="Q65" s="333"/>
      <c r="R65" s="327">
        <f>$AI65*Z65*$H65</f>
        <v>162.82894736842104</v>
      </c>
      <c r="S65" s="327">
        <f t="shared" ref="S65:S72" si="34">$AI65*AA65*$H65</f>
        <v>435.73943661971828</v>
      </c>
      <c r="T65" s="327">
        <f t="shared" ref="T65:T72" si="35">$AI65*AB65*$H65</f>
        <v>0</v>
      </c>
      <c r="U65" s="327">
        <f t="shared" ref="U65:U72" si="36">$AI65*AC65*$H65</f>
        <v>0</v>
      </c>
      <c r="V65" s="327">
        <f t="shared" ref="V65:V72" si="37">$AI65*AD65*$H65</f>
        <v>0</v>
      </c>
      <c r="W65" s="327">
        <f t="shared" ref="W65:W72" si="38">$AI65*AE65*$H65</f>
        <v>0</v>
      </c>
      <c r="X65" s="327">
        <f t="shared" ref="X65:X72" si="39">$AI65*AF65*$H65</f>
        <v>0</v>
      </c>
      <c r="Y65" s="14">
        <f t="shared" ref="Y65:Y72" si="40">SUM(R65:X65)</f>
        <v>598.56838398813932</v>
      </c>
      <c r="Z65" s="15">
        <v>0.27203065134099613</v>
      </c>
      <c r="AA65" s="15">
        <v>0.72796934865900376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6">
        <f>SUM(Z65:AF65)</f>
        <v>0.99999999999999989</v>
      </c>
      <c r="AH65" t="b">
        <f>AG65=1</f>
        <v>1</v>
      </c>
      <c r="AI65" s="390">
        <v>54.415307635285394</v>
      </c>
    </row>
    <row r="66" spans="2:35" x14ac:dyDescent="0.3">
      <c r="B66" s="251"/>
      <c r="C66" s="171" t="s">
        <v>231</v>
      </c>
      <c r="D66" s="282" t="str">
        <f>Unit_Rates!G62</f>
        <v>Distribution system assets</v>
      </c>
      <c r="E66" s="282" t="str">
        <f>Unit_Rates!H62</f>
        <v>Augmentation</v>
      </c>
      <c r="F66" s="171" t="str">
        <f t="shared" si="31"/>
        <v>Distribution system assetsAugmentation</v>
      </c>
      <c r="G66" s="565">
        <f>Unit_Rates!I62</f>
        <v>0</v>
      </c>
      <c r="H66" s="455">
        <f>INDEX(Feeder_Vols!$E$7:$O$16,MATCH($B$3,Feeder_Vols!$B$7:$B$15,0),MATCH(2,Feeder_Vols!$E$6:$O$6,0))</f>
        <v>24</v>
      </c>
      <c r="I66" s="224" t="s">
        <v>298</v>
      </c>
      <c r="J66" s="282"/>
      <c r="K66" s="565"/>
      <c r="L66" s="565"/>
      <c r="M66" s="565"/>
      <c r="N66" s="565"/>
      <c r="O66" s="565"/>
      <c r="P66" s="566"/>
      <c r="Q66" s="28">
        <f>P66-H66*Unit_Rates!$E$62</f>
        <v>0</v>
      </c>
      <c r="R66" s="563"/>
      <c r="S66" s="563"/>
      <c r="T66" s="563"/>
      <c r="U66" s="563"/>
      <c r="V66" s="563"/>
      <c r="W66" s="563"/>
      <c r="X66" s="563"/>
      <c r="Y66" s="564">
        <f t="shared" si="40"/>
        <v>0</v>
      </c>
      <c r="Z66" s="15">
        <v>0</v>
      </c>
      <c r="AA66" s="15">
        <v>0.14071351127025331</v>
      </c>
      <c r="AB66" s="15">
        <v>0.24322448098123187</v>
      </c>
      <c r="AC66" s="15">
        <v>0</v>
      </c>
      <c r="AD66" s="15">
        <v>0.1760177164995757</v>
      </c>
      <c r="AE66" s="15">
        <v>0.44004429124893918</v>
      </c>
      <c r="AF66" s="15">
        <v>0</v>
      </c>
      <c r="AG66" s="16">
        <f t="shared" ref="AG66:AG70" si="41">SUM(Z66:AF66)</f>
        <v>1</v>
      </c>
      <c r="AH66" t="b">
        <f t="shared" ref="AH66:AH70" si="42">AG66=1</f>
        <v>1</v>
      </c>
      <c r="AI66" s="562"/>
    </row>
    <row r="67" spans="2:35" x14ac:dyDescent="0.3">
      <c r="B67" s="251"/>
      <c r="C67" s="171" t="s">
        <v>235</v>
      </c>
      <c r="D67" s="282" t="str">
        <f>Unit_Rates!G63</f>
        <v>Distribution system assets</v>
      </c>
      <c r="E67" s="282" t="str">
        <f>Unit_Rates!H63</f>
        <v>Augmentation</v>
      </c>
      <c r="F67" s="171" t="str">
        <f t="shared" si="31"/>
        <v>Distribution system assetsAugmentation</v>
      </c>
      <c r="G67" s="565">
        <f>Unit_Rates!I63</f>
        <v>0</v>
      </c>
      <c r="H67" s="455">
        <f>INDEX(Feeder_Vols!$E$7:$O$16,MATCH($B$3,Feeder_Vols!$B$7:$B$15,0),MATCH(3,Feeder_Vols!$E$6:$O$6,0))</f>
        <v>2</v>
      </c>
      <c r="I67" s="224" t="s">
        <v>294</v>
      </c>
      <c r="J67" s="282"/>
      <c r="K67" s="565"/>
      <c r="L67" s="565"/>
      <c r="M67" s="565"/>
      <c r="N67" s="565"/>
      <c r="O67" s="565"/>
      <c r="P67" s="566"/>
      <c r="Q67" s="28">
        <f>P67-H67*Unit_Rates!$E$63</f>
        <v>0</v>
      </c>
      <c r="R67" s="563"/>
      <c r="S67" s="563"/>
      <c r="T67" s="563"/>
      <c r="U67" s="563"/>
      <c r="V67" s="563"/>
      <c r="W67" s="563"/>
      <c r="X67" s="563"/>
      <c r="Y67" s="564">
        <f t="shared" si="40"/>
        <v>0</v>
      </c>
      <c r="Z67" s="15">
        <v>0</v>
      </c>
      <c r="AA67" s="15">
        <v>0.11317869701862385</v>
      </c>
      <c r="AB67" s="15">
        <v>0.25101832039696309</v>
      </c>
      <c r="AC67" s="15">
        <v>0</v>
      </c>
      <c r="AD67" s="15">
        <v>0.18165799502411806</v>
      </c>
      <c r="AE67" s="15">
        <v>0.45414498756029509</v>
      </c>
      <c r="AF67" s="15">
        <v>0</v>
      </c>
      <c r="AG67" s="16">
        <f t="shared" si="41"/>
        <v>1</v>
      </c>
      <c r="AH67" t="b">
        <f t="shared" si="42"/>
        <v>1</v>
      </c>
      <c r="AI67" s="562"/>
    </row>
    <row r="68" spans="2:35" x14ac:dyDescent="0.3">
      <c r="B68" s="251"/>
      <c r="C68" s="171" t="s">
        <v>237</v>
      </c>
      <c r="D68" s="282" t="str">
        <f>Unit_Rates!G64</f>
        <v>Distribution system assets</v>
      </c>
      <c r="E68" s="282" t="str">
        <f>Unit_Rates!H64</f>
        <v>Augmentation</v>
      </c>
      <c r="F68" s="171" t="str">
        <f t="shared" si="31"/>
        <v>Distribution system assetsAugmentation</v>
      </c>
      <c r="G68" s="565">
        <f>Unit_Rates!I64</f>
        <v>0</v>
      </c>
      <c r="H68" s="455">
        <f>INDEX(Feeder_Vols!$E$7:$O$16,MATCH($B$3,Feeder_Vols!$B$7:$B$15,0),MATCH(4,Feeder_Vols!$E$6:$O$6,0))</f>
        <v>15</v>
      </c>
      <c r="I68" s="265" t="s">
        <v>299</v>
      </c>
      <c r="J68" s="282"/>
      <c r="K68" s="565"/>
      <c r="L68" s="565"/>
      <c r="M68" s="565"/>
      <c r="N68" s="565"/>
      <c r="O68" s="565"/>
      <c r="P68" s="566"/>
      <c r="Q68" s="28">
        <f>P68-H68*Unit_Rates!$E$64</f>
        <v>0</v>
      </c>
      <c r="R68" s="563"/>
      <c r="S68" s="563"/>
      <c r="T68" s="563"/>
      <c r="U68" s="563"/>
      <c r="V68" s="563"/>
      <c r="W68" s="563"/>
      <c r="X68" s="563"/>
      <c r="Y68" s="564">
        <f t="shared" si="40"/>
        <v>0</v>
      </c>
      <c r="Z68" s="15">
        <v>0</v>
      </c>
      <c r="AA68" s="15">
        <v>0.17737095137749856</v>
      </c>
      <c r="AB68" s="15">
        <v>0.23284844579258887</v>
      </c>
      <c r="AC68" s="15">
        <v>0</v>
      </c>
      <c r="AD68" s="15">
        <v>0.16850874366568935</v>
      </c>
      <c r="AE68" s="15">
        <v>0.42127185916422333</v>
      </c>
      <c r="AF68" s="15">
        <v>0</v>
      </c>
      <c r="AG68" s="16">
        <f t="shared" si="41"/>
        <v>1</v>
      </c>
      <c r="AH68" t="b">
        <f t="shared" si="42"/>
        <v>1</v>
      </c>
      <c r="AI68" s="562"/>
    </row>
    <row r="69" spans="2:35" x14ac:dyDescent="0.3">
      <c r="B69" s="251"/>
      <c r="C69" s="171" t="s">
        <v>233</v>
      </c>
      <c r="D69" s="282" t="str">
        <f>Unit_Rates!G65</f>
        <v>Distribution system assets</v>
      </c>
      <c r="E69" s="282" t="str">
        <f>Unit_Rates!H65</f>
        <v>Augmentation</v>
      </c>
      <c r="F69" s="171" t="str">
        <f t="shared" si="31"/>
        <v>Distribution system assetsAugmentation</v>
      </c>
      <c r="G69" s="283">
        <f>Unit_Rates!I65</f>
        <v>17.106573023255812</v>
      </c>
      <c r="H69" s="455">
        <f>INDEX(Feeder_Vols!$E$7:$O$16,MATCH($B$3,Feeder_Vols!$B$7:$B$15,0),MATCH(5,Feeder_Vols!$E$6:$O$6,0))</f>
        <v>18</v>
      </c>
      <c r="I69" s="265" t="s">
        <v>300</v>
      </c>
      <c r="J69" s="282"/>
      <c r="K69" s="283">
        <f t="shared" ref="K69" si="43">G69*H69</f>
        <v>307.91831441860461</v>
      </c>
      <c r="L69" s="283">
        <f t="shared" si="32"/>
        <v>58.707361216417439</v>
      </c>
      <c r="M69" s="283">
        <f>$H69*Unit_Rates!K65</f>
        <v>0</v>
      </c>
      <c r="N69" s="283">
        <f>$H69*Unit_Rates!L65</f>
        <v>543.66897633847191</v>
      </c>
      <c r="O69" s="283">
        <f>$H69*Unit_Rates!M65</f>
        <v>68.941813560147722</v>
      </c>
      <c r="P69" s="228">
        <f t="shared" si="33"/>
        <v>979.23646553364165</v>
      </c>
      <c r="Q69" s="28">
        <f>P69-H69*Unit_Rates!$E$65</f>
        <v>1.4148812983916059</v>
      </c>
      <c r="R69" s="327">
        <f t="shared" ref="R69:R72" si="44">$AI69*Z69*$H69</f>
        <v>0</v>
      </c>
      <c r="S69" s="327">
        <f t="shared" si="34"/>
        <v>25.199999999999996</v>
      </c>
      <c r="T69" s="327">
        <f t="shared" si="35"/>
        <v>95.883977335626341</v>
      </c>
      <c r="U69" s="327">
        <f t="shared" si="36"/>
        <v>0</v>
      </c>
      <c r="V69" s="327">
        <f t="shared" si="37"/>
        <v>69.389720440255914</v>
      </c>
      <c r="W69" s="327">
        <f t="shared" si="38"/>
        <v>173.47430110063974</v>
      </c>
      <c r="X69" s="327">
        <f t="shared" si="39"/>
        <v>0</v>
      </c>
      <c r="Y69" s="14">
        <f t="shared" si="40"/>
        <v>363.94799887652198</v>
      </c>
      <c r="Z69" s="15">
        <v>0</v>
      </c>
      <c r="AA69" s="15">
        <v>6.9240660967474346E-2</v>
      </c>
      <c r="AB69" s="15">
        <v>0.26345515741702774</v>
      </c>
      <c r="AC69" s="15">
        <v>0</v>
      </c>
      <c r="AD69" s="15">
        <v>0.19065833760442799</v>
      </c>
      <c r="AE69" s="15">
        <v>0.47664584401106991</v>
      </c>
      <c r="AF69" s="15">
        <v>0</v>
      </c>
      <c r="AG69" s="16">
        <f t="shared" si="41"/>
        <v>1</v>
      </c>
      <c r="AH69" t="b">
        <f t="shared" si="42"/>
        <v>1</v>
      </c>
      <c r="AI69" s="5">
        <v>20.21933327091789</v>
      </c>
    </row>
    <row r="70" spans="2:35" x14ac:dyDescent="0.3">
      <c r="B70" s="251"/>
      <c r="C70" s="282" t="s">
        <v>344</v>
      </c>
      <c r="D70" s="282" t="str">
        <f>Unit_Rates!G66</f>
        <v>Distribution system assets</v>
      </c>
      <c r="E70" s="282" t="str">
        <f>Unit_Rates!H66</f>
        <v>Augmentation</v>
      </c>
      <c r="F70" s="171" t="str">
        <f t="shared" si="31"/>
        <v>Distribution system assetsAugmentation</v>
      </c>
      <c r="G70" s="283">
        <f>Unit_Rates!I66</f>
        <v>0</v>
      </c>
      <c r="H70" s="455">
        <f>INDEX(Feeder_Vols!$E$7:$O$16,MATCH($B$3,Feeder_Vols!$B$7:$B$15,0),MATCH(1,Feeder_Vols!$E$6:$O$6,0))</f>
        <v>11</v>
      </c>
      <c r="I70" s="224" t="s">
        <v>297</v>
      </c>
      <c r="J70" s="282"/>
      <c r="K70" s="283"/>
      <c r="L70" s="283">
        <f t="shared" si="32"/>
        <v>66.508152173913118</v>
      </c>
      <c r="M70" s="283">
        <f>$H70*Unit_Rates!K66</f>
        <v>0</v>
      </c>
      <c r="N70" s="283">
        <f>$H70*Unit_Rates!L66</f>
        <v>85.603356926188042</v>
      </c>
      <c r="O70" s="283">
        <f>$H70*Unit_Rates!M66</f>
        <v>0</v>
      </c>
      <c r="P70" s="228">
        <f t="shared" si="33"/>
        <v>152.11150910010116</v>
      </c>
      <c r="Q70" s="28">
        <f>P70-H70*Unit_Rates!$E$66</f>
        <v>-0.18421385237604682</v>
      </c>
      <c r="R70" s="327">
        <f t="shared" si="44"/>
        <v>0</v>
      </c>
      <c r="S70" s="327">
        <f t="shared" si="34"/>
        <v>0</v>
      </c>
      <c r="T70" s="327">
        <f t="shared" si="35"/>
        <v>0</v>
      </c>
      <c r="U70" s="327">
        <f t="shared" si="36"/>
        <v>0</v>
      </c>
      <c r="V70" s="327">
        <f t="shared" si="37"/>
        <v>0</v>
      </c>
      <c r="W70" s="327">
        <f t="shared" si="38"/>
        <v>0</v>
      </c>
      <c r="X70" s="327">
        <f t="shared" si="39"/>
        <v>510.37949310037391</v>
      </c>
      <c r="Y70" s="14">
        <f t="shared" si="40"/>
        <v>510.37949310037391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1</v>
      </c>
      <c r="AG70" s="16">
        <f t="shared" si="41"/>
        <v>1</v>
      </c>
      <c r="AH70" t="b">
        <f t="shared" si="42"/>
        <v>1</v>
      </c>
      <c r="AI70" s="5">
        <v>46.398135736397627</v>
      </c>
    </row>
    <row r="71" spans="2:35" x14ac:dyDescent="0.3">
      <c r="B71" s="251"/>
      <c r="C71" s="348" t="s">
        <v>342</v>
      </c>
      <c r="D71" s="282" t="str">
        <f>Unit_Rates!G67</f>
        <v>Distribution system assets</v>
      </c>
      <c r="E71" s="282" t="str">
        <f>Unit_Rates!H67</f>
        <v>Replacement</v>
      </c>
      <c r="F71" s="171" t="str">
        <f t="shared" si="31"/>
        <v>Distribution system assetsReplacement</v>
      </c>
      <c r="G71" s="283">
        <f>Unit_Rates!I67</f>
        <v>0</v>
      </c>
      <c r="H71" s="455">
        <f>INDEX(Feeder_Vols!$E$7:$O$16,MATCH($B$3,Feeder_Vols!$B$7:$B$15,0),MATCH(1,Feeder_Vols!$E$6:$N$6,0))+INDEX(Feeder_Vols!$E$7:$N$16,MATCH($B$3,Feeder_Vols!$B$7:$B$15,0),MATCH(6,Feeder_Vols!$E$6:$O$6,0))</f>
        <v>74</v>
      </c>
      <c r="I71" s="224" t="s">
        <v>346</v>
      </c>
      <c r="J71" s="282"/>
      <c r="K71" s="283"/>
      <c r="L71" s="283">
        <f t="shared" si="32"/>
        <v>0</v>
      </c>
      <c r="M71" s="283">
        <f>$H71*Unit_Rates!K67</f>
        <v>0</v>
      </c>
      <c r="N71" s="283">
        <f>$H71*Unit_Rates!L67</f>
        <v>38.524744186046505</v>
      </c>
      <c r="O71" s="283">
        <f>$H71*Unit_Rates!M67</f>
        <v>0</v>
      </c>
      <c r="P71" s="228">
        <f t="shared" si="33"/>
        <v>38.524744186046505</v>
      </c>
      <c r="Q71" s="28">
        <f>P71-H71*Unit_Rates!$E$67</f>
        <v>0</v>
      </c>
      <c r="R71" s="330"/>
      <c r="S71" s="330"/>
      <c r="T71" s="330"/>
      <c r="U71" s="330"/>
      <c r="V71" s="330"/>
      <c r="W71" s="330"/>
      <c r="X71" s="330"/>
      <c r="Y71" s="14">
        <f t="shared" si="40"/>
        <v>0</v>
      </c>
      <c r="Z71" s="15"/>
      <c r="AA71" s="15"/>
      <c r="AB71" s="15"/>
      <c r="AC71" s="15"/>
      <c r="AD71" s="15"/>
      <c r="AE71" s="15"/>
      <c r="AF71" s="15"/>
      <c r="AI71" s="5">
        <v>0</v>
      </c>
    </row>
    <row r="72" spans="2:35" x14ac:dyDescent="0.3">
      <c r="B72" s="251"/>
      <c r="C72" s="348" t="s">
        <v>418</v>
      </c>
      <c r="D72" s="282" t="str">
        <f>Unit_Rates!G68</f>
        <v>Distribution system assets</v>
      </c>
      <c r="E72" s="282" t="str">
        <f>Unit_Rates!H68</f>
        <v>Replacement</v>
      </c>
      <c r="F72" s="171" t="str">
        <f t="shared" si="31"/>
        <v>Distribution system assetsReplacement</v>
      </c>
      <c r="G72" s="283">
        <f>Unit_Rates!I68</f>
        <v>0</v>
      </c>
      <c r="H72" s="455">
        <f>INDEX(Feeder_Vols!$E$7:$O$16,MATCH($B$3,Feeder_Vols!$B$7:$B$15,0),MATCH(7,Feeder_Vols!$E$6:$O$6,0))</f>
        <v>21</v>
      </c>
      <c r="I72" s="224" t="s">
        <v>343</v>
      </c>
      <c r="J72" s="282"/>
      <c r="K72" s="342"/>
      <c r="L72" s="342">
        <f t="shared" si="32"/>
        <v>3.3027142992861842</v>
      </c>
      <c r="M72" s="342">
        <f>$H72*Unit_Rates!K68</f>
        <v>0</v>
      </c>
      <c r="N72" s="342">
        <f>$H72*Unit_Rates!L68</f>
        <v>61.334099888372073</v>
      </c>
      <c r="O72" s="342">
        <f>$H72*Unit_Rates!M68</f>
        <v>0</v>
      </c>
      <c r="P72" s="229">
        <f t="shared" si="33"/>
        <v>64.63681418765826</v>
      </c>
      <c r="Q72" s="28">
        <f>P72-H72*Unit_Rates!$E$68</f>
        <v>0.16113450778658489</v>
      </c>
      <c r="R72" s="327">
        <f t="shared" si="44"/>
        <v>0</v>
      </c>
      <c r="S72" s="327">
        <f t="shared" si="34"/>
        <v>0</v>
      </c>
      <c r="T72" s="327">
        <f t="shared" si="35"/>
        <v>0</v>
      </c>
      <c r="U72" s="327">
        <f t="shared" si="36"/>
        <v>0</v>
      </c>
      <c r="V72" s="327">
        <f t="shared" si="37"/>
        <v>0</v>
      </c>
      <c r="W72" s="327">
        <f t="shared" si="38"/>
        <v>0</v>
      </c>
      <c r="X72" s="327">
        <f t="shared" si="39"/>
        <v>25.344827586206897</v>
      </c>
      <c r="Y72" s="14">
        <f t="shared" si="40"/>
        <v>25.344827586206897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1</v>
      </c>
      <c r="AG72" s="16">
        <f>SUM(Z72:AF72)</f>
        <v>1</v>
      </c>
      <c r="AH72" t="b">
        <f>AG72=1</f>
        <v>1</v>
      </c>
      <c r="AI72" s="5">
        <v>1.2068965517241379</v>
      </c>
    </row>
    <row r="73" spans="2:35" x14ac:dyDescent="0.3">
      <c r="B73" s="251"/>
      <c r="C73" s="236" t="s">
        <v>301</v>
      </c>
      <c r="D73" s="236"/>
      <c r="E73" s="236"/>
      <c r="F73" s="236"/>
      <c r="G73" s="268"/>
      <c r="H73" s="231"/>
      <c r="I73" s="224"/>
      <c r="J73" s="171"/>
      <c r="K73" s="268">
        <v>338.36129116279062</v>
      </c>
      <c r="L73" s="268">
        <v>240.13216200117364</v>
      </c>
      <c r="M73" s="268">
        <v>199.45107906976745</v>
      </c>
      <c r="N73" s="268">
        <v>983.13404183119815</v>
      </c>
      <c r="O73" s="268">
        <v>92.042799427033458</v>
      </c>
      <c r="P73" s="268">
        <v>1853.1213734919631</v>
      </c>
      <c r="Q73" s="28"/>
      <c r="R73" s="326"/>
      <c r="S73" s="326"/>
      <c r="T73" s="326"/>
      <c r="U73" s="326"/>
      <c r="V73" s="326"/>
      <c r="W73" s="326"/>
      <c r="X73" s="326"/>
      <c r="AI73" s="5"/>
    </row>
    <row r="74" spans="2:35" x14ac:dyDescent="0.3">
      <c r="B74" s="251" t="s">
        <v>295</v>
      </c>
      <c r="C74" s="171"/>
      <c r="D74" s="171"/>
      <c r="E74" s="171"/>
      <c r="F74" s="171"/>
      <c r="G74" s="228"/>
      <c r="H74" s="231"/>
      <c r="I74" s="224"/>
      <c r="J74" s="171"/>
      <c r="K74" s="268"/>
      <c r="L74" s="268"/>
      <c r="M74" s="268"/>
      <c r="N74" s="268"/>
      <c r="O74" s="268"/>
      <c r="P74" s="228"/>
      <c r="Q74" s="28"/>
      <c r="R74" s="326"/>
      <c r="S74" s="326"/>
      <c r="T74" s="326"/>
      <c r="U74" s="326"/>
      <c r="V74" s="326"/>
      <c r="W74" s="326"/>
      <c r="X74" s="326"/>
      <c r="Y74" s="14"/>
      <c r="AI74" s="5"/>
    </row>
    <row r="75" spans="2:35" x14ac:dyDescent="0.3">
      <c r="B75" s="251"/>
      <c r="C75" s="171" t="s">
        <v>264</v>
      </c>
      <c r="D75" s="171" t="str">
        <f>Unit_Rates!G76</f>
        <v>Distribution system assets</v>
      </c>
      <c r="E75" s="171" t="str">
        <f>Unit_Rates!H76</f>
        <v>Replacement</v>
      </c>
      <c r="F75" s="171" t="str">
        <f>D75&amp;E75</f>
        <v>Distribution system assetsReplacement</v>
      </c>
      <c r="G75" s="228">
        <f>Unit_Rates!I76</f>
        <v>0.27269767441860471</v>
      </c>
      <c r="H75" s="456">
        <f>INDEX(Feeder_Vols!$B$21:$D$29,MATCH($B$3,Feeder_Vols!$B$21:$B$29,0),3)</f>
        <v>523.29539605376033</v>
      </c>
      <c r="I75" s="266" t="s">
        <v>292</v>
      </c>
      <c r="J75" s="171"/>
      <c r="K75" s="268">
        <f>G75*H75</f>
        <v>142.70143753782313</v>
      </c>
      <c r="L75" s="268">
        <f>SUMPRODUCT(R$5:X$5,R75:X75)/Thousands</f>
        <v>71.244717915122351</v>
      </c>
      <c r="M75" s="268">
        <f>$H75*Unit_Rates!K76</f>
        <v>0</v>
      </c>
      <c r="N75" s="268">
        <f>$H75*Unit_Rates!L76</f>
        <v>273.39891799353563</v>
      </c>
      <c r="O75" s="268">
        <f>$H75*Unit_Rates!M76</f>
        <v>0</v>
      </c>
      <c r="P75" s="228">
        <f>SUM(K75:O75)</f>
        <v>487.34507344648114</v>
      </c>
      <c r="Q75" s="28">
        <f>P75-H75*Unit_Rates!$E$76</f>
        <v>-0.19733316171965498</v>
      </c>
      <c r="R75" s="327">
        <f t="shared" ref="R75:X75" si="45">$AI75*Z75*$H75</f>
        <v>12.691285903725731</v>
      </c>
      <c r="S75" s="327">
        <f t="shared" si="45"/>
        <v>0</v>
      </c>
      <c r="T75" s="327">
        <f t="shared" si="45"/>
        <v>158.42388389814013</v>
      </c>
      <c r="U75" s="327">
        <f t="shared" si="45"/>
        <v>0</v>
      </c>
      <c r="V75" s="327">
        <f t="shared" si="45"/>
        <v>0</v>
      </c>
      <c r="W75" s="327">
        <f t="shared" si="45"/>
        <v>0</v>
      </c>
      <c r="X75" s="327">
        <f t="shared" si="45"/>
        <v>322.17547857368669</v>
      </c>
      <c r="Y75" s="14">
        <f t="shared" ref="Y75:Y79" si="46">SUM(R75:X75)</f>
        <v>493.29064837555256</v>
      </c>
      <c r="Z75" s="15">
        <v>2.5727805595989302E-2</v>
      </c>
      <c r="AA75" s="15">
        <v>0</v>
      </c>
      <c r="AB75" s="15">
        <v>0.32115728206047139</v>
      </c>
      <c r="AC75" s="15">
        <v>0</v>
      </c>
      <c r="AD75" s="15">
        <v>0</v>
      </c>
      <c r="AE75" s="15">
        <v>0</v>
      </c>
      <c r="AF75" s="15">
        <v>0.65311491234353936</v>
      </c>
      <c r="AG75" s="16">
        <f>SUM(Z75:AF75)</f>
        <v>1</v>
      </c>
      <c r="AH75" t="b">
        <f>AG75=1</f>
        <v>1</v>
      </c>
      <c r="AI75" s="5">
        <v>0.94266193070973381</v>
      </c>
    </row>
    <row r="76" spans="2:35" x14ac:dyDescent="0.3">
      <c r="B76" s="251"/>
      <c r="C76" s="171" t="s">
        <v>511</v>
      </c>
      <c r="D76" s="171" t="str">
        <f>Unit_Rates!G77</f>
        <v>Distribution system assets</v>
      </c>
      <c r="E76" s="171" t="str">
        <f>Unit_Rates!H77</f>
        <v>Replacement</v>
      </c>
      <c r="F76" s="171" t="str">
        <f t="shared" ref="F76:F79" si="47">D76&amp;E76</f>
        <v>Distribution system assetsReplacement</v>
      </c>
      <c r="G76" s="268">
        <f>INDEX(Unit_Rates!$C$75:$K$80,MATCH($C76,Unit_Rates!$D$75:$D$80,0),7)</f>
        <v>0</v>
      </c>
      <c r="H76" s="456">
        <f>INDEX(Feeder_Vols!$H$21:$H$29,MATCH($B$3,Feeder_Vols!$G$21:$G$29,0),1)</f>
        <v>194</v>
      </c>
      <c r="I76" s="266" t="s">
        <v>292</v>
      </c>
      <c r="J76" s="171"/>
      <c r="K76" s="268">
        <f>G76*H76</f>
        <v>0</v>
      </c>
      <c r="L76" s="268">
        <f>SUMPRODUCT(R$5:X$5,R76:X76)/Thousands</f>
        <v>56.816819012797126</v>
      </c>
      <c r="M76" s="268">
        <f>$H76*Unit_Rates!K79</f>
        <v>0</v>
      </c>
      <c r="N76" s="268">
        <f>$H76*Unit_Rates!$L$77</f>
        <v>0</v>
      </c>
      <c r="O76" s="268">
        <f>$H76*Unit_Rates!M79</f>
        <v>0</v>
      </c>
      <c r="P76" s="228">
        <f>SUM(K76:O76)</f>
        <v>56.816819012797126</v>
      </c>
      <c r="Q76" s="28">
        <f>P76-H76*Unit_Rates!$E$77</f>
        <v>-0.31135778278298432</v>
      </c>
      <c r="R76" s="327">
        <f t="shared" ref="R76" si="48">$AI76*Z76*$H76</f>
        <v>0</v>
      </c>
      <c r="S76" s="327">
        <f t="shared" ref="S76" si="49">$AI76*AA76*$H76</f>
        <v>0</v>
      </c>
      <c r="T76" s="327">
        <f t="shared" ref="T76" si="50">$AI76*AB76*$H76</f>
        <v>0</v>
      </c>
      <c r="U76" s="327">
        <f t="shared" ref="U76" si="51">$AI76*AC76*$H76</f>
        <v>0</v>
      </c>
      <c r="V76" s="327">
        <f t="shared" ref="V76" si="52">$AI76*AD76*$H76</f>
        <v>358.55986431295207</v>
      </c>
      <c r="W76" s="327">
        <f t="shared" ref="W76" si="53">$AI76*AE76*$H76</f>
        <v>0</v>
      </c>
      <c r="X76" s="327">
        <f t="shared" ref="X76" si="54">$AI76*AF76*$H76</f>
        <v>0</v>
      </c>
      <c r="Y76" s="14">
        <f t="shared" si="46"/>
        <v>358.55986431295207</v>
      </c>
      <c r="Z76" s="15"/>
      <c r="AA76" s="15"/>
      <c r="AB76" s="15"/>
      <c r="AC76" s="15"/>
      <c r="AD76" s="15">
        <v>1</v>
      </c>
      <c r="AE76" s="15"/>
      <c r="AF76" s="15"/>
      <c r="AG76" s="16">
        <f>SUM(Z76:AF76)</f>
        <v>1</v>
      </c>
      <c r="AH76" t="b">
        <f>AG76=1</f>
        <v>1</v>
      </c>
      <c r="AI76" s="46">
        <v>1.8482467232626396</v>
      </c>
    </row>
    <row r="77" spans="2:35" x14ac:dyDescent="0.3">
      <c r="B77" s="251"/>
      <c r="C77" s="171" t="s">
        <v>512</v>
      </c>
      <c r="D77" s="171" t="str">
        <f>Unit_Rates!G78</f>
        <v>Distribution system assets</v>
      </c>
      <c r="E77" s="171" t="str">
        <f>Unit_Rates!H78</f>
        <v>Replacement</v>
      </c>
      <c r="F77" s="171" t="str">
        <f t="shared" si="47"/>
        <v>Distribution system assetsReplacement</v>
      </c>
      <c r="G77" s="268">
        <f>INDEX(Unit_Rates!$C$75:$K$80,MATCH($C77,Unit_Rates!$D$75:$D$80,0),7)</f>
        <v>0</v>
      </c>
      <c r="H77" s="456">
        <f>INDEX(Feeder_Vols!$I$21:$I$29,MATCH($B$3,Feeder_Vols!$G$21:$G$29,0),1)</f>
        <v>56</v>
      </c>
      <c r="I77" s="266" t="s">
        <v>292</v>
      </c>
      <c r="J77" s="171"/>
      <c r="K77" s="268">
        <f t="shared" ref="K77:K79" si="55">G77*H77</f>
        <v>0</v>
      </c>
      <c r="L77" s="268">
        <f>SUMPRODUCT(R$5:X$5,R77:X77)/Thousands</f>
        <v>546.69104204753182</v>
      </c>
      <c r="M77" s="268"/>
      <c r="N77" s="268">
        <f>$H77*Unit_Rates!$L$78</f>
        <v>0</v>
      </c>
      <c r="O77" s="268"/>
      <c r="P77" s="228">
        <f t="shared" ref="P77:P79" si="56">SUM(K77:O77)</f>
        <v>546.69104204753182</v>
      </c>
      <c r="Q77" s="28">
        <f>P77-H77*Unit_Rates!$E$78</f>
        <v>-2.995882446022506</v>
      </c>
      <c r="R77" s="327">
        <f t="shared" ref="R77" si="57">$AI77*Z77*$H77</f>
        <v>0</v>
      </c>
      <c r="S77" s="327">
        <f t="shared" ref="S77" si="58">$AI77*AA77*$H77</f>
        <v>0</v>
      </c>
      <c r="T77" s="327">
        <f t="shared" ref="T77" si="59">$AI77*AB77*$H77</f>
        <v>0</v>
      </c>
      <c r="U77" s="327">
        <f t="shared" ref="U77" si="60">$AI77*AC77*$H77</f>
        <v>0</v>
      </c>
      <c r="V77" s="327">
        <f t="shared" ref="V77" si="61">$AI77*AD77*$H77</f>
        <v>3450.0605500902561</v>
      </c>
      <c r="W77" s="327">
        <f t="shared" ref="W77" si="62">$AI77*AE77*$H77</f>
        <v>0</v>
      </c>
      <c r="X77" s="327">
        <f t="shared" ref="X77" si="63">$AI77*AF77*$H77</f>
        <v>0</v>
      </c>
      <c r="Y77" s="14">
        <f t="shared" si="46"/>
        <v>3450.0605500902561</v>
      </c>
      <c r="Z77" s="15"/>
      <c r="AA77" s="15"/>
      <c r="AB77" s="15"/>
      <c r="AC77" s="15"/>
      <c r="AD77" s="15">
        <v>1</v>
      </c>
      <c r="AE77" s="15"/>
      <c r="AF77" s="15"/>
      <c r="AG77" s="16">
        <f>SUM(Z77:AF77)</f>
        <v>1</v>
      </c>
      <c r="AH77" t="b">
        <f>AG77=1</f>
        <v>1</v>
      </c>
      <c r="AI77" s="46">
        <v>61.608224108754577</v>
      </c>
    </row>
    <row r="78" spans="2:35" x14ac:dyDescent="0.3">
      <c r="B78" s="251"/>
      <c r="C78" s="171" t="s">
        <v>513</v>
      </c>
      <c r="D78" s="171" t="str">
        <f>Unit_Rates!G79</f>
        <v>Distribution system assets</v>
      </c>
      <c r="E78" s="171" t="str">
        <f>Unit_Rates!H79</f>
        <v>Replacement</v>
      </c>
      <c r="F78" s="171" t="str">
        <f t="shared" si="47"/>
        <v>Distribution system assetsReplacement</v>
      </c>
      <c r="G78" s="268">
        <f>INDEX(Unit_Rates!$C$75:$K$80,MATCH($C78,Unit_Rates!$D$75:$D$80,0),7)</f>
        <v>4.9079189686924494</v>
      </c>
      <c r="H78" s="456">
        <f>INDEX(Feeder_Vols!$J$21:$J$29,MATCH($B$3,Feeder_Vols!$G$21:$G$29,0),1)</f>
        <v>22</v>
      </c>
      <c r="I78" s="266" t="s">
        <v>292</v>
      </c>
      <c r="J78" s="171"/>
      <c r="K78" s="268">
        <f t="shared" si="55"/>
        <v>107.97421731123389</v>
      </c>
      <c r="L78" s="268">
        <f>SUMPRODUCT(R$5:X$5,R78:X78)/Thousands</f>
        <v>0</v>
      </c>
      <c r="M78" s="268"/>
      <c r="N78" s="268">
        <f>$H78*Unit_Rates!$L$79</f>
        <v>350.91620626151013</v>
      </c>
      <c r="O78" s="268"/>
      <c r="P78" s="228">
        <f t="shared" si="56"/>
        <v>458.890423572744</v>
      </c>
      <c r="Q78" s="28">
        <f>P78-H78*Unit_Rates!$E$79</f>
        <v>0</v>
      </c>
      <c r="R78" s="330"/>
      <c r="S78" s="330"/>
      <c r="T78" s="330"/>
      <c r="U78" s="330"/>
      <c r="V78" s="330"/>
      <c r="W78" s="330"/>
      <c r="X78" s="330"/>
      <c r="Y78" s="14">
        <f t="shared" si="46"/>
        <v>0</v>
      </c>
      <c r="Z78" s="15"/>
      <c r="AA78" s="15"/>
      <c r="AB78" s="15"/>
      <c r="AC78" s="15"/>
      <c r="AD78" s="15"/>
      <c r="AE78" s="15"/>
      <c r="AF78" s="15"/>
      <c r="AG78" s="16"/>
      <c r="AI78" s="5"/>
    </row>
    <row r="79" spans="2:35" x14ac:dyDescent="0.3">
      <c r="B79" s="251"/>
      <c r="C79" s="171" t="s">
        <v>539</v>
      </c>
      <c r="D79" s="171" t="str">
        <f>Unit_Rates!G80</f>
        <v>Distribution system assets</v>
      </c>
      <c r="E79" s="171" t="str">
        <f>Unit_Rates!H80</f>
        <v>Replacement</v>
      </c>
      <c r="F79" s="171" t="str">
        <f t="shared" si="47"/>
        <v>Distribution system assetsReplacement</v>
      </c>
      <c r="G79" s="268">
        <f>INDEX(Unit_Rates!$C$75:$K$80,MATCH($C79,Unit_Rates!$D$75:$D$80,0),7)</f>
        <v>9.8158379373848997E-2</v>
      </c>
      <c r="H79" s="456">
        <f>INDEX(Feeder_Vols!$K$21:$K$29,MATCH($B$3,Feeder_Vols!$G$21:$G$29,0),1)</f>
        <v>2247.63</v>
      </c>
      <c r="I79" s="266" t="s">
        <v>510</v>
      </c>
      <c r="J79" s="171"/>
      <c r="K79" s="268">
        <f t="shared" si="55"/>
        <v>220.62371823204424</v>
      </c>
      <c r="L79" s="268">
        <f>SUMPRODUCT(R$5:X$5,R79:X79)/Thousands</f>
        <v>0</v>
      </c>
      <c r="M79" s="268"/>
      <c r="N79" s="268">
        <f>$H79*Unit_Rates!$L$80</f>
        <v>319.59551823093921</v>
      </c>
      <c r="O79" s="268"/>
      <c r="P79" s="228">
        <f t="shared" si="56"/>
        <v>540.21923646298342</v>
      </c>
      <c r="Q79" s="28">
        <f>P79-H79*Unit_Rates!$E$80</f>
        <v>0</v>
      </c>
      <c r="R79" s="330"/>
      <c r="S79" s="330"/>
      <c r="T79" s="330"/>
      <c r="U79" s="330"/>
      <c r="V79" s="330"/>
      <c r="W79" s="330"/>
      <c r="X79" s="330"/>
      <c r="Y79" s="14">
        <f t="shared" si="46"/>
        <v>0</v>
      </c>
      <c r="Z79" s="15"/>
      <c r="AA79" s="15"/>
      <c r="AB79" s="15"/>
      <c r="AC79" s="15"/>
      <c r="AD79" s="15"/>
      <c r="AE79" s="15"/>
      <c r="AF79" s="15"/>
      <c r="AG79" s="16"/>
      <c r="AI79" s="5"/>
    </row>
    <row r="80" spans="2:35" x14ac:dyDescent="0.3">
      <c r="B80" s="251" t="s">
        <v>46</v>
      </c>
      <c r="C80" s="171"/>
      <c r="D80" s="171"/>
      <c r="E80" s="171"/>
      <c r="F80" s="171"/>
      <c r="G80" s="228"/>
      <c r="H80" s="231"/>
      <c r="I80" s="224"/>
      <c r="J80" s="171"/>
      <c r="K80" s="268"/>
      <c r="L80" s="268"/>
      <c r="M80" s="268"/>
      <c r="N80" s="268"/>
      <c r="O80" s="268"/>
      <c r="P80" s="228"/>
      <c r="Q80" s="28"/>
      <c r="R80" s="329"/>
      <c r="S80" s="326"/>
      <c r="T80" s="326"/>
      <c r="U80" s="326"/>
      <c r="V80" s="326"/>
      <c r="W80" s="326"/>
      <c r="X80" s="326"/>
      <c r="Y80" s="14"/>
      <c r="Z80" s="15"/>
      <c r="AA80" s="15"/>
      <c r="AB80" s="15"/>
      <c r="AC80" s="15"/>
      <c r="AD80" s="15"/>
      <c r="AE80" s="15"/>
      <c r="AF80" s="15"/>
      <c r="AI80" s="5"/>
    </row>
    <row r="81" spans="2:35" x14ac:dyDescent="0.3">
      <c r="B81" s="251"/>
      <c r="C81" s="171" t="s">
        <v>221</v>
      </c>
      <c r="D81" s="171" t="str">
        <f>Unit_Rates!G86</f>
        <v>Distribution system assets</v>
      </c>
      <c r="E81" s="171" t="str">
        <f>Unit_Rates!H86</f>
        <v>Replacement</v>
      </c>
      <c r="F81" s="171" t="str">
        <f t="shared" ref="F81:F84" si="64">D81&amp;E81</f>
        <v>Distribution system assetsReplacement</v>
      </c>
      <c r="G81" s="228">
        <f>Unit_Rates!I86</f>
        <v>22.447723472706969</v>
      </c>
      <c r="H81" s="457">
        <f>INDEX(Feeder_Vols!$C$35:$F$43,MATCH($B$3,Feeder_Vols!$B$35:$B$43,0),1)</f>
        <v>3</v>
      </c>
      <c r="I81" s="264" t="s">
        <v>292</v>
      </c>
      <c r="J81" s="171"/>
      <c r="K81" s="268">
        <f>G81*H81</f>
        <v>67.343170418120906</v>
      </c>
      <c r="L81" s="268">
        <f>SUMPRODUCT(R$5:X$5,R81:X81)/Thousands</f>
        <v>19.204226285592092</v>
      </c>
      <c r="M81" s="268">
        <f>$H81*Unit_Rates!K86</f>
        <v>0</v>
      </c>
      <c r="N81" s="268">
        <f>$H81*Unit_Rates!L86</f>
        <v>31.738906101166059</v>
      </c>
      <c r="O81" s="268">
        <f>$H81*Unit_Rates!M86</f>
        <v>6.9822649111725865E-2</v>
      </c>
      <c r="P81" s="228">
        <f>SUM(K81:O81)</f>
        <v>118.35612545399078</v>
      </c>
      <c r="Q81" s="28">
        <f>P81-(H81*Unit_Rates!$E$86)</f>
        <v>-5.3191742520851903E-2</v>
      </c>
      <c r="R81" s="327">
        <f t="shared" ref="R81:R84" si="65">$AI81*Z81*$H81</f>
        <v>36.358238057886659</v>
      </c>
      <c r="S81" s="327">
        <f t="shared" ref="S81:S84" si="66">$AI81*AA81*$H81</f>
        <v>38.918677357737828</v>
      </c>
      <c r="T81" s="327">
        <f t="shared" ref="T81:T84" si="67">$AI81*AB81*$H81</f>
        <v>44.658199473121385</v>
      </c>
      <c r="U81" s="327">
        <f t="shared" ref="U81:U84" si="68">$AI81*AC81*$H81</f>
        <v>0</v>
      </c>
      <c r="V81" s="327">
        <f t="shared" ref="V81:V84" si="69">$AI81*AD81*$H81</f>
        <v>0</v>
      </c>
      <c r="W81" s="327">
        <f t="shared" ref="W81:W84" si="70">$AI81*AE81*$H81</f>
        <v>0</v>
      </c>
      <c r="X81" s="327">
        <f t="shared" ref="X81:X84" si="71">$AI81*AF81*$H81</f>
        <v>0</v>
      </c>
      <c r="Y81" s="14">
        <f t="shared" ref="Y81:Y89" si="72">SUM(R81:X81)</f>
        <v>119.93511488874587</v>
      </c>
      <c r="Z81" s="15">
        <v>0.30314923274650013</v>
      </c>
      <c r="AA81" s="15">
        <v>0.32449777026385929</v>
      </c>
      <c r="AB81" s="15">
        <v>0.37235299698964058</v>
      </c>
      <c r="AC81" s="15">
        <v>0</v>
      </c>
      <c r="AD81" s="15">
        <v>0</v>
      </c>
      <c r="AE81" s="15">
        <v>0</v>
      </c>
      <c r="AF81" s="15">
        <v>0</v>
      </c>
      <c r="AG81" s="16">
        <f t="shared" ref="AG81:AG84" si="73">SUM(Z81:AF81)</f>
        <v>1</v>
      </c>
      <c r="AH81" t="b">
        <f t="shared" ref="AH81:AH89" si="74">AG81=1</f>
        <v>1</v>
      </c>
      <c r="AI81" s="5">
        <v>39.978371629581957</v>
      </c>
    </row>
    <row r="82" spans="2:35" x14ac:dyDescent="0.3">
      <c r="B82" s="251"/>
      <c r="C82" s="171" t="s">
        <v>223</v>
      </c>
      <c r="D82" s="171" t="str">
        <f>Unit_Rates!G87</f>
        <v>Distribution system assets</v>
      </c>
      <c r="E82" s="171" t="str">
        <f>Unit_Rates!H87</f>
        <v>Replacement</v>
      </c>
      <c r="F82" s="171" t="str">
        <f t="shared" si="64"/>
        <v>Distribution system assetsReplacement</v>
      </c>
      <c r="G82" s="228">
        <f>Unit_Rates!I87</f>
        <v>21.323700104130506</v>
      </c>
      <c r="H82" s="457">
        <f>INDEX(Feeder_Vols!$C$35:$F$43,MATCH($B$3,Feeder_Vols!$B$35:$B$43,0),2)</f>
        <v>6</v>
      </c>
      <c r="I82" s="264" t="s">
        <v>292</v>
      </c>
      <c r="J82" s="171"/>
      <c r="K82" s="268">
        <f>G82*H82</f>
        <v>127.94220062478303</v>
      </c>
      <c r="L82" s="268">
        <f>SUMPRODUCT(R$5:X$5,R82:X82)/Thousands</f>
        <v>41.278731343283752</v>
      </c>
      <c r="M82" s="268">
        <f>$H82*Unit_Rates!K87</f>
        <v>26.341041305102387</v>
      </c>
      <c r="N82" s="268">
        <f>$H82*Unit_Rates!L87</f>
        <v>142.99422422769868</v>
      </c>
      <c r="O82" s="268">
        <f>$H82*Unit_Rates!M87</f>
        <v>37.63005900728912</v>
      </c>
      <c r="P82" s="228">
        <f>SUM(K82:O82)</f>
        <v>376.18625650815693</v>
      </c>
      <c r="Q82" s="28">
        <f>P82-(H82*Unit_Rates!$E$87)</f>
        <v>-0.11433356473435197</v>
      </c>
      <c r="R82" s="327">
        <f t="shared" si="65"/>
        <v>78.15060698553863</v>
      </c>
      <c r="S82" s="327">
        <f t="shared" si="66"/>
        <v>83.654170857759667</v>
      </c>
      <c r="T82" s="327">
        <f t="shared" si="67"/>
        <v>95.991048580217168</v>
      </c>
      <c r="U82" s="327">
        <f t="shared" si="68"/>
        <v>0</v>
      </c>
      <c r="V82" s="327">
        <f t="shared" si="69"/>
        <v>0</v>
      </c>
      <c r="W82" s="327">
        <f t="shared" si="70"/>
        <v>0</v>
      </c>
      <c r="X82" s="327">
        <f t="shared" si="71"/>
        <v>0</v>
      </c>
      <c r="Y82" s="14">
        <f t="shared" si="72"/>
        <v>257.79582642351545</v>
      </c>
      <c r="Z82" s="15">
        <v>0.30314923274650013</v>
      </c>
      <c r="AA82" s="15">
        <v>0.32449777026385929</v>
      </c>
      <c r="AB82" s="15">
        <v>0.37235299698964064</v>
      </c>
      <c r="AC82" s="15">
        <v>0</v>
      </c>
      <c r="AD82" s="15">
        <v>0</v>
      </c>
      <c r="AE82" s="15">
        <v>0</v>
      </c>
      <c r="AF82" s="15">
        <v>0</v>
      </c>
      <c r="AG82" s="16">
        <f t="shared" si="73"/>
        <v>1</v>
      </c>
      <c r="AH82" t="b">
        <f t="shared" si="74"/>
        <v>1</v>
      </c>
      <c r="AI82" s="5">
        <v>42.965971070585908</v>
      </c>
    </row>
    <row r="83" spans="2:35" x14ac:dyDescent="0.3">
      <c r="B83" s="251"/>
      <c r="C83" s="171" t="s">
        <v>225</v>
      </c>
      <c r="D83" s="171" t="str">
        <f>Unit_Rates!G88</f>
        <v>Distribution system assets</v>
      </c>
      <c r="E83" s="171" t="str">
        <f>Unit_Rates!H88</f>
        <v>Replacement</v>
      </c>
      <c r="F83" s="171" t="str">
        <f t="shared" si="64"/>
        <v>Distribution system assetsReplacement</v>
      </c>
      <c r="G83" s="228">
        <f>Unit_Rates!I88</f>
        <v>14.297621705426357</v>
      </c>
      <c r="H83" s="457">
        <f>INDEX(Feeder_Vols!$C$35:$F$43,MATCH($B$3,Feeder_Vols!$B$35:$B$43,0),3)</f>
        <v>0</v>
      </c>
      <c r="I83" s="264" t="s">
        <v>292</v>
      </c>
      <c r="J83" s="171"/>
      <c r="K83" s="268">
        <f>G83*H83</f>
        <v>0</v>
      </c>
      <c r="L83" s="268">
        <f>SUMPRODUCT(R$5:X$5,R83:X83)/Thousands</f>
        <v>0</v>
      </c>
      <c r="M83" s="268">
        <f>$H83*Unit_Rates!K88</f>
        <v>0</v>
      </c>
      <c r="N83" s="268">
        <f>$H83*Unit_Rates!L88</f>
        <v>0</v>
      </c>
      <c r="O83" s="268">
        <f>$H83*Unit_Rates!M88</f>
        <v>0</v>
      </c>
      <c r="P83" s="228">
        <f>SUM(K83:O83)</f>
        <v>0</v>
      </c>
      <c r="Q83" s="28">
        <f>P83-(H83*Unit_Rates!$E$88)</f>
        <v>0</v>
      </c>
      <c r="R83" s="327">
        <f t="shared" si="65"/>
        <v>0</v>
      </c>
      <c r="S83" s="327">
        <f t="shared" si="66"/>
        <v>0</v>
      </c>
      <c r="T83" s="327">
        <f t="shared" si="67"/>
        <v>0</v>
      </c>
      <c r="U83" s="327">
        <f t="shared" si="68"/>
        <v>0</v>
      </c>
      <c r="V83" s="327">
        <f t="shared" si="69"/>
        <v>0</v>
      </c>
      <c r="W83" s="327">
        <f t="shared" si="70"/>
        <v>0</v>
      </c>
      <c r="X83" s="327">
        <f t="shared" si="71"/>
        <v>0</v>
      </c>
      <c r="Y83" s="14">
        <f t="shared" si="72"/>
        <v>0</v>
      </c>
      <c r="Z83" s="15">
        <v>0.11818857666880556</v>
      </c>
      <c r="AA83" s="15">
        <v>0.49778875974979209</v>
      </c>
      <c r="AB83" s="15">
        <v>0.3840226635814023</v>
      </c>
      <c r="AC83" s="15">
        <v>0</v>
      </c>
      <c r="AD83" s="15">
        <v>0</v>
      </c>
      <c r="AE83" s="15">
        <v>0</v>
      </c>
      <c r="AF83" s="15">
        <v>0</v>
      </c>
      <c r="AG83" s="16">
        <f t="shared" si="73"/>
        <v>1</v>
      </c>
      <c r="AH83" t="b">
        <f t="shared" si="74"/>
        <v>1</v>
      </c>
      <c r="AI83" s="5">
        <v>144.70421211980818</v>
      </c>
    </row>
    <row r="84" spans="2:35" x14ac:dyDescent="0.3">
      <c r="B84" s="251"/>
      <c r="C84" s="171" t="s">
        <v>227</v>
      </c>
      <c r="D84" s="171" t="str">
        <f>Unit_Rates!G89</f>
        <v>Distribution system assets</v>
      </c>
      <c r="E84" s="171" t="str">
        <f>Unit_Rates!H89</f>
        <v>Replacement</v>
      </c>
      <c r="F84" s="171" t="str">
        <f t="shared" si="64"/>
        <v>Distribution system assetsReplacement</v>
      </c>
      <c r="G84" s="228">
        <f>Unit_Rates!I89</f>
        <v>182.28643631627907</v>
      </c>
      <c r="H84" s="457">
        <f>INDEX(Feeder_Vols!$C$35:$F$43,MATCH($B$3,Feeder_Vols!$B$35:$B$43,0),4)</f>
        <v>0</v>
      </c>
      <c r="I84" s="264" t="s">
        <v>292</v>
      </c>
      <c r="J84" s="171"/>
      <c r="K84" s="268">
        <f>G84*H84</f>
        <v>0</v>
      </c>
      <c r="L84" s="268">
        <f>SUMPRODUCT(R$5:X$5,R84:X84)/Thousands</f>
        <v>0</v>
      </c>
      <c r="M84" s="268">
        <f>$H84*Unit_Rates!K89</f>
        <v>0</v>
      </c>
      <c r="N84" s="268">
        <f>$H84*Unit_Rates!L89</f>
        <v>0</v>
      </c>
      <c r="O84" s="268">
        <f>$H84*Unit_Rates!M89</f>
        <v>0</v>
      </c>
      <c r="P84" s="228">
        <f>SUM(K84:O84)</f>
        <v>0</v>
      </c>
      <c r="Q84" s="28">
        <f>P84-(H84*Unit_Rates!$E$89)</f>
        <v>0</v>
      </c>
      <c r="R84" s="327">
        <f t="shared" si="65"/>
        <v>0</v>
      </c>
      <c r="S84" s="327">
        <f t="shared" si="66"/>
        <v>0</v>
      </c>
      <c r="T84" s="327">
        <f t="shared" si="67"/>
        <v>0</v>
      </c>
      <c r="U84" s="327">
        <f t="shared" si="68"/>
        <v>0</v>
      </c>
      <c r="V84" s="327">
        <f t="shared" si="69"/>
        <v>0</v>
      </c>
      <c r="W84" s="327">
        <f t="shared" si="70"/>
        <v>0</v>
      </c>
      <c r="X84" s="327">
        <f t="shared" si="71"/>
        <v>0</v>
      </c>
      <c r="Y84" s="14">
        <f t="shared" si="72"/>
        <v>0</v>
      </c>
      <c r="Z84" s="15">
        <v>0.69942688247564233</v>
      </c>
      <c r="AA84" s="15">
        <v>4.8454943655496512E-2</v>
      </c>
      <c r="AB84" s="15">
        <v>0.25211817386886121</v>
      </c>
      <c r="AC84" s="15">
        <v>0</v>
      </c>
      <c r="AD84" s="15">
        <v>0</v>
      </c>
      <c r="AE84" s="15">
        <v>0</v>
      </c>
      <c r="AF84" s="15">
        <v>0</v>
      </c>
      <c r="AG84" s="16">
        <f t="shared" si="73"/>
        <v>1</v>
      </c>
      <c r="AH84" t="b">
        <f t="shared" si="74"/>
        <v>1</v>
      </c>
      <c r="AI84" s="5">
        <v>220.41130997006761</v>
      </c>
    </row>
    <row r="85" spans="2:35" x14ac:dyDescent="0.3">
      <c r="B85" s="251" t="s">
        <v>296</v>
      </c>
      <c r="C85" s="171"/>
      <c r="D85" s="171"/>
      <c r="E85" s="171"/>
      <c r="F85" s="171"/>
      <c r="G85" s="228"/>
      <c r="H85" s="231"/>
      <c r="I85" s="264"/>
      <c r="J85" s="171"/>
      <c r="K85" s="268"/>
      <c r="L85" s="268"/>
      <c r="M85" s="268"/>
      <c r="N85" s="268"/>
      <c r="O85" s="268"/>
      <c r="P85" s="228"/>
      <c r="Q85" s="28"/>
      <c r="R85" s="326"/>
      <c r="S85" s="326"/>
      <c r="T85" s="326"/>
      <c r="U85" s="326"/>
      <c r="V85" s="326"/>
      <c r="W85" s="326"/>
      <c r="X85" s="326"/>
      <c r="Y85" s="14"/>
    </row>
    <row r="86" spans="2:35" x14ac:dyDescent="0.3">
      <c r="B86" s="232"/>
      <c r="C86" s="171" t="s">
        <v>553</v>
      </c>
      <c r="D86" s="171" t="str">
        <f>Unit_Rates!G95</f>
        <v>Distribution system assets</v>
      </c>
      <c r="E86" s="171" t="str">
        <f>Unit_Rates!H95</f>
        <v>Augmentation</v>
      </c>
      <c r="F86" s="171" t="str">
        <f>D86&amp;E86</f>
        <v>Distribution system assetsAugmentation</v>
      </c>
      <c r="G86" s="228">
        <f>Unit_Rates!I95</f>
        <v>490.33390034070919</v>
      </c>
      <c r="H86" s="456">
        <f>INDEX(Feeder_Vols!$C$48:$F$56,MATCH($B$3,Feeder_Vols!$B$48:$B$56,0),1)</f>
        <v>1</v>
      </c>
      <c r="I86" s="264" t="s">
        <v>292</v>
      </c>
      <c r="J86" s="171"/>
      <c r="K86" s="268">
        <f>G86*H86</f>
        <v>490.33390034070919</v>
      </c>
      <c r="L86" s="268">
        <f>SUMPRODUCT(R$5:X$5,R86:X86)/Thousands</f>
        <v>77.234283186271057</v>
      </c>
      <c r="M86" s="268">
        <f>$H86*Unit_Rates!K95</f>
        <v>0</v>
      </c>
      <c r="N86" s="268">
        <f>$H86*Unit_Rates!L95</f>
        <v>128.93321973342987</v>
      </c>
      <c r="O86" s="268">
        <f>$H86*Unit_Rates!M95</f>
        <v>38.680242205499823</v>
      </c>
      <c r="P86" s="228">
        <f>SUM(K86:O86)</f>
        <v>735.18164546590981</v>
      </c>
      <c r="Q86" s="28">
        <f>P86-H86*Unit_Rates!$E95</f>
        <v>-0.12564865378692502</v>
      </c>
      <c r="R86" s="327">
        <f t="shared" ref="R86" si="75">$AI86*Z86*$H86</f>
        <v>85.087900368832209</v>
      </c>
      <c r="S86" s="327">
        <f t="shared" ref="S86" si="76">$AI86*AA86*$H86</f>
        <v>100.89639405738555</v>
      </c>
      <c r="T86" s="327">
        <f t="shared" ref="T86" si="77">$AI86*AB86*$H86</f>
        <v>283.79240616331981</v>
      </c>
      <c r="U86" s="327">
        <f t="shared" ref="U86" si="78">$AI86*AC86*$H86</f>
        <v>0</v>
      </c>
      <c r="V86" s="327">
        <f t="shared" ref="V86" si="79">$AI86*AD86*$H86</f>
        <v>0</v>
      </c>
      <c r="W86" s="327">
        <f t="shared" ref="W86" si="80">$AI86*AE86*$H86</f>
        <v>0</v>
      </c>
      <c r="X86" s="327">
        <f t="shared" ref="X86" si="81">$AI86*AF86*$H86</f>
        <v>0</v>
      </c>
      <c r="Y86" s="14">
        <f t="shared" si="72"/>
        <v>469.77670058953754</v>
      </c>
      <c r="Z86" s="15">
        <v>0.18112413889844414</v>
      </c>
      <c r="AA86" s="15">
        <v>0.21477521965386426</v>
      </c>
      <c r="AB86" s="15">
        <v>0.6041006414476916</v>
      </c>
      <c r="AC86" s="15">
        <v>0</v>
      </c>
      <c r="AD86" s="15">
        <v>0</v>
      </c>
      <c r="AE86" s="15">
        <v>0</v>
      </c>
      <c r="AF86" s="15">
        <v>0</v>
      </c>
      <c r="AG86" s="16">
        <f t="shared" ref="AG86:AG89" si="82">SUM(Z86:AF86)</f>
        <v>1</v>
      </c>
      <c r="AH86" t="b">
        <f t="shared" si="74"/>
        <v>1</v>
      </c>
      <c r="AI86" s="390">
        <v>469.77670058953754</v>
      </c>
    </row>
    <row r="87" spans="2:35" x14ac:dyDescent="0.3">
      <c r="B87" s="232"/>
      <c r="C87" s="171" t="s">
        <v>481</v>
      </c>
      <c r="D87" s="171" t="str">
        <f>Unit_Rates!G96</f>
        <v>Distribution system assets</v>
      </c>
      <c r="E87" s="171" t="str">
        <f>Unit_Rates!H96</f>
        <v>Augmentation</v>
      </c>
      <c r="F87" s="171" t="str">
        <f t="shared" ref="F87:F89" si="83">D87&amp;E87</f>
        <v>Distribution system assetsAugmentation</v>
      </c>
      <c r="G87" s="228">
        <f>Unit_Rates!I96</f>
        <v>440.92036005674521</v>
      </c>
      <c r="H87" s="456">
        <f>INDEX(Feeder_Vols!$C$48:$F$56,MATCH($B$3,Feeder_Vols!$B$48:$B$56,0),2)</f>
        <v>0</v>
      </c>
      <c r="I87" s="264" t="s">
        <v>292</v>
      </c>
      <c r="J87" s="171"/>
      <c r="K87" s="268">
        <f t="shared" ref="K87:K89" si="84">G87*H87</f>
        <v>0</v>
      </c>
      <c r="L87" s="268">
        <f>SUMPRODUCT(R$5:X$5,R87:X87)/Thousands</f>
        <v>0</v>
      </c>
      <c r="M87" s="268">
        <f>$H87*Unit_Rates!K96</f>
        <v>0</v>
      </c>
      <c r="N87" s="268">
        <f>$H87*Unit_Rates!L96</f>
        <v>0</v>
      </c>
      <c r="O87" s="268">
        <f>$H87*Unit_Rates!M96</f>
        <v>0</v>
      </c>
      <c r="P87" s="228">
        <f t="shared" ref="P87:P89" si="85">SUM(K87:O87)</f>
        <v>0</v>
      </c>
      <c r="Q87" s="28">
        <f>P87-H87*Unit_Rates!$E96</f>
        <v>0</v>
      </c>
      <c r="R87" s="327">
        <f t="shared" ref="R87:R89" si="86">$AI87*Z87*$H87</f>
        <v>0</v>
      </c>
      <c r="S87" s="327">
        <f t="shared" ref="S87:S89" si="87">$AI87*AA87*$H87</f>
        <v>0</v>
      </c>
      <c r="T87" s="327">
        <f t="shared" ref="T87:T89" si="88">$AI87*AB87*$H87</f>
        <v>0</v>
      </c>
      <c r="U87" s="327">
        <f t="shared" ref="U87:U89" si="89">$AI87*AC87*$H87</f>
        <v>0</v>
      </c>
      <c r="V87" s="327">
        <f t="shared" ref="V87:V89" si="90">$AI87*AD87*$H87</f>
        <v>0</v>
      </c>
      <c r="W87" s="327">
        <f t="shared" ref="W87:W89" si="91">$AI87*AE87*$H87</f>
        <v>0</v>
      </c>
      <c r="X87" s="327">
        <f t="shared" ref="X87:X89" si="92">$AI87*AF87*$H87</f>
        <v>0</v>
      </c>
      <c r="Y87" s="14">
        <f t="shared" si="72"/>
        <v>0</v>
      </c>
      <c r="Z87" s="15">
        <v>0.18112413889844414</v>
      </c>
      <c r="AA87" s="15">
        <v>0.42955043930772852</v>
      </c>
      <c r="AB87" s="15">
        <v>0.3893254217938274</v>
      </c>
      <c r="AC87" s="15">
        <v>0</v>
      </c>
      <c r="AD87" s="15">
        <v>0</v>
      </c>
      <c r="AE87" s="15">
        <v>0</v>
      </c>
      <c r="AF87" s="15">
        <v>0</v>
      </c>
      <c r="AG87" s="16">
        <f t="shared" si="82"/>
        <v>1</v>
      </c>
      <c r="AH87" t="b">
        <f t="shared" si="74"/>
        <v>1</v>
      </c>
      <c r="AI87" s="390">
        <v>500.15046310508262</v>
      </c>
    </row>
    <row r="88" spans="2:35" x14ac:dyDescent="0.3">
      <c r="B88" s="232"/>
      <c r="C88" s="171" t="s">
        <v>480</v>
      </c>
      <c r="D88" s="171" t="str">
        <f>Unit_Rates!G97</f>
        <v>Distribution system assets</v>
      </c>
      <c r="E88" s="171" t="str">
        <f>Unit_Rates!H97</f>
        <v>Augmentation</v>
      </c>
      <c r="F88" s="171" t="str">
        <f t="shared" si="83"/>
        <v>Distribution system assetsAugmentation</v>
      </c>
      <c r="G88" s="228">
        <f>Unit_Rates!I97</f>
        <v>464.96470387554706</v>
      </c>
      <c r="H88" s="456">
        <f>INDEX(Feeder_Vols!$C$48:$F$56,MATCH($B$3,Feeder_Vols!$B$48:$B$56,0),3)</f>
        <v>0</v>
      </c>
      <c r="I88" s="264" t="s">
        <v>292</v>
      </c>
      <c r="J88" s="171"/>
      <c r="K88" s="268">
        <f t="shared" si="84"/>
        <v>0</v>
      </c>
      <c r="L88" s="268">
        <f>SUMPRODUCT(R$5:X$5,R88:X88)/Thousands</f>
        <v>0</v>
      </c>
      <c r="M88" s="268">
        <f>$H88*Unit_Rates!K97</f>
        <v>0</v>
      </c>
      <c r="N88" s="268">
        <f>$H88*Unit_Rates!L97</f>
        <v>0</v>
      </c>
      <c r="O88" s="268">
        <f>$H88*Unit_Rates!M97</f>
        <v>0</v>
      </c>
      <c r="P88" s="228">
        <f t="shared" si="85"/>
        <v>0</v>
      </c>
      <c r="Q88" s="28">
        <f>P88-H88*Unit_Rates!$E97</f>
        <v>0</v>
      </c>
      <c r="R88" s="327">
        <f t="shared" si="86"/>
        <v>0</v>
      </c>
      <c r="S88" s="327">
        <f t="shared" si="87"/>
        <v>0</v>
      </c>
      <c r="T88" s="327">
        <f t="shared" si="88"/>
        <v>0</v>
      </c>
      <c r="U88" s="327">
        <f t="shared" si="89"/>
        <v>0</v>
      </c>
      <c r="V88" s="327">
        <f t="shared" si="90"/>
        <v>0</v>
      </c>
      <c r="W88" s="327">
        <f t="shared" si="91"/>
        <v>0</v>
      </c>
      <c r="X88" s="327">
        <f t="shared" si="92"/>
        <v>0</v>
      </c>
      <c r="Y88" s="14">
        <f t="shared" si="72"/>
        <v>0</v>
      </c>
      <c r="Z88" s="15">
        <v>0.18112413889844414</v>
      </c>
      <c r="AA88" s="15">
        <v>0.42955043930772852</v>
      </c>
      <c r="AB88" s="15">
        <v>0.3893254217938274</v>
      </c>
      <c r="AC88" s="15">
        <v>0</v>
      </c>
      <c r="AD88" s="15">
        <v>0</v>
      </c>
      <c r="AE88" s="15">
        <v>0</v>
      </c>
      <c r="AF88" s="15">
        <v>0</v>
      </c>
      <c r="AG88" s="16">
        <f t="shared" si="82"/>
        <v>1</v>
      </c>
      <c r="AH88" t="b">
        <f t="shared" si="74"/>
        <v>1</v>
      </c>
      <c r="AI88" s="390">
        <v>416.11120533381393</v>
      </c>
    </row>
    <row r="89" spans="2:35" x14ac:dyDescent="0.3">
      <c r="B89" s="232"/>
      <c r="C89" s="171" t="s">
        <v>295</v>
      </c>
      <c r="D89" s="171" t="str">
        <f>Unit_Rates!G98</f>
        <v>Distribution system assets</v>
      </c>
      <c r="E89" s="171" t="str">
        <f>Unit_Rates!H98</f>
        <v>Replacement</v>
      </c>
      <c r="F89" s="171" t="str">
        <f t="shared" si="83"/>
        <v>Distribution system assetsReplacement</v>
      </c>
      <c r="G89" s="228">
        <f>Unit_Rates!I98</f>
        <v>26.699079189686927</v>
      </c>
      <c r="H89" s="456">
        <f>INDEX(Feeder_Vols!$C$48:$I$56,MATCH($B$3,Feeder_Vols!$B$48:$B$56,0),7)</f>
        <v>3</v>
      </c>
      <c r="I89" s="264" t="s">
        <v>292</v>
      </c>
      <c r="J89" s="171"/>
      <c r="K89" s="268">
        <f t="shared" si="84"/>
        <v>80.097237569060781</v>
      </c>
      <c r="L89" s="268">
        <f>SUMPRODUCT(R$5:X$5,R89:X89)/Thousands</f>
        <v>25.874235567133567</v>
      </c>
      <c r="M89" s="268">
        <f>$H89*Unit_Rates!K98</f>
        <v>16.49060773480663</v>
      </c>
      <c r="N89" s="268">
        <f>$H89*Unit_Rates!L98</f>
        <v>89.520441988950282</v>
      </c>
      <c r="O89" s="268">
        <f>$H89*Unit_Rates!M98</f>
        <v>23.55801104972376</v>
      </c>
      <c r="P89" s="228">
        <f t="shared" si="85"/>
        <v>235.54053390967499</v>
      </c>
      <c r="Q89" s="28">
        <f>P89-H89*Unit_Rates!$E98</f>
        <v>-3.9576587562635268E-2</v>
      </c>
      <c r="R89" s="327">
        <f t="shared" si="86"/>
        <v>48.986176392925984</v>
      </c>
      <c r="S89" s="327">
        <f t="shared" si="87"/>
        <v>52.435907124822187</v>
      </c>
      <c r="T89" s="327">
        <f t="shared" si="88"/>
        <v>60.168879286664662</v>
      </c>
      <c r="U89" s="327">
        <f t="shared" si="89"/>
        <v>0</v>
      </c>
      <c r="V89" s="327">
        <f t="shared" si="90"/>
        <v>0</v>
      </c>
      <c r="W89" s="327">
        <f t="shared" si="91"/>
        <v>0</v>
      </c>
      <c r="X89" s="327">
        <f t="shared" si="92"/>
        <v>0</v>
      </c>
      <c r="Y89" s="14">
        <f t="shared" si="72"/>
        <v>161.59096280441284</v>
      </c>
      <c r="Z89" s="15">
        <v>0.30314923274650013</v>
      </c>
      <c r="AA89" s="15">
        <v>0.32449777026385929</v>
      </c>
      <c r="AB89" s="15">
        <v>0.37235299698964064</v>
      </c>
      <c r="AC89" s="15">
        <v>0</v>
      </c>
      <c r="AD89" s="15">
        <v>0</v>
      </c>
      <c r="AE89" s="15">
        <v>0</v>
      </c>
      <c r="AF89" s="15">
        <v>0</v>
      </c>
      <c r="AG89" s="16">
        <f t="shared" si="82"/>
        <v>1</v>
      </c>
      <c r="AH89" t="b">
        <f t="shared" si="74"/>
        <v>1</v>
      </c>
      <c r="AI89" s="390">
        <v>53.863654268137608</v>
      </c>
    </row>
    <row r="90" spans="2:35" x14ac:dyDescent="0.3">
      <c r="B90" s="232"/>
      <c r="C90" s="171"/>
      <c r="D90" s="171"/>
      <c r="E90" s="171"/>
      <c r="F90" s="171"/>
      <c r="G90" s="224"/>
      <c r="H90" s="232"/>
      <c r="I90" s="224"/>
      <c r="J90" s="171"/>
      <c r="K90" s="235"/>
      <c r="L90" s="235"/>
      <c r="M90" s="235"/>
      <c r="N90" s="235"/>
      <c r="O90" s="235"/>
      <c r="P90" s="224"/>
    </row>
    <row r="91" spans="2:35" x14ac:dyDescent="0.3">
      <c r="B91" s="251" t="s">
        <v>283</v>
      </c>
      <c r="C91" s="171"/>
      <c r="D91" s="171"/>
      <c r="E91" s="171"/>
      <c r="F91" s="171"/>
      <c r="G91" s="224"/>
      <c r="H91" s="232"/>
      <c r="I91" s="224"/>
      <c r="J91" s="171"/>
      <c r="K91" s="319">
        <f>SUM(K73:K89)</f>
        <v>1575.3771731965658</v>
      </c>
      <c r="L91" s="319">
        <f t="shared" ref="L91:P91" si="93">SUM(L73:L89)</f>
        <v>1078.4762173589054</v>
      </c>
      <c r="M91" s="319">
        <f t="shared" si="93"/>
        <v>242.28272810967644</v>
      </c>
      <c r="N91" s="319">
        <f t="shared" si="93"/>
        <v>2320.2314763684276</v>
      </c>
      <c r="O91" s="319">
        <f t="shared" si="93"/>
        <v>191.9809343386579</v>
      </c>
      <c r="P91" s="319">
        <f t="shared" si="93"/>
        <v>5408.3485293722333</v>
      </c>
      <c r="R91" s="274"/>
      <c r="S91" s="274"/>
      <c r="T91" s="274"/>
      <c r="U91" s="45"/>
      <c r="V91" s="45"/>
      <c r="Z91" s="406"/>
      <c r="AA91" s="406"/>
      <c r="AB91" s="406"/>
    </row>
    <row r="92" spans="2:35" x14ac:dyDescent="0.3">
      <c r="B92" s="259" t="s">
        <v>55</v>
      </c>
      <c r="C92" s="260"/>
      <c r="D92" s="260"/>
      <c r="E92" s="260"/>
      <c r="F92" s="260"/>
      <c r="G92" s="260"/>
      <c r="H92" s="260"/>
      <c r="I92" s="260"/>
      <c r="J92" s="260"/>
      <c r="K92" s="323">
        <f>K91-SUMIF(Direct_Capex_Totals!$B$19:$B$109,$B$3,Direct_Capex_Totals!Q$19:Q$109)</f>
        <v>0</v>
      </c>
      <c r="L92" s="323">
        <f>L91-SUMIF(Direct_Capex_Totals!$B$19:$B$109,$B$3,Direct_Capex_Totals!R$19:R$109)</f>
        <v>0</v>
      </c>
      <c r="M92" s="323">
        <f>M91-SUMIF(Direct_Capex_Totals!$B$19:$B$109,$B$3,Direct_Capex_Totals!S$19:S$109)</f>
        <v>0</v>
      </c>
      <c r="N92" s="323">
        <f>N91-SUMIF(Direct_Capex_Totals!$B$19:$B$109,$B$3,Direct_Capex_Totals!T$19:T$109)</f>
        <v>0</v>
      </c>
      <c r="O92" s="323">
        <f>O91-SUMIF(Direct_Capex_Totals!$B$19:$B$109,$B$3,Direct_Capex_Totals!U$19:U$109)</f>
        <v>0</v>
      </c>
      <c r="P92" s="324">
        <f>SUM(K92:O92)</f>
        <v>0</v>
      </c>
      <c r="Q92" s="11"/>
      <c r="R92" s="45"/>
      <c r="S92" s="45"/>
      <c r="T92" s="45"/>
      <c r="U92" s="45"/>
      <c r="V92" s="45"/>
    </row>
    <row r="93" spans="2:35" x14ac:dyDescent="0.3">
      <c r="B93" s="232"/>
      <c r="C93" s="171"/>
      <c r="D93" s="171"/>
      <c r="E93" s="171"/>
      <c r="F93" s="171"/>
      <c r="G93" s="171"/>
      <c r="H93" s="171"/>
      <c r="I93" s="171"/>
      <c r="J93" s="171"/>
      <c r="K93" s="157"/>
      <c r="L93" s="157"/>
      <c r="M93" s="157"/>
      <c r="N93" s="157"/>
      <c r="O93" s="157"/>
      <c r="P93" s="233"/>
    </row>
    <row r="94" spans="2:35" x14ac:dyDescent="0.3">
      <c r="B94" s="251" t="s">
        <v>103</v>
      </c>
      <c r="C94" s="252"/>
      <c r="D94" s="252"/>
      <c r="E94" s="252"/>
      <c r="F94" s="252"/>
      <c r="G94" s="252"/>
      <c r="H94" s="252"/>
      <c r="I94" s="252"/>
      <c r="J94" s="252"/>
      <c r="K94" s="26">
        <f>K60+K91</f>
        <v>5618.6678379750319</v>
      </c>
      <c r="L94" s="26">
        <f>L60+L91</f>
        <v>1902.1867173589053</v>
      </c>
      <c r="M94" s="26">
        <f t="shared" ref="M94:N94" si="94">M60+M91</f>
        <v>886.84086764456003</v>
      </c>
      <c r="N94" s="26">
        <f t="shared" si="94"/>
        <v>4420.8124093420029</v>
      </c>
      <c r="O94" s="26">
        <f>O60+O91</f>
        <v>560.6364589726893</v>
      </c>
      <c r="P94" s="253">
        <f>P60+P91</f>
        <v>13389.144291293189</v>
      </c>
    </row>
    <row r="95" spans="2:35" x14ac:dyDescent="0.3">
      <c r="B95" s="258" t="s">
        <v>55</v>
      </c>
      <c r="C95" s="254"/>
      <c r="D95" s="254"/>
      <c r="E95" s="254"/>
      <c r="F95" s="254"/>
      <c r="G95" s="254"/>
      <c r="H95" s="254"/>
      <c r="I95" s="254"/>
      <c r="J95" s="254"/>
      <c r="K95" s="255">
        <f>K94-Direct_Capex_Totals!Q133</f>
        <v>0</v>
      </c>
      <c r="L95" s="255">
        <f>L94-Direct_Capex_Totals!R133</f>
        <v>0</v>
      </c>
      <c r="M95" s="255">
        <f>M94-Direct_Capex_Totals!S133</f>
        <v>0</v>
      </c>
      <c r="N95" s="255">
        <f>N94-Direct_Capex_Totals!T133</f>
        <v>0</v>
      </c>
      <c r="O95" s="255">
        <f>O94-Direct_Capex_Totals!U133</f>
        <v>0</v>
      </c>
      <c r="P95" s="257">
        <f>SUM(K95:O95)</f>
        <v>0</v>
      </c>
    </row>
    <row r="98" spans="3:20" hidden="1" outlineLevel="1" x14ac:dyDescent="0.3">
      <c r="C98" t="s">
        <v>261</v>
      </c>
      <c r="D98" t="s">
        <v>18</v>
      </c>
      <c r="E98" t="s">
        <v>42</v>
      </c>
      <c r="F98" s="171" t="str">
        <f t="shared" ref="F98:F118" si="95">D98&amp;E98</f>
        <v>SubtransmissionAugmentation</v>
      </c>
      <c r="K98" s="6">
        <v>1253.1621294807364</v>
      </c>
      <c r="L98" s="6">
        <v>0</v>
      </c>
      <c r="M98" s="6">
        <v>0</v>
      </c>
      <c r="N98" s="6">
        <v>1667.0143896954903</v>
      </c>
      <c r="O98" s="6">
        <v>364.22858172427084</v>
      </c>
      <c r="P98" s="6">
        <v>3284.4051009004979</v>
      </c>
    </row>
    <row r="99" spans="3:20" hidden="1" outlineLevel="1" x14ac:dyDescent="0.3">
      <c r="D99" t="s">
        <v>18</v>
      </c>
      <c r="E99" t="s">
        <v>44</v>
      </c>
      <c r="F99" s="171" t="str">
        <f t="shared" si="95"/>
        <v>SubtransmissionReplacement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R99" s="405"/>
      <c r="S99" s="405"/>
      <c r="T99" s="405"/>
    </row>
    <row r="100" spans="3:20" hidden="1" outlineLevel="1" x14ac:dyDescent="0.3">
      <c r="D100" t="s">
        <v>22</v>
      </c>
      <c r="E100" t="s">
        <v>42</v>
      </c>
      <c r="F100" s="171" t="str">
        <f t="shared" si="95"/>
        <v>SCADA/Network controlAugmentation</v>
      </c>
      <c r="K100" s="6">
        <v>2790.1285352977293</v>
      </c>
      <c r="L100" s="6">
        <v>0</v>
      </c>
      <c r="M100" s="6">
        <v>0</v>
      </c>
      <c r="N100" s="6">
        <v>433.56654327808474</v>
      </c>
      <c r="O100" s="6">
        <v>4.426942909760589</v>
      </c>
      <c r="P100" s="6">
        <v>3228.1220214855748</v>
      </c>
    </row>
    <row r="101" spans="3:20" hidden="1" outlineLevel="1" x14ac:dyDescent="0.3">
      <c r="D101" t="s">
        <v>22</v>
      </c>
      <c r="E101" t="s">
        <v>44</v>
      </c>
      <c r="F101" s="171" t="str">
        <f t="shared" si="95"/>
        <v>SCADA/Network controlReplacement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3:20" hidden="1" outlineLevel="1" x14ac:dyDescent="0.3">
      <c r="D102" t="s">
        <v>195</v>
      </c>
      <c r="E102" t="s">
        <v>66</v>
      </c>
      <c r="F102" s="171" t="str">
        <f t="shared" si="95"/>
        <v>LandNon-Network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</row>
    <row r="103" spans="3:20" hidden="1" outlineLevel="1" x14ac:dyDescent="0.3">
      <c r="F103" s="171"/>
      <c r="K103" s="6">
        <v>4043.2906647784657</v>
      </c>
      <c r="L103" s="6">
        <v>0</v>
      </c>
      <c r="M103" s="6">
        <v>0</v>
      </c>
      <c r="N103" s="6">
        <v>2100.5809329735748</v>
      </c>
      <c r="O103" s="6">
        <v>368.65552463403145</v>
      </c>
      <c r="P103" s="6">
        <v>6512.5271223860727</v>
      </c>
    </row>
    <row r="104" spans="3:20" hidden="1" outlineLevel="1" x14ac:dyDescent="0.3">
      <c r="C104" t="s">
        <v>368</v>
      </c>
      <c r="D104" t="s">
        <v>18</v>
      </c>
      <c r="E104" t="s">
        <v>42</v>
      </c>
      <c r="F104" s="171" t="str">
        <f t="shared" ref="F104:F108" si="96">D104&amp;E104</f>
        <v>SubtransmissionAugmentation</v>
      </c>
      <c r="K104" s="6"/>
      <c r="L104" s="6">
        <v>415.41461816961925</v>
      </c>
      <c r="M104" s="6">
        <v>325.06429555408585</v>
      </c>
      <c r="N104" s="6">
        <v>0</v>
      </c>
      <c r="O104" s="6"/>
      <c r="P104" s="6">
        <v>740.47891372370509</v>
      </c>
    </row>
    <row r="105" spans="3:20" hidden="1" outlineLevel="1" x14ac:dyDescent="0.3">
      <c r="D105" t="s">
        <v>18</v>
      </c>
      <c r="E105" t="s">
        <v>44</v>
      </c>
      <c r="F105" s="171" t="str">
        <f t="shared" si="96"/>
        <v>SubtransmissionReplacement</v>
      </c>
      <c r="K105" s="6"/>
      <c r="L105" s="38">
        <v>0</v>
      </c>
      <c r="M105" s="38">
        <v>0</v>
      </c>
      <c r="N105" s="38">
        <v>0</v>
      </c>
      <c r="O105" s="6"/>
      <c r="P105" s="6">
        <v>0</v>
      </c>
    </row>
    <row r="106" spans="3:20" hidden="1" outlineLevel="1" x14ac:dyDescent="0.3">
      <c r="D106" t="s">
        <v>22</v>
      </c>
      <c r="E106" t="s">
        <v>42</v>
      </c>
      <c r="F106" s="171" t="str">
        <f t="shared" si="96"/>
        <v>SCADA/Network controlAugmentation</v>
      </c>
      <c r="K106" s="6"/>
      <c r="L106" s="6">
        <v>408.29588183038078</v>
      </c>
      <c r="M106" s="6">
        <v>319.49384398079775</v>
      </c>
      <c r="N106" s="6">
        <v>0</v>
      </c>
      <c r="O106" s="6"/>
      <c r="P106" s="6">
        <v>727.78972581117853</v>
      </c>
    </row>
    <row r="107" spans="3:20" hidden="1" outlineLevel="1" x14ac:dyDescent="0.3">
      <c r="D107" t="s">
        <v>22</v>
      </c>
      <c r="E107" t="s">
        <v>44</v>
      </c>
      <c r="F107" s="171" t="str">
        <f t="shared" si="96"/>
        <v>SCADA/Network controlReplacement</v>
      </c>
      <c r="K107" s="6"/>
      <c r="L107" s="6">
        <v>0</v>
      </c>
      <c r="M107" s="6">
        <v>0</v>
      </c>
      <c r="N107" s="6">
        <v>0</v>
      </c>
      <c r="O107" s="6"/>
      <c r="P107" s="6">
        <v>0</v>
      </c>
    </row>
    <row r="108" spans="3:20" hidden="1" outlineLevel="1" x14ac:dyDescent="0.3">
      <c r="D108" t="s">
        <v>195</v>
      </c>
      <c r="E108" t="s">
        <v>66</v>
      </c>
      <c r="F108" s="171" t="str">
        <f t="shared" si="96"/>
        <v>LandNon-Network</v>
      </c>
      <c r="K108" s="39"/>
      <c r="L108" s="39">
        <v>0</v>
      </c>
      <c r="M108" s="39">
        <v>0</v>
      </c>
      <c r="N108" s="39">
        <v>0</v>
      </c>
      <c r="O108" s="39"/>
      <c r="P108" s="39">
        <v>0</v>
      </c>
    </row>
    <row r="109" spans="3:20" hidden="1" outlineLevel="1" x14ac:dyDescent="0.3">
      <c r="F109" s="171"/>
      <c r="K109" s="6">
        <v>0</v>
      </c>
      <c r="L109" s="6">
        <v>823.71050000000002</v>
      </c>
      <c r="M109" s="6">
        <v>644.55813953488359</v>
      </c>
      <c r="N109" s="6">
        <v>0</v>
      </c>
      <c r="O109" s="6">
        <v>0</v>
      </c>
      <c r="P109" s="6">
        <v>1468.2686395348837</v>
      </c>
    </row>
    <row r="110" spans="3:20" hidden="1" outlineLevel="1" x14ac:dyDescent="0.3">
      <c r="C110" t="s">
        <v>377</v>
      </c>
      <c r="D110" t="s">
        <v>18</v>
      </c>
      <c r="E110" t="s">
        <v>42</v>
      </c>
      <c r="F110" s="171" t="str">
        <f t="shared" ref="F110:F114" si="97">D110&amp;E110</f>
        <v>SubtransmissionAugmentation</v>
      </c>
      <c r="K110" s="6">
        <v>1253.1621294807364</v>
      </c>
      <c r="L110" s="6">
        <v>415.41461816961925</v>
      </c>
      <c r="M110" s="6">
        <v>325.06429555408585</v>
      </c>
      <c r="N110" s="6">
        <v>1667.0143896954903</v>
      </c>
      <c r="O110" s="6">
        <v>364.22858172427084</v>
      </c>
      <c r="P110" s="6">
        <v>4024.8840146242028</v>
      </c>
    </row>
    <row r="111" spans="3:20" hidden="1" outlineLevel="1" x14ac:dyDescent="0.3">
      <c r="D111" t="s">
        <v>18</v>
      </c>
      <c r="E111" t="s">
        <v>44</v>
      </c>
      <c r="F111" s="171" t="str">
        <f t="shared" si="97"/>
        <v>SubtransmissionReplacement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3:20" hidden="1" outlineLevel="1" x14ac:dyDescent="0.3">
      <c r="D112" t="s">
        <v>22</v>
      </c>
      <c r="E112" t="s">
        <v>42</v>
      </c>
      <c r="F112" s="171" t="str">
        <f t="shared" si="97"/>
        <v>SCADA/Network controlAugmentation</v>
      </c>
      <c r="K112" s="6">
        <v>2790.1285352977293</v>
      </c>
      <c r="L112" s="6">
        <v>408.29588183038078</v>
      </c>
      <c r="M112" s="6">
        <v>319.49384398079775</v>
      </c>
      <c r="N112" s="6">
        <v>433.56654327808474</v>
      </c>
      <c r="O112" s="6">
        <v>4.426942909760589</v>
      </c>
      <c r="P112" s="6">
        <v>3955.9117472967532</v>
      </c>
    </row>
    <row r="113" spans="3:16" hidden="1" outlineLevel="1" x14ac:dyDescent="0.3">
      <c r="D113" t="s">
        <v>22</v>
      </c>
      <c r="E113" t="s">
        <v>44</v>
      </c>
      <c r="F113" s="171" t="str">
        <f t="shared" si="97"/>
        <v>SCADA/Network controlReplacement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</row>
    <row r="114" spans="3:16" hidden="1" outlineLevel="1" x14ac:dyDescent="0.3">
      <c r="D114" t="s">
        <v>195</v>
      </c>
      <c r="E114" t="s">
        <v>66</v>
      </c>
      <c r="F114" s="171" t="str">
        <f t="shared" si="97"/>
        <v>LandNon-Network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</row>
    <row r="115" spans="3:16" hidden="1" outlineLevel="1" x14ac:dyDescent="0.3">
      <c r="F115" s="171"/>
      <c r="K115" s="6">
        <v>4043.2906647784657</v>
      </c>
      <c r="L115" s="6">
        <v>823.71050000000002</v>
      </c>
      <c r="M115" s="6">
        <v>644.55813953488359</v>
      </c>
      <c r="N115" s="6">
        <v>2100.5809329735748</v>
      </c>
      <c r="O115" s="6">
        <v>368.65552463403145</v>
      </c>
      <c r="P115" s="6">
        <v>7980.7957619209556</v>
      </c>
    </row>
    <row r="116" spans="3:16" hidden="1" outlineLevel="1" x14ac:dyDescent="0.3">
      <c r="F116" s="171"/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</row>
    <row r="117" spans="3:16" hidden="1" outlineLevel="1" x14ac:dyDescent="0.3">
      <c r="C117" t="s">
        <v>17</v>
      </c>
      <c r="D117" t="s">
        <v>19</v>
      </c>
      <c r="E117" t="s">
        <v>42</v>
      </c>
      <c r="F117" s="171" t="str">
        <f t="shared" si="95"/>
        <v>Distribution system assetsAugmentation</v>
      </c>
      <c r="K117" s="6">
        <v>338.36129116279062</v>
      </c>
      <c r="L117" s="6">
        <v>236.82944770188746</v>
      </c>
      <c r="M117" s="6">
        <v>199.45107906976745</v>
      </c>
      <c r="N117" s="6">
        <v>883.27519775677956</v>
      </c>
      <c r="O117" s="6">
        <v>92.042799427033458</v>
      </c>
      <c r="P117" s="6">
        <v>1749.9598151182586</v>
      </c>
    </row>
    <row r="118" spans="3:16" hidden="1" outlineLevel="1" x14ac:dyDescent="0.3">
      <c r="D118" t="s">
        <v>19</v>
      </c>
      <c r="E118" t="s">
        <v>44</v>
      </c>
      <c r="F118" s="171" t="str">
        <f t="shared" si="95"/>
        <v>Distribution system assetsReplacement</v>
      </c>
      <c r="K118" s="39">
        <v>0</v>
      </c>
      <c r="L118" s="39">
        <v>3.3027142992861842</v>
      </c>
      <c r="M118" s="39">
        <v>0</v>
      </c>
      <c r="N118" s="39">
        <v>99.858844074418585</v>
      </c>
      <c r="O118" s="39">
        <v>0</v>
      </c>
      <c r="P118" s="39">
        <v>103.16155837370476</v>
      </c>
    </row>
    <row r="119" spans="3:16" hidden="1" outlineLevel="1" x14ac:dyDescent="0.3">
      <c r="K119" s="14">
        <v>338.36129116279062</v>
      </c>
      <c r="L119" s="14">
        <v>240.13216200117364</v>
      </c>
      <c r="M119" s="14">
        <v>199.45107906976745</v>
      </c>
      <c r="N119" s="14">
        <v>983.13404183119815</v>
      </c>
      <c r="O119" s="14">
        <v>92.042799427033458</v>
      </c>
      <c r="P119" s="14">
        <v>1853.1213734919634</v>
      </c>
    </row>
    <row r="120" spans="3:16" hidden="1" outlineLevel="1" x14ac:dyDescent="0.3">
      <c r="K120" s="19">
        <f>K119-K73</f>
        <v>0</v>
      </c>
      <c r="L120" s="19">
        <f t="shared" ref="L120:P120" si="98">L119-L73</f>
        <v>0</v>
      </c>
      <c r="M120" s="19">
        <f t="shared" si="98"/>
        <v>0</v>
      </c>
      <c r="N120" s="19">
        <f t="shared" si="98"/>
        <v>0</v>
      </c>
      <c r="O120" s="19">
        <f t="shared" si="98"/>
        <v>0</v>
      </c>
      <c r="P120" s="19">
        <f t="shared" si="98"/>
        <v>0</v>
      </c>
    </row>
    <row r="121" spans="3:16" collapsed="1" x14ac:dyDescent="0.3"/>
  </sheetData>
  <mergeCells count="3">
    <mergeCell ref="G3:I3"/>
    <mergeCell ref="K3:P3"/>
    <mergeCell ref="R3:X3"/>
  </mergeCells>
  <pageMargins left="0.25" right="0.25" top="0.75" bottom="0.75" header="0.3" footer="0.3"/>
  <pageSetup paperSize="9" scale="71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B1:BB119"/>
  <sheetViews>
    <sheetView zoomScale="85" zoomScaleNormal="85" workbookViewId="0">
      <pane xSplit="3" ySplit="4" topLeftCell="G5" activePane="bottomRight" state="frozen"/>
      <selection activeCell="N1" sqref="N1"/>
      <selection pane="topRight" activeCell="N1" sqref="N1"/>
      <selection pane="bottomLeft" activeCell="N1" sqref="N1"/>
      <selection pane="bottomRight" activeCell="M23" sqref="M23"/>
    </sheetView>
  </sheetViews>
  <sheetFormatPr defaultRowHeight="14.4" outlineLevelRow="1" outlineLevelCol="1" x14ac:dyDescent="0.3"/>
  <cols>
    <col min="1" max="1" width="2.33203125" customWidth="1"/>
    <col min="2" max="2" width="3" customWidth="1"/>
    <col min="3" max="3" width="52" customWidth="1"/>
    <col min="4" max="4" width="24.44140625" hidden="1" customWidth="1" outlineLevel="1"/>
    <col min="5" max="6" width="15.33203125" hidden="1" customWidth="1" outlineLevel="1"/>
    <col min="7" max="7" width="9.33203125" customWidth="1" collapsed="1"/>
    <col min="8" max="8" width="8.6640625" customWidth="1"/>
    <col min="9" max="9" width="10.6640625" customWidth="1"/>
    <col min="10" max="10" width="2.33203125" customWidth="1"/>
    <col min="11" max="11" width="9.6640625" bestFit="1" customWidth="1"/>
    <col min="12" max="12" width="9.5546875" bestFit="1" customWidth="1"/>
    <col min="13" max="13" width="9.44140625" customWidth="1"/>
    <col min="14" max="14" width="12.33203125" customWidth="1"/>
    <col min="15" max="15" width="9.33203125" bestFit="1" customWidth="1"/>
    <col min="16" max="16" width="10.33203125" customWidth="1"/>
    <col min="17" max="17" width="9.6640625" bestFit="1" customWidth="1"/>
    <col min="18" max="18" width="9" bestFit="1" customWidth="1"/>
    <col min="19" max="19" width="9.6640625" customWidth="1"/>
    <col min="20" max="20" width="9.6640625" bestFit="1" customWidth="1"/>
    <col min="21" max="21" width="9" bestFit="1" customWidth="1"/>
    <col min="22" max="22" width="9.6640625" bestFit="1" customWidth="1"/>
    <col min="26" max="35" width="8.88671875" hidden="1" customWidth="1" outlineLevel="1"/>
    <col min="36" max="36" width="8.88671875" collapsed="1"/>
    <col min="41" max="41" width="39.44140625" customWidth="1"/>
  </cols>
  <sheetData>
    <row r="1" spans="2:33" x14ac:dyDescent="0.3">
      <c r="N1" s="567" t="s">
        <v>425</v>
      </c>
    </row>
    <row r="2" spans="2:33" x14ac:dyDescent="0.3">
      <c r="B2" s="22" t="str">
        <f>STN_3&amp;" Volumes &amp; Unit Rates"</f>
        <v>FGY Volumes &amp; Unit Rates</v>
      </c>
      <c r="R2" s="176"/>
      <c r="S2" s="176"/>
      <c r="T2" s="176"/>
      <c r="U2" s="176"/>
      <c r="V2" s="176"/>
      <c r="W2" s="176"/>
      <c r="X2" s="176"/>
    </row>
    <row r="3" spans="2:33" x14ac:dyDescent="0.3">
      <c r="B3" t="str">
        <f>STN_3</f>
        <v>FGY</v>
      </c>
      <c r="G3" s="596" t="s">
        <v>135</v>
      </c>
      <c r="H3" s="597"/>
      <c r="I3" s="598"/>
      <c r="K3" s="596" t="s">
        <v>633</v>
      </c>
      <c r="L3" s="597"/>
      <c r="M3" s="597"/>
      <c r="N3" s="597"/>
      <c r="O3" s="597"/>
      <c r="P3" s="598"/>
      <c r="R3" s="596" t="s">
        <v>352</v>
      </c>
      <c r="S3" s="597"/>
      <c r="T3" s="597"/>
      <c r="U3" s="597"/>
      <c r="V3" s="597"/>
      <c r="W3" s="597"/>
      <c r="X3" s="598"/>
    </row>
    <row r="4" spans="2:33" ht="45" customHeight="1" x14ac:dyDescent="0.3">
      <c r="D4" t="s">
        <v>362</v>
      </c>
      <c r="E4" t="s">
        <v>84</v>
      </c>
      <c r="G4" s="221" t="s">
        <v>634</v>
      </c>
      <c r="H4" s="230" t="s">
        <v>265</v>
      </c>
      <c r="I4" s="220" t="s">
        <v>293</v>
      </c>
      <c r="K4" s="220" t="s">
        <v>135</v>
      </c>
      <c r="L4" s="220" t="s">
        <v>290</v>
      </c>
      <c r="M4" s="295" t="s">
        <v>136</v>
      </c>
      <c r="N4" s="221" t="s">
        <v>137</v>
      </c>
      <c r="O4" s="220" t="s">
        <v>60</v>
      </c>
      <c r="P4" s="220" t="s">
        <v>291</v>
      </c>
      <c r="Q4" s="266" t="s">
        <v>114</v>
      </c>
      <c r="R4" s="298" t="s">
        <v>285</v>
      </c>
      <c r="S4" s="298" t="s">
        <v>289</v>
      </c>
      <c r="T4" s="298" t="s">
        <v>256</v>
      </c>
      <c r="U4" s="298" t="s">
        <v>286</v>
      </c>
      <c r="V4" s="298" t="s">
        <v>287</v>
      </c>
      <c r="W4" s="298" t="s">
        <v>288</v>
      </c>
      <c r="X4" s="298" t="s">
        <v>345</v>
      </c>
      <c r="Y4" s="460" t="s">
        <v>485</v>
      </c>
    </row>
    <row r="5" spans="2:33" x14ac:dyDescent="0.3">
      <c r="B5" s="248" t="s">
        <v>314</v>
      </c>
      <c r="C5" s="292"/>
      <c r="D5" s="292"/>
      <c r="E5" s="292"/>
      <c r="F5" s="292"/>
      <c r="G5" s="221"/>
      <c r="H5" s="293"/>
      <c r="I5" s="294"/>
      <c r="J5" s="292"/>
      <c r="K5" s="294"/>
      <c r="L5" s="294"/>
      <c r="M5" s="294"/>
      <c r="N5" s="295"/>
      <c r="O5" s="294"/>
      <c r="P5" s="294"/>
      <c r="R5" s="325">
        <f>Lab_Rates!$C$6*(1+Escalators!C5)*(1+Escalators!C15)</f>
        <v>158.45839054425579</v>
      </c>
      <c r="S5" s="325">
        <f>Lab_Rates!$C$7*(1+Escalators!C5)*(1+Escalators!C15)</f>
        <v>148.03349642950209</v>
      </c>
      <c r="T5" s="325">
        <f>Lab_Rates!$C$8*(1+Escalators!C5)*(1+Escalators!C15)</f>
        <v>172.01075289343555</v>
      </c>
      <c r="U5" s="325">
        <f>Lab_Rates!$C$9*(1+Escalators!C5)*(1+Escalators!C15)</f>
        <v>224.1352234672039</v>
      </c>
      <c r="V5" s="325">
        <f>Lab_Rates!$C$6*(1+Escalators!C5)*(1+Escalators!C15)</f>
        <v>158.45839054425579</v>
      </c>
      <c r="W5" s="325">
        <f>Lab_Rates!$C$10*(1+Escalators!C5)*(1+Escalators!C15)</f>
        <v>158.45839054425579</v>
      </c>
      <c r="X5" s="325">
        <f>Lab_Rates!$C$5*(1+Escalators!C5)*(1+Escalators!C15)</f>
        <v>130.31117643442087</v>
      </c>
    </row>
    <row r="6" spans="2:33" x14ac:dyDescent="0.3">
      <c r="B6" s="251"/>
      <c r="C6" s="171"/>
      <c r="D6" s="171"/>
      <c r="E6" s="171"/>
      <c r="F6" s="171"/>
      <c r="G6" s="271"/>
      <c r="H6" s="231"/>
      <c r="I6" s="264"/>
      <c r="K6" s="271"/>
      <c r="L6" s="271"/>
      <c r="M6" s="271"/>
      <c r="N6" s="222"/>
      <c r="O6" s="271"/>
      <c r="P6" s="223"/>
      <c r="R6" s="326"/>
      <c r="S6" s="326"/>
      <c r="T6" s="326"/>
      <c r="U6" s="326"/>
      <c r="V6" s="326"/>
      <c r="W6" s="326"/>
      <c r="X6" s="326"/>
    </row>
    <row r="7" spans="2:33" x14ac:dyDescent="0.3">
      <c r="B7" s="232" t="s">
        <v>315</v>
      </c>
      <c r="D7" t="s">
        <v>365</v>
      </c>
      <c r="E7" t="s">
        <v>365</v>
      </c>
      <c r="G7" s="309"/>
      <c r="H7" s="314"/>
      <c r="I7" s="315"/>
      <c r="K7" s="309"/>
      <c r="L7" s="271">
        <f>SUMPRODUCT(R$5:X$5,R7:X7)/Thousands</f>
        <v>0</v>
      </c>
      <c r="M7" s="447">
        <v>644.55813953488359</v>
      </c>
      <c r="N7" s="447"/>
      <c r="O7" s="309"/>
      <c r="P7" s="223">
        <f t="shared" ref="P7" si="0">SUM(K7:O7)</f>
        <v>644.55813953488359</v>
      </c>
      <c r="Q7" s="19"/>
      <c r="R7" s="327"/>
      <c r="S7" s="328"/>
      <c r="T7" s="328"/>
      <c r="U7" s="328"/>
      <c r="V7" s="328"/>
      <c r="W7" s="328"/>
      <c r="X7" s="328"/>
    </row>
    <row r="8" spans="2:33" x14ac:dyDescent="0.3">
      <c r="B8" s="234"/>
      <c r="C8" s="42"/>
      <c r="D8" s="42"/>
      <c r="E8" s="42"/>
      <c r="F8" s="42"/>
      <c r="G8" s="241"/>
      <c r="H8" s="284"/>
      <c r="I8" s="263"/>
      <c r="K8" s="241"/>
      <c r="L8" s="241"/>
      <c r="M8" s="310"/>
      <c r="N8" s="310"/>
      <c r="O8" s="310"/>
      <c r="P8" s="242"/>
      <c r="R8" s="326"/>
      <c r="S8" s="326"/>
      <c r="T8" s="326"/>
      <c r="U8" s="326"/>
      <c r="V8" s="326"/>
      <c r="W8" s="326"/>
      <c r="X8" s="326"/>
    </row>
    <row r="9" spans="2:33" x14ac:dyDescent="0.3">
      <c r="B9" s="237" t="s">
        <v>269</v>
      </c>
      <c r="C9" s="238"/>
      <c r="D9" s="292"/>
      <c r="E9" s="292"/>
      <c r="F9" s="292"/>
      <c r="G9" s="239"/>
      <c r="H9" s="285"/>
      <c r="I9" s="220"/>
      <c r="K9" s="239"/>
      <c r="L9" s="239"/>
      <c r="M9" s="311"/>
      <c r="N9" s="311"/>
      <c r="O9" s="311"/>
      <c r="P9" s="243"/>
      <c r="R9" s="326"/>
      <c r="S9" s="326"/>
      <c r="T9" s="326"/>
      <c r="U9" s="326"/>
      <c r="V9" s="326"/>
      <c r="W9" s="326"/>
      <c r="X9" s="326"/>
    </row>
    <row r="10" spans="2:33" x14ac:dyDescent="0.3">
      <c r="B10" s="232"/>
      <c r="C10" s="171" t="s">
        <v>270</v>
      </c>
      <c r="D10" s="171" t="s">
        <v>365</v>
      </c>
      <c r="E10" s="171" t="s">
        <v>365</v>
      </c>
      <c r="F10" s="171"/>
      <c r="G10" s="309"/>
      <c r="H10" s="314"/>
      <c r="I10" s="315"/>
      <c r="K10" s="307"/>
      <c r="L10" s="225">
        <f>SUMPRODUCT(R$5:X$5,R10:X10)/Thousands</f>
        <v>48.69400000000001</v>
      </c>
      <c r="M10" s="306"/>
      <c r="N10" s="306">
        <v>0</v>
      </c>
      <c r="O10" s="307"/>
      <c r="P10" s="223">
        <f>SUM(K10:O10)</f>
        <v>48.69400000000001</v>
      </c>
      <c r="Q10" s="19"/>
      <c r="R10" s="327">
        <v>207.21403142993012</v>
      </c>
      <c r="S10" s="327">
        <v>77.473237968352223</v>
      </c>
      <c r="T10" s="327">
        <v>15.400463648641695</v>
      </c>
      <c r="U10" s="327">
        <v>7.7699453535485574</v>
      </c>
      <c r="V10" s="327">
        <v>0</v>
      </c>
      <c r="W10" s="327">
        <v>0</v>
      </c>
      <c r="X10" s="327">
        <v>0</v>
      </c>
      <c r="Y10" s="14">
        <f>SUM(R10:X10)</f>
        <v>307.85767840047259</v>
      </c>
      <c r="AA10" s="15"/>
      <c r="AB10" s="15"/>
      <c r="AC10" s="15"/>
      <c r="AD10" s="15"/>
      <c r="AE10" s="15"/>
      <c r="AF10" s="15"/>
      <c r="AG10" s="15"/>
    </row>
    <row r="11" spans="2:33" x14ac:dyDescent="0.3">
      <c r="B11" s="232"/>
      <c r="C11" s="171" t="s">
        <v>271</v>
      </c>
      <c r="D11" s="171" t="s">
        <v>365</v>
      </c>
      <c r="E11" s="171" t="s">
        <v>365</v>
      </c>
      <c r="F11" s="171"/>
      <c r="G11" s="309"/>
      <c r="H11" s="314"/>
      <c r="I11" s="315"/>
      <c r="K11" s="307"/>
      <c r="L11" s="225">
        <f>SUMPRODUCT(R$5:X$5,R11:X11)/Thousands</f>
        <v>358.78500000000008</v>
      </c>
      <c r="M11" s="306"/>
      <c r="N11" s="447"/>
      <c r="O11" s="307"/>
      <c r="P11" s="223">
        <f>SUM(K11:O11)</f>
        <v>358.78500000000008</v>
      </c>
      <c r="Q11" s="19"/>
      <c r="R11" s="327">
        <v>191.61608128859478</v>
      </c>
      <c r="S11" s="327">
        <v>0</v>
      </c>
      <c r="T11" s="327">
        <v>432.62242303454195</v>
      </c>
      <c r="U11" s="327">
        <v>63.07364844491434</v>
      </c>
      <c r="V11" s="327">
        <v>718.56030483223049</v>
      </c>
      <c r="W11" s="327">
        <v>795.20673734766842</v>
      </c>
      <c r="X11" s="327">
        <v>0</v>
      </c>
      <c r="Y11" s="14">
        <f t="shared" ref="Y11:Y13" si="1">SUM(R11:X11)</f>
        <v>2201.0791949479499</v>
      </c>
      <c r="AA11" s="15"/>
      <c r="AB11" s="15"/>
      <c r="AC11" s="15"/>
      <c r="AD11" s="15"/>
      <c r="AE11" s="15"/>
      <c r="AF11" s="15"/>
      <c r="AG11" s="15"/>
    </row>
    <row r="12" spans="2:33" x14ac:dyDescent="0.3">
      <c r="B12" s="232"/>
      <c r="C12" s="171" t="s">
        <v>304</v>
      </c>
      <c r="D12" s="171" t="s">
        <v>365</v>
      </c>
      <c r="E12" s="171" t="s">
        <v>365</v>
      </c>
      <c r="F12" s="171"/>
      <c r="G12" s="309"/>
      <c r="H12" s="314"/>
      <c r="I12" s="315"/>
      <c r="K12" s="307"/>
      <c r="L12" s="225">
        <f>SUMPRODUCT(R$5:X$5,R12:X12)/Thousands</f>
        <v>246.196</v>
      </c>
      <c r="M12" s="306"/>
      <c r="N12" s="306">
        <v>0</v>
      </c>
      <c r="O12" s="307"/>
      <c r="P12" s="223">
        <f>SUM(K12:O12)</f>
        <v>246.196</v>
      </c>
      <c r="Q12" s="19"/>
      <c r="R12" s="327">
        <v>0</v>
      </c>
      <c r="S12" s="327">
        <v>0</v>
      </c>
      <c r="T12" s="327">
        <v>337.64653246077239</v>
      </c>
      <c r="U12" s="327">
        <v>0</v>
      </c>
      <c r="V12" s="327">
        <v>432.75855329346524</v>
      </c>
      <c r="W12" s="327">
        <v>166.37162159948775</v>
      </c>
      <c r="X12" s="327">
        <v>715.05733467475625</v>
      </c>
      <c r="Y12" s="14">
        <f t="shared" si="1"/>
        <v>1651.8340420284817</v>
      </c>
      <c r="AA12" s="15"/>
      <c r="AB12" s="15"/>
      <c r="AC12" s="15"/>
      <c r="AD12" s="15"/>
      <c r="AE12" s="15"/>
      <c r="AF12" s="15"/>
      <c r="AG12" s="15"/>
    </row>
    <row r="13" spans="2:33" x14ac:dyDescent="0.3">
      <c r="B13" s="232"/>
      <c r="C13" s="171" t="s">
        <v>272</v>
      </c>
      <c r="D13" s="171" t="s">
        <v>365</v>
      </c>
      <c r="E13" s="171" t="s">
        <v>365</v>
      </c>
      <c r="F13" s="171"/>
      <c r="G13" s="309"/>
      <c r="H13" s="314"/>
      <c r="I13" s="315"/>
      <c r="K13" s="307"/>
      <c r="L13" s="225">
        <f>SUMPRODUCT(R$5:X$5,R13:X13)/Thousands</f>
        <v>124.9875</v>
      </c>
      <c r="M13" s="306"/>
      <c r="N13" s="306">
        <v>0</v>
      </c>
      <c r="O13" s="307"/>
      <c r="P13" s="223">
        <f>SUM(K13:O13)</f>
        <v>124.9875</v>
      </c>
      <c r="Q13" s="19"/>
      <c r="R13" s="327">
        <v>0</v>
      </c>
      <c r="S13" s="327">
        <v>0</v>
      </c>
      <c r="T13" s="327">
        <v>726.62608527405553</v>
      </c>
      <c r="U13" s="327">
        <v>0</v>
      </c>
      <c r="V13" s="327">
        <v>0</v>
      </c>
      <c r="W13" s="327">
        <v>0</v>
      </c>
      <c r="X13" s="327">
        <v>0</v>
      </c>
      <c r="Y13" s="14">
        <f t="shared" si="1"/>
        <v>726.62608527405553</v>
      </c>
      <c r="AA13" s="15"/>
      <c r="AB13" s="15"/>
      <c r="AC13" s="15"/>
      <c r="AD13" s="15"/>
      <c r="AE13" s="15"/>
      <c r="AF13" s="15"/>
      <c r="AG13" s="15"/>
    </row>
    <row r="14" spans="2:33" x14ac:dyDescent="0.3">
      <c r="B14" s="234"/>
      <c r="C14" s="42"/>
      <c r="D14" s="42"/>
      <c r="E14" s="42"/>
      <c r="F14" s="42"/>
      <c r="G14" s="241"/>
      <c r="H14" s="240"/>
      <c r="I14" s="263"/>
      <c r="K14" s="244"/>
      <c r="L14" s="245"/>
      <c r="M14" s="245"/>
      <c r="N14" s="246"/>
      <c r="O14" s="244"/>
      <c r="P14" s="247"/>
      <c r="R14" s="326"/>
      <c r="S14" s="326"/>
      <c r="T14" s="326"/>
      <c r="U14" s="326"/>
      <c r="V14" s="326"/>
      <c r="W14" s="326"/>
      <c r="X14" s="326"/>
    </row>
    <row r="15" spans="2:33" x14ac:dyDescent="0.3">
      <c r="B15" s="237" t="s">
        <v>261</v>
      </c>
      <c r="C15" s="238"/>
      <c r="D15" s="292"/>
      <c r="E15" s="292"/>
      <c r="F15" s="292"/>
      <c r="G15" s="297"/>
      <c r="H15" s="248"/>
      <c r="I15" s="243"/>
      <c r="K15" s="249"/>
      <c r="L15" s="249"/>
      <c r="M15" s="355"/>
      <c r="N15" s="249"/>
      <c r="O15" s="249"/>
      <c r="P15" s="250"/>
      <c r="Q15" s="11"/>
      <c r="R15" s="329"/>
      <c r="S15" s="326"/>
      <c r="T15" s="326"/>
      <c r="U15" s="326"/>
      <c r="V15" s="326"/>
      <c r="W15" s="326"/>
      <c r="X15" s="326"/>
      <c r="AA15" s="28"/>
      <c r="AB15" s="28"/>
      <c r="AC15" s="28"/>
      <c r="AD15" s="28"/>
      <c r="AE15" s="28"/>
      <c r="AF15" s="28"/>
      <c r="AG15" s="28"/>
    </row>
    <row r="16" spans="2:33" x14ac:dyDescent="0.3">
      <c r="B16" s="251" t="s">
        <v>263</v>
      </c>
      <c r="C16" s="171"/>
      <c r="D16" s="171"/>
      <c r="E16" s="171"/>
      <c r="F16" s="171"/>
      <c r="G16" s="228"/>
      <c r="H16" s="232"/>
      <c r="I16" s="224"/>
      <c r="J16" s="157"/>
      <c r="K16" s="225"/>
      <c r="L16" s="225"/>
      <c r="M16" s="225"/>
      <c r="N16" s="225"/>
      <c r="O16" s="225"/>
      <c r="P16" s="224"/>
      <c r="R16" s="326"/>
      <c r="S16" s="326"/>
      <c r="T16" s="326"/>
      <c r="U16" s="326"/>
      <c r="V16" s="326"/>
      <c r="W16" s="326"/>
      <c r="X16" s="326"/>
      <c r="AA16" s="28"/>
      <c r="AB16" s="28"/>
      <c r="AC16" s="28"/>
      <c r="AD16" s="28"/>
      <c r="AE16" s="28"/>
      <c r="AF16" s="28"/>
      <c r="AG16" s="28"/>
    </row>
    <row r="17" spans="2:33" x14ac:dyDescent="0.3">
      <c r="B17" s="232"/>
      <c r="C17" s="171" t="s">
        <v>306</v>
      </c>
      <c r="D17" s="171" t="str">
        <f>INDEX(Unit_Rates!$C$7:$K$54,MATCH($C17,Unit_Rates!$C$7:$C$54,0),5)</f>
        <v>Subtransmission</v>
      </c>
      <c r="E17" s="171" t="str">
        <f>INDEX(Unit_Rates!$C$7:$K$54,MATCH($C17,Unit_Rates!$C$7:$C$54,0),6)</f>
        <v>Augmentation</v>
      </c>
      <c r="F17" s="171" t="str">
        <f>D17&amp;E17</f>
        <v>SubtransmissionAugmentation</v>
      </c>
      <c r="G17" s="268">
        <f>INDEX(Unit_Rates!$C$7:$K$54,MATCH($C17,Unit_Rates!$C$7:$C$54,0),7)</f>
        <v>78.838847145488032</v>
      </c>
      <c r="H17" s="299"/>
      <c r="I17" s="264" t="s">
        <v>292</v>
      </c>
      <c r="J17" s="157"/>
      <c r="K17" s="226">
        <f>G17*$H17</f>
        <v>0</v>
      </c>
      <c r="L17" s="302">
        <f t="shared" ref="L17:L39" si="2">SUMPRODUCT(R$5:X$5,R17:X17)/Thousands</f>
        <v>0</v>
      </c>
      <c r="M17" s="356"/>
      <c r="N17" s="568"/>
      <c r="O17" s="573"/>
      <c r="P17" s="569"/>
      <c r="Q17" s="336">
        <f>P17-H17*VLOOKUP(C17,Unit_Rates!$C$7:$E$39,3,FALSE)</f>
        <v>0</v>
      </c>
      <c r="R17" s="327">
        <v>0</v>
      </c>
      <c r="S17" s="327">
        <v>0</v>
      </c>
      <c r="T17" s="327">
        <v>0</v>
      </c>
      <c r="U17" s="327">
        <v>0</v>
      </c>
      <c r="V17" s="327">
        <v>0</v>
      </c>
      <c r="W17" s="327">
        <v>0</v>
      </c>
      <c r="X17" s="327">
        <v>0</v>
      </c>
      <c r="Y17" s="14">
        <f t="shared" ref="Y17:Y39" si="3">SUM(R17:X17)</f>
        <v>0</v>
      </c>
      <c r="AA17" s="28"/>
      <c r="AB17" s="28"/>
      <c r="AC17" s="28"/>
      <c r="AD17" s="28"/>
      <c r="AE17" s="28"/>
      <c r="AF17" s="28"/>
      <c r="AG17" s="28"/>
    </row>
    <row r="18" spans="2:33" x14ac:dyDescent="0.3">
      <c r="B18" s="232"/>
      <c r="C18" s="171" t="s">
        <v>329</v>
      </c>
      <c r="D18" s="171" t="str">
        <f>INDEX(Unit_Rates!$C$7:$K$54,MATCH($C18,Unit_Rates!$C$7:$C$54,0),5)</f>
        <v>Subtransmission</v>
      </c>
      <c r="E18" s="171" t="str">
        <f>INDEX(Unit_Rates!$C$7:$K$54,MATCH($C18,Unit_Rates!$C$7:$C$54,0),6)</f>
        <v>Augmentation</v>
      </c>
      <c r="F18" s="171" t="str">
        <f t="shared" ref="F18:F39" si="4">D18&amp;E18</f>
        <v>SubtransmissionAugmentation</v>
      </c>
      <c r="G18" s="268">
        <f>INDEX(Unit_Rates!$C$7:$K$54,MATCH($C18,Unit_Rates!$C$7:$C$54,0),7)</f>
        <v>90.745458563535905</v>
      </c>
      <c r="H18" s="299">
        <v>2</v>
      </c>
      <c r="I18" s="264" t="s">
        <v>292</v>
      </c>
      <c r="J18" s="157"/>
      <c r="K18" s="226">
        <f>G18*$H18</f>
        <v>181.49091712707181</v>
      </c>
      <c r="L18" s="302">
        <f t="shared" si="2"/>
        <v>0</v>
      </c>
      <c r="M18" s="356"/>
      <c r="N18" s="568"/>
      <c r="O18" s="573"/>
      <c r="P18" s="569"/>
      <c r="Q18" s="336">
        <f>P18-H18*VLOOKUP(C18,Unit_Rates!$C$7:$E$39,3,FALSE)</f>
        <v>0</v>
      </c>
      <c r="R18" s="327">
        <v>0</v>
      </c>
      <c r="S18" s="327">
        <v>0</v>
      </c>
      <c r="T18" s="327">
        <v>0</v>
      </c>
      <c r="U18" s="327">
        <v>0</v>
      </c>
      <c r="V18" s="327">
        <v>0</v>
      </c>
      <c r="W18" s="327">
        <v>0</v>
      </c>
      <c r="X18" s="327">
        <v>0</v>
      </c>
      <c r="Y18" s="14">
        <f t="shared" si="3"/>
        <v>0</v>
      </c>
      <c r="AA18" s="28"/>
      <c r="AB18" s="28"/>
      <c r="AC18" s="28"/>
      <c r="AD18" s="28"/>
      <c r="AE18" s="28"/>
      <c r="AF18" s="28"/>
      <c r="AG18" s="28"/>
    </row>
    <row r="19" spans="2:33" x14ac:dyDescent="0.3">
      <c r="B19" s="232"/>
      <c r="C19" s="171" t="s">
        <v>502</v>
      </c>
      <c r="D19" s="171" t="str">
        <f>INDEX(Unit_Rates!$C$7:$K$54,MATCH($C19,Unit_Rates!$C$7:$C$54,0),5)</f>
        <v>Subtransmission</v>
      </c>
      <c r="E19" s="171" t="str">
        <f>INDEX(Unit_Rates!$C$7:$K$54,MATCH($C19,Unit_Rates!$C$7:$C$54,0),6)</f>
        <v>Augmentation</v>
      </c>
      <c r="F19" s="171" t="str">
        <f t="shared" si="4"/>
        <v>SubtransmissionAugmentation</v>
      </c>
      <c r="G19" s="268">
        <f>INDEX(Unit_Rates!$C$7:$K$54,MATCH($C19,Unit_Rates!$C$7:$C$54,0),7)</f>
        <v>25.236519337016578</v>
      </c>
      <c r="H19" s="299">
        <v>1</v>
      </c>
      <c r="I19" s="264" t="s">
        <v>292</v>
      </c>
      <c r="J19" s="157"/>
      <c r="K19" s="226">
        <f>G19*H19</f>
        <v>25.236519337016578</v>
      </c>
      <c r="L19" s="302">
        <f t="shared" si="2"/>
        <v>0</v>
      </c>
      <c r="M19" s="356"/>
      <c r="N19" s="568"/>
      <c r="O19" s="573"/>
      <c r="P19" s="569"/>
      <c r="Q19" s="336">
        <f>P19-H19*VLOOKUP(C19,Unit_Rates!$C$7:$E$39,3,FALSE)</f>
        <v>0</v>
      </c>
      <c r="R19" s="327">
        <v>0</v>
      </c>
      <c r="S19" s="327">
        <v>0</v>
      </c>
      <c r="T19" s="327">
        <v>0</v>
      </c>
      <c r="U19" s="327">
        <v>0</v>
      </c>
      <c r="V19" s="327">
        <v>0</v>
      </c>
      <c r="W19" s="327">
        <v>0</v>
      </c>
      <c r="X19" s="327">
        <v>0</v>
      </c>
      <c r="Y19" s="14">
        <f t="shared" si="3"/>
        <v>0</v>
      </c>
    </row>
    <row r="20" spans="2:33" x14ac:dyDescent="0.3">
      <c r="B20" s="232"/>
      <c r="C20" s="171" t="s">
        <v>503</v>
      </c>
      <c r="D20" s="171" t="str">
        <f>INDEX(Unit_Rates!$C$7:$K$54,MATCH($C20,Unit_Rates!$C$7:$C$54,0),5)</f>
        <v>Subtransmission</v>
      </c>
      <c r="E20" s="171" t="str">
        <f>INDEX(Unit_Rates!$C$7:$K$54,MATCH($C20,Unit_Rates!$C$7:$C$54,0),6)</f>
        <v>Augmentation</v>
      </c>
      <c r="F20" s="171" t="str">
        <f t="shared" si="4"/>
        <v>SubtransmissionAugmentation</v>
      </c>
      <c r="G20" s="268">
        <f>INDEX(Unit_Rates!$C$7:$K$54,MATCH($C20,Unit_Rates!$C$7:$C$54,0),7)</f>
        <v>38.571335174953965</v>
      </c>
      <c r="H20" s="299">
        <v>1</v>
      </c>
      <c r="I20" s="264" t="s">
        <v>292</v>
      </c>
      <c r="J20" s="157"/>
      <c r="K20" s="226">
        <f>G20*H20</f>
        <v>38.571335174953965</v>
      </c>
      <c r="L20" s="302">
        <f t="shared" si="2"/>
        <v>0</v>
      </c>
      <c r="M20" s="356"/>
      <c r="N20" s="568"/>
      <c r="O20" s="573"/>
      <c r="P20" s="569"/>
      <c r="Q20" s="336">
        <f>P20-H20*VLOOKUP(C20,Unit_Rates!$C$7:$E$39,3,FALSE)</f>
        <v>0</v>
      </c>
      <c r="R20" s="327">
        <v>0</v>
      </c>
      <c r="S20" s="327">
        <v>0</v>
      </c>
      <c r="T20" s="327">
        <v>0</v>
      </c>
      <c r="U20" s="327">
        <v>0</v>
      </c>
      <c r="V20" s="327">
        <v>0</v>
      </c>
      <c r="W20" s="327">
        <v>0</v>
      </c>
      <c r="X20" s="327">
        <v>0</v>
      </c>
      <c r="Y20" s="14">
        <f t="shared" si="3"/>
        <v>0</v>
      </c>
      <c r="AA20" s="28"/>
      <c r="AB20" s="28"/>
      <c r="AC20" s="28"/>
      <c r="AD20" s="28"/>
      <c r="AE20" s="28"/>
      <c r="AF20" s="28"/>
      <c r="AG20" s="28"/>
    </row>
    <row r="21" spans="2:33" x14ac:dyDescent="0.3">
      <c r="B21" s="232"/>
      <c r="C21" s="171" t="s">
        <v>266</v>
      </c>
      <c r="D21" s="171" t="str">
        <f>INDEX(Unit_Rates!$C$7:$K$54,MATCH($C21,Unit_Rates!$C$7:$C$54,0),5)</f>
        <v>SCADA/Network control</v>
      </c>
      <c r="E21" s="171" t="str">
        <f>INDEX(Unit_Rates!$C$7:$K$54,MATCH($C21,Unit_Rates!$C$7:$C$54,0),6)</f>
        <v>Augmentation</v>
      </c>
      <c r="F21" s="171" t="str">
        <f t="shared" si="4"/>
        <v>SCADA/Network controlAugmentation</v>
      </c>
      <c r="G21" s="268">
        <f>INDEX(Unit_Rates!$C$7:$K$54,MATCH($C21,Unit_Rates!$C$7:$C$54,0),7)</f>
        <v>1084.7777777777778</v>
      </c>
      <c r="H21" s="299">
        <v>2</v>
      </c>
      <c r="I21" s="264" t="s">
        <v>292</v>
      </c>
      <c r="J21" s="157"/>
      <c r="K21" s="226">
        <f>G21*H21</f>
        <v>2169.5555555555557</v>
      </c>
      <c r="L21" s="302">
        <f t="shared" si="2"/>
        <v>0</v>
      </c>
      <c r="M21" s="356"/>
      <c r="N21" s="568"/>
      <c r="O21" s="573"/>
      <c r="P21" s="569"/>
      <c r="Q21" s="336">
        <f>P21-H21*VLOOKUP(C21,Unit_Rates!$C$7:$E$39,3,FALSE)</f>
        <v>0</v>
      </c>
      <c r="R21" s="327">
        <v>0</v>
      </c>
      <c r="S21" s="327">
        <v>0</v>
      </c>
      <c r="T21" s="327">
        <v>0</v>
      </c>
      <c r="U21" s="327">
        <v>0</v>
      </c>
      <c r="V21" s="327">
        <v>0</v>
      </c>
      <c r="W21" s="327">
        <v>0</v>
      </c>
      <c r="X21" s="327">
        <v>0</v>
      </c>
      <c r="Y21" s="14">
        <f t="shared" si="3"/>
        <v>0</v>
      </c>
      <c r="AA21" s="28"/>
      <c r="AB21" s="28"/>
      <c r="AC21" s="28"/>
      <c r="AD21" s="28"/>
      <c r="AE21" s="28"/>
      <c r="AF21" s="28"/>
      <c r="AG21" s="28"/>
    </row>
    <row r="22" spans="2:33" x14ac:dyDescent="0.3">
      <c r="B22" s="232"/>
      <c r="C22" s="171" t="s">
        <v>308</v>
      </c>
      <c r="D22" s="171" t="str">
        <f>INDEX(Unit_Rates!$C$7:$K$54,MATCH($C22,Unit_Rates!$C$7:$C$54,0),5)</f>
        <v>Subtransmission</v>
      </c>
      <c r="E22" s="171" t="str">
        <f>INDEX(Unit_Rates!$C$7:$K$54,MATCH($C22,Unit_Rates!$C$7:$C$54,0),6)</f>
        <v>Augmentation</v>
      </c>
      <c r="F22" s="171" t="str">
        <f t="shared" si="4"/>
        <v>SubtransmissionAugmentation</v>
      </c>
      <c r="G22" s="268">
        <f>INDEX(Unit_Rates!$C$7:$K$54,MATCH($C22,Unit_Rates!$C$7:$C$54,0),7)</f>
        <v>0</v>
      </c>
      <c r="H22" s="299">
        <v>2</v>
      </c>
      <c r="I22" s="264" t="s">
        <v>292</v>
      </c>
      <c r="J22" s="157"/>
      <c r="K22" s="226">
        <f>G22*H22</f>
        <v>0</v>
      </c>
      <c r="L22" s="302">
        <f t="shared" si="2"/>
        <v>0</v>
      </c>
      <c r="M22" s="356"/>
      <c r="N22" s="568"/>
      <c r="O22" s="573"/>
      <c r="P22" s="569"/>
      <c r="Q22" s="336">
        <f>P22-H22*VLOOKUP(C22,Unit_Rates!$C$7:$E$39,3,FALSE)</f>
        <v>0</v>
      </c>
      <c r="R22" s="327">
        <v>0</v>
      </c>
      <c r="S22" s="327">
        <v>0</v>
      </c>
      <c r="T22" s="327">
        <v>0</v>
      </c>
      <c r="U22" s="327">
        <v>0</v>
      </c>
      <c r="V22" s="327">
        <v>0</v>
      </c>
      <c r="W22" s="327">
        <v>0</v>
      </c>
      <c r="X22" s="327">
        <v>0</v>
      </c>
      <c r="Y22" s="14">
        <f t="shared" si="3"/>
        <v>0</v>
      </c>
      <c r="AA22" s="28"/>
      <c r="AB22" s="28"/>
      <c r="AC22" s="28"/>
      <c r="AD22" s="28"/>
      <c r="AE22" s="28"/>
      <c r="AF22" s="28"/>
      <c r="AG22" s="28"/>
    </row>
    <row r="23" spans="2:33" x14ac:dyDescent="0.3">
      <c r="B23" s="232"/>
      <c r="C23" s="171" t="s">
        <v>280</v>
      </c>
      <c r="D23" s="171" t="str">
        <f>INDEX(Unit_Rates!$C$7:$K$54,MATCH($C23,Unit_Rates!$C$7:$C$54,0),5)</f>
        <v>Subtransmission</v>
      </c>
      <c r="E23" s="171" t="str">
        <f>INDEX(Unit_Rates!$C$7:$K$54,MATCH($C23,Unit_Rates!$C$7:$C$54,0),6)</f>
        <v>Augmentation</v>
      </c>
      <c r="F23" s="171" t="str">
        <f t="shared" si="4"/>
        <v>SubtransmissionAugmentation</v>
      </c>
      <c r="G23" s="268">
        <f>INDEX(Unit_Rates!$C$7:$K$54,MATCH($C23,Unit_Rates!$C$7:$C$54,0),7)</f>
        <v>1249.4511627906975</v>
      </c>
      <c r="H23" s="299"/>
      <c r="I23" s="264" t="s">
        <v>292</v>
      </c>
      <c r="J23" s="157"/>
      <c r="K23" s="226">
        <f t="shared" ref="K23:K39" si="5">G23*H23</f>
        <v>0</v>
      </c>
      <c r="L23" s="302">
        <f t="shared" si="2"/>
        <v>0</v>
      </c>
      <c r="M23" s="356"/>
      <c r="N23" s="568"/>
      <c r="O23" s="573"/>
      <c r="P23" s="569"/>
      <c r="Q23" s="336">
        <f>P23-H23*VLOOKUP(C23,Unit_Rates!$C$7:$E$39,3,FALSE)</f>
        <v>0</v>
      </c>
      <c r="R23" s="327">
        <v>0</v>
      </c>
      <c r="S23" s="327">
        <v>0</v>
      </c>
      <c r="T23" s="327">
        <v>0</v>
      </c>
      <c r="U23" s="327">
        <v>0</v>
      </c>
      <c r="V23" s="327">
        <v>0</v>
      </c>
      <c r="W23" s="327">
        <v>0</v>
      </c>
      <c r="X23" s="327">
        <v>0</v>
      </c>
      <c r="Y23" s="14">
        <f t="shared" si="3"/>
        <v>0</v>
      </c>
      <c r="AA23" s="28"/>
      <c r="AB23" s="28"/>
      <c r="AC23" s="28"/>
      <c r="AD23" s="28"/>
      <c r="AE23" s="28"/>
      <c r="AF23" s="28"/>
      <c r="AG23" s="28"/>
    </row>
    <row r="24" spans="2:33" x14ac:dyDescent="0.3">
      <c r="B24" s="232"/>
      <c r="C24" s="171" t="s">
        <v>279</v>
      </c>
      <c r="D24" s="171" t="str">
        <f>INDEX(Unit_Rates!$C$7:$K$54,MATCH($C24,Unit_Rates!$C$7:$C$54,0),5)</f>
        <v>Subtransmission</v>
      </c>
      <c r="E24" s="171" t="str">
        <f>INDEX(Unit_Rates!$C$7:$K$54,MATCH($C24,Unit_Rates!$C$7:$C$54,0),6)</f>
        <v>Augmentation</v>
      </c>
      <c r="F24" s="171" t="str">
        <f t="shared" si="4"/>
        <v>SubtransmissionAugmentation</v>
      </c>
      <c r="G24" s="268">
        <f>INDEX(Unit_Rates!$C$7:$K$54,MATCH($C24,Unit_Rates!$C$7:$C$54,0),7)</f>
        <v>1378.3627906976742</v>
      </c>
      <c r="H24" s="299"/>
      <c r="I24" s="264" t="s">
        <v>292</v>
      </c>
      <c r="J24" s="157"/>
      <c r="K24" s="226">
        <f t="shared" si="5"/>
        <v>0</v>
      </c>
      <c r="L24" s="302">
        <f t="shared" si="2"/>
        <v>0</v>
      </c>
      <c r="M24" s="356"/>
      <c r="N24" s="568"/>
      <c r="O24" s="573"/>
      <c r="P24" s="569"/>
      <c r="Q24" s="336">
        <f>P24-H24*VLOOKUP(C24,Unit_Rates!$C$7:$E$39,3,FALSE)</f>
        <v>0</v>
      </c>
      <c r="R24" s="327">
        <v>0</v>
      </c>
      <c r="S24" s="327">
        <v>0</v>
      </c>
      <c r="T24" s="327">
        <v>0</v>
      </c>
      <c r="U24" s="327">
        <v>0</v>
      </c>
      <c r="V24" s="327">
        <v>0</v>
      </c>
      <c r="W24" s="327">
        <v>0</v>
      </c>
      <c r="X24" s="327">
        <v>0</v>
      </c>
      <c r="Y24" s="14">
        <f t="shared" si="3"/>
        <v>0</v>
      </c>
    </row>
    <row r="25" spans="2:33" x14ac:dyDescent="0.3">
      <c r="B25" s="232"/>
      <c r="C25" s="171" t="s">
        <v>518</v>
      </c>
      <c r="D25" s="171" t="str">
        <f>INDEX(Unit_Rates!$C$7:$K$54,MATCH($C25,Unit_Rates!$C$7:$C$54,0),5)</f>
        <v>Subtransmission</v>
      </c>
      <c r="E25" s="171" t="str">
        <f>INDEX(Unit_Rates!$C$7:$K$54,MATCH($C25,Unit_Rates!$C$7:$C$54,0),6)</f>
        <v>Augmentation</v>
      </c>
      <c r="F25" s="171" t="str">
        <f t="shared" si="4"/>
        <v>SubtransmissionAugmentation</v>
      </c>
      <c r="G25" s="268">
        <f>INDEX(Unit_Rates!$C$7:$K$54,MATCH($C25,Unit_Rates!$C$7:$C$54,0),7)</f>
        <v>196.83714790697672</v>
      </c>
      <c r="H25" s="299">
        <v>2</v>
      </c>
      <c r="I25" s="264" t="s">
        <v>292</v>
      </c>
      <c r="J25" s="157"/>
      <c r="K25" s="226">
        <f t="shared" si="5"/>
        <v>393.67429581395345</v>
      </c>
      <c r="L25" s="302">
        <f t="shared" si="2"/>
        <v>0</v>
      </c>
      <c r="M25" s="356"/>
      <c r="N25" s="568"/>
      <c r="O25" s="573"/>
      <c r="P25" s="569"/>
      <c r="Q25" s="336">
        <f>P25-H25*VLOOKUP(C25,Unit_Rates!$C$7:$E$39,3,FALSE)</f>
        <v>0</v>
      </c>
      <c r="R25" s="327">
        <v>0</v>
      </c>
      <c r="S25" s="327">
        <v>0</v>
      </c>
      <c r="T25" s="327">
        <v>0</v>
      </c>
      <c r="U25" s="327">
        <v>0</v>
      </c>
      <c r="V25" s="327">
        <v>0</v>
      </c>
      <c r="W25" s="327">
        <v>0</v>
      </c>
      <c r="X25" s="327">
        <v>0</v>
      </c>
      <c r="Y25" s="14">
        <f t="shared" si="3"/>
        <v>0</v>
      </c>
    </row>
    <row r="26" spans="2:33" x14ac:dyDescent="0.3">
      <c r="B26" s="232"/>
      <c r="C26" s="171" t="s">
        <v>373</v>
      </c>
      <c r="D26" s="171" t="str">
        <f>INDEX(Unit_Rates!$C$7:$K$54,MATCH($C26,Unit_Rates!$C$7:$C$54,0),5)</f>
        <v>Subtransmission</v>
      </c>
      <c r="E26" s="171" t="str">
        <f>INDEX(Unit_Rates!$C$7:$K$54,MATCH($C26,Unit_Rates!$C$7:$C$54,0),6)</f>
        <v>Augmentation</v>
      </c>
      <c r="F26" s="171" t="str">
        <f t="shared" si="4"/>
        <v>SubtransmissionAugmentation</v>
      </c>
      <c r="G26" s="268">
        <f>INDEX(Unit_Rates!$C$7:$K$54,MATCH($C26,Unit_Rates!$C$7:$C$54,0),7)</f>
        <v>0</v>
      </c>
      <c r="H26" s="299">
        <v>2</v>
      </c>
      <c r="I26" s="264" t="s">
        <v>292</v>
      </c>
      <c r="J26" s="157"/>
      <c r="K26" s="226">
        <f t="shared" ref="K26" si="6">G26*H26</f>
        <v>0</v>
      </c>
      <c r="L26" s="302">
        <f t="shared" si="2"/>
        <v>0</v>
      </c>
      <c r="M26" s="356"/>
      <c r="N26" s="568"/>
      <c r="O26" s="573"/>
      <c r="P26" s="569"/>
      <c r="Q26" s="336">
        <f>P26-H26*VLOOKUP(C26,Unit_Rates!$C$7:$E$39,3,FALSE)</f>
        <v>0</v>
      </c>
      <c r="R26" s="327">
        <v>0</v>
      </c>
      <c r="S26" s="327">
        <v>0</v>
      </c>
      <c r="T26" s="327">
        <v>0</v>
      </c>
      <c r="U26" s="327">
        <v>0</v>
      </c>
      <c r="V26" s="327">
        <v>0</v>
      </c>
      <c r="W26" s="327">
        <v>0</v>
      </c>
      <c r="X26" s="327">
        <v>0</v>
      </c>
      <c r="Y26" s="14">
        <f t="shared" si="3"/>
        <v>0</v>
      </c>
    </row>
    <row r="27" spans="2:33" x14ac:dyDescent="0.3">
      <c r="B27" s="232"/>
      <c r="C27" s="171" t="s">
        <v>350</v>
      </c>
      <c r="D27" s="171" t="str">
        <f>INDEX(Unit_Rates!$C$7:$K$54,MATCH($C27,Unit_Rates!$C$7:$C$54,0),5)</f>
        <v>Subtransmission</v>
      </c>
      <c r="E27" s="171" t="str">
        <f>INDEX(Unit_Rates!$C$7:$K$54,MATCH($C27,Unit_Rates!$C$7:$C$54,0),6)</f>
        <v>Augmentation</v>
      </c>
      <c r="F27" s="171" t="str">
        <f t="shared" si="4"/>
        <v>SubtransmissionAugmentation</v>
      </c>
      <c r="G27" s="268">
        <f>INDEX(Unit_Rates!$C$7:$K$54,MATCH($C27,Unit_Rates!$C$7:$C$54,0),7)</f>
        <v>62.900871086556172</v>
      </c>
      <c r="H27" s="299"/>
      <c r="I27" s="264" t="s">
        <v>292</v>
      </c>
      <c r="J27" s="157"/>
      <c r="K27" s="226">
        <f t="shared" ref="K27:K33" si="7">G27*H27</f>
        <v>0</v>
      </c>
      <c r="L27" s="302">
        <f t="shared" si="2"/>
        <v>0</v>
      </c>
      <c r="M27" s="356"/>
      <c r="N27" s="568"/>
      <c r="O27" s="573"/>
      <c r="P27" s="569"/>
      <c r="Q27" s="336">
        <f>P27-H27*VLOOKUP(C27,Unit_Rates!$C$7:$E$39,3,FALSE)</f>
        <v>0</v>
      </c>
      <c r="R27" s="327">
        <v>0</v>
      </c>
      <c r="S27" s="327">
        <v>0</v>
      </c>
      <c r="T27" s="327">
        <v>0</v>
      </c>
      <c r="U27" s="327">
        <v>0</v>
      </c>
      <c r="V27" s="327">
        <v>0</v>
      </c>
      <c r="W27" s="327">
        <v>0</v>
      </c>
      <c r="X27" s="327">
        <v>0</v>
      </c>
      <c r="Y27" s="14">
        <f t="shared" si="3"/>
        <v>0</v>
      </c>
    </row>
    <row r="28" spans="2:33" x14ac:dyDescent="0.3">
      <c r="B28" s="232"/>
      <c r="C28" s="171" t="s">
        <v>334</v>
      </c>
      <c r="D28" s="171" t="str">
        <f>INDEX(Unit_Rates!$C$7:$K$54,MATCH($C28,Unit_Rates!$C$7:$C$54,0),5)</f>
        <v>Subtransmission</v>
      </c>
      <c r="E28" s="171" t="str">
        <f>INDEX(Unit_Rates!$C$7:$K$54,MATCH($C28,Unit_Rates!$C$7:$C$54,0),6)</f>
        <v>Augmentation</v>
      </c>
      <c r="F28" s="171" t="str">
        <f t="shared" si="4"/>
        <v>SubtransmissionAugmentation</v>
      </c>
      <c r="G28" s="268">
        <f>INDEX(Unit_Rates!$C$7:$K$54,MATCH($C28,Unit_Rates!$C$7:$C$54,0),7)</f>
        <v>6.8116309209302308</v>
      </c>
      <c r="H28" s="299"/>
      <c r="I28" s="264" t="s">
        <v>292</v>
      </c>
      <c r="J28" s="157"/>
      <c r="K28" s="226">
        <f t="shared" si="7"/>
        <v>0</v>
      </c>
      <c r="L28" s="302">
        <f t="shared" si="2"/>
        <v>0</v>
      </c>
      <c r="M28" s="356"/>
      <c r="N28" s="568"/>
      <c r="O28" s="573"/>
      <c r="P28" s="569"/>
      <c r="Q28" s="336">
        <f>P28-H28*VLOOKUP(C28,Unit_Rates!$C$7:$E$39,3,FALSE)</f>
        <v>0</v>
      </c>
      <c r="R28" s="327">
        <v>0</v>
      </c>
      <c r="S28" s="327">
        <v>0</v>
      </c>
      <c r="T28" s="327">
        <v>0</v>
      </c>
      <c r="U28" s="327">
        <v>0</v>
      </c>
      <c r="V28" s="327">
        <v>0</v>
      </c>
      <c r="W28" s="327">
        <v>0</v>
      </c>
      <c r="X28" s="327">
        <v>0</v>
      </c>
      <c r="Y28" s="14">
        <f t="shared" si="3"/>
        <v>0</v>
      </c>
    </row>
    <row r="29" spans="2:33" x14ac:dyDescent="0.3">
      <c r="B29" s="232"/>
      <c r="C29" s="171" t="s">
        <v>333</v>
      </c>
      <c r="D29" s="171" t="str">
        <f>INDEX(Unit_Rates!$C$7:$K$54,MATCH($C29,Unit_Rates!$C$7:$C$54,0),5)</f>
        <v>Subtransmission</v>
      </c>
      <c r="E29" s="171" t="str">
        <f>INDEX(Unit_Rates!$C$7:$K$54,MATCH($C29,Unit_Rates!$C$7:$C$54,0),6)</f>
        <v>Augmentation</v>
      </c>
      <c r="F29" s="171" t="str">
        <f t="shared" si="4"/>
        <v>SubtransmissionAugmentation</v>
      </c>
      <c r="G29" s="268">
        <f>INDEX(Unit_Rates!$C$7:$K$54,MATCH($C29,Unit_Rates!$C$7:$C$54,0),7)</f>
        <v>0</v>
      </c>
      <c r="H29" s="299"/>
      <c r="I29" s="264" t="s">
        <v>292</v>
      </c>
      <c r="J29" s="157"/>
      <c r="K29" s="226">
        <f t="shared" si="7"/>
        <v>0</v>
      </c>
      <c r="L29" s="302">
        <f t="shared" si="2"/>
        <v>0</v>
      </c>
      <c r="M29" s="356"/>
      <c r="N29" s="568"/>
      <c r="O29" s="573"/>
      <c r="P29" s="569"/>
      <c r="Q29" s="336">
        <f>P29-H29*VLOOKUP(C29,Unit_Rates!$C$7:$E$39,3,FALSE)</f>
        <v>0</v>
      </c>
      <c r="R29" s="327">
        <v>0</v>
      </c>
      <c r="S29" s="327">
        <v>0</v>
      </c>
      <c r="T29" s="327">
        <v>0</v>
      </c>
      <c r="U29" s="327">
        <v>0</v>
      </c>
      <c r="V29" s="327">
        <v>0</v>
      </c>
      <c r="W29" s="327">
        <v>0</v>
      </c>
      <c r="X29" s="327">
        <v>0</v>
      </c>
      <c r="Y29" s="14">
        <f t="shared" si="3"/>
        <v>0</v>
      </c>
    </row>
    <row r="30" spans="2:33" ht="15" x14ac:dyDescent="0.25">
      <c r="B30" s="232"/>
      <c r="C30" s="236" t="s">
        <v>493</v>
      </c>
      <c r="D30" s="171" t="str">
        <f>INDEX(Unit_Rates!$C$7:$K$54,MATCH($C30,Unit_Rates!$C$7:$C$54,0),5)</f>
        <v>Subtransmission</v>
      </c>
      <c r="E30" s="171" t="str">
        <f>INDEX(Unit_Rates!$C$7:$K$54,MATCH($C30,Unit_Rates!$C$7:$C$54,0),6)</f>
        <v>Augmentation</v>
      </c>
      <c r="F30" s="171" t="str">
        <f t="shared" ref="F30" si="8">D30&amp;E30</f>
        <v>SubtransmissionAugmentation</v>
      </c>
      <c r="G30" s="268">
        <f>INDEX(Unit_Rates!$C$7:$K$54,MATCH($C30,Unit_Rates!$C$7:$C$54,0),7)</f>
        <v>0</v>
      </c>
      <c r="H30" s="299">
        <f ca="1">OFFSET(Feeder_Vols!$C$6,MATCH($B$3,Feeder_Vols!$B$7:$B$15,0),0)</f>
        <v>10</v>
      </c>
      <c r="I30" s="264" t="s">
        <v>292</v>
      </c>
      <c r="J30" s="157"/>
      <c r="K30" s="226">
        <f t="shared" ca="1" si="7"/>
        <v>0</v>
      </c>
      <c r="L30" s="302">
        <f t="shared" si="2"/>
        <v>0</v>
      </c>
      <c r="M30" s="356"/>
      <c r="N30" s="568"/>
      <c r="O30" s="568"/>
      <c r="P30" s="569"/>
      <c r="Q30" s="336">
        <f ca="1">P30-H30*VLOOKUP(C30,Unit_Rates!$C$7:$E$39,3,FALSE)</f>
        <v>0</v>
      </c>
      <c r="R30" s="327">
        <v>0</v>
      </c>
      <c r="S30" s="327">
        <v>0</v>
      </c>
      <c r="T30" s="327">
        <v>0</v>
      </c>
      <c r="U30" s="327">
        <v>0</v>
      </c>
      <c r="V30" s="327">
        <v>0</v>
      </c>
      <c r="W30" s="327">
        <v>0</v>
      </c>
      <c r="X30" s="327">
        <v>0</v>
      </c>
      <c r="Y30" s="14">
        <f t="shared" si="3"/>
        <v>0</v>
      </c>
    </row>
    <row r="31" spans="2:33" ht="15" x14ac:dyDescent="0.25">
      <c r="B31" s="232"/>
      <c r="C31" s="171" t="s">
        <v>335</v>
      </c>
      <c r="D31" s="171" t="str">
        <f>INDEX(Unit_Rates!$C$7:$K$54,MATCH($C31,Unit_Rates!$C$7:$C$54,0),5)</f>
        <v>Subtransmission</v>
      </c>
      <c r="E31" s="171" t="str">
        <f>INDEX(Unit_Rates!$C$7:$K$54,MATCH($C31,Unit_Rates!$C$7:$C$54,0),6)</f>
        <v>Augmentation</v>
      </c>
      <c r="F31" s="171" t="str">
        <f t="shared" si="4"/>
        <v>SubtransmissionAugmentation</v>
      </c>
      <c r="G31" s="268">
        <f>INDEX(Unit_Rates!$C$7:$K$54,MATCH($C31,Unit_Rates!$C$7:$C$54,0),7)</f>
        <v>0</v>
      </c>
      <c r="H31" s="299">
        <v>9</v>
      </c>
      <c r="I31" s="264" t="s">
        <v>292</v>
      </c>
      <c r="J31" s="157"/>
      <c r="K31" s="226">
        <f t="shared" si="7"/>
        <v>0</v>
      </c>
      <c r="L31" s="302">
        <f t="shared" si="2"/>
        <v>0</v>
      </c>
      <c r="M31" s="356"/>
      <c r="N31" s="568"/>
      <c r="O31" s="573"/>
      <c r="P31" s="569"/>
      <c r="Q31" s="336">
        <f>P31-H31*VLOOKUP(C31,Unit_Rates!$C$7:$E$39,3,FALSE)</f>
        <v>0</v>
      </c>
      <c r="R31" s="327">
        <v>0</v>
      </c>
      <c r="S31" s="327">
        <v>0</v>
      </c>
      <c r="T31" s="327">
        <v>0</v>
      </c>
      <c r="U31" s="327">
        <v>0</v>
      </c>
      <c r="V31" s="327">
        <v>0</v>
      </c>
      <c r="W31" s="327">
        <v>0</v>
      </c>
      <c r="X31" s="327">
        <v>0</v>
      </c>
      <c r="Y31" s="14">
        <f t="shared" si="3"/>
        <v>0</v>
      </c>
    </row>
    <row r="32" spans="2:33" ht="15" x14ac:dyDescent="0.25">
      <c r="B32" s="232"/>
      <c r="C32" s="171" t="s">
        <v>336</v>
      </c>
      <c r="D32" s="171" t="str">
        <f>INDEX(Unit_Rates!$C$7:$K$54,MATCH($C32,Unit_Rates!$C$7:$C$54,0),5)</f>
        <v>Subtransmission</v>
      </c>
      <c r="E32" s="171" t="str">
        <f>INDEX(Unit_Rates!$C$7:$K$54,MATCH($C32,Unit_Rates!$C$7:$C$54,0),6)</f>
        <v>Augmentation</v>
      </c>
      <c r="F32" s="171" t="str">
        <f t="shared" si="4"/>
        <v>SubtransmissionAugmentation</v>
      </c>
      <c r="G32" s="268">
        <f>INDEX(Unit_Rates!$C$7:$K$54,MATCH($C32,Unit_Rates!$C$7:$C$54,0),7)</f>
        <v>0.60844172586161538</v>
      </c>
      <c r="H32" s="299">
        <v>6</v>
      </c>
      <c r="I32" s="264" t="s">
        <v>292</v>
      </c>
      <c r="J32" s="157"/>
      <c r="K32" s="226">
        <f t="shared" si="7"/>
        <v>3.6506503551696925</v>
      </c>
      <c r="L32" s="302">
        <f t="shared" si="2"/>
        <v>0</v>
      </c>
      <c r="M32" s="356"/>
      <c r="N32" s="568"/>
      <c r="O32" s="573"/>
      <c r="P32" s="569"/>
      <c r="Q32" s="336">
        <f>P32-H32*VLOOKUP(C32,Unit_Rates!$C$7:$E$39,3,FALSE)</f>
        <v>0</v>
      </c>
      <c r="R32" s="327">
        <v>0</v>
      </c>
      <c r="S32" s="327">
        <v>0</v>
      </c>
      <c r="T32" s="327">
        <v>0</v>
      </c>
      <c r="U32" s="327">
        <v>0</v>
      </c>
      <c r="V32" s="327">
        <v>0</v>
      </c>
      <c r="W32" s="327">
        <v>0</v>
      </c>
      <c r="X32" s="327">
        <v>0</v>
      </c>
      <c r="Y32" s="14">
        <f t="shared" si="3"/>
        <v>0</v>
      </c>
    </row>
    <row r="33" spans="2:54" ht="15" x14ac:dyDescent="0.25">
      <c r="B33" s="232"/>
      <c r="C33" s="171" t="s">
        <v>495</v>
      </c>
      <c r="D33" s="171" t="str">
        <f>INDEX(Unit_Rates!$C$7:$K$54,MATCH($C33,Unit_Rates!$C$7:$C$54,0),5)</f>
        <v>Subtransmission</v>
      </c>
      <c r="E33" s="171" t="str">
        <f>INDEX(Unit_Rates!$C$7:$K$54,MATCH($C33,Unit_Rates!$C$7:$C$54,0),6)</f>
        <v>Augmentation</v>
      </c>
      <c r="F33" s="171" t="str">
        <f t="shared" si="4"/>
        <v>SubtransmissionAugmentation</v>
      </c>
      <c r="G33" s="268">
        <f>INDEX(Unit_Rates!$C$7:$K$54,MATCH($C33,Unit_Rates!$C$7:$C$54,0),7)</f>
        <v>0</v>
      </c>
      <c r="H33" s="299">
        <v>1</v>
      </c>
      <c r="I33" s="264" t="s">
        <v>292</v>
      </c>
      <c r="J33" s="157"/>
      <c r="K33" s="226">
        <f t="shared" si="7"/>
        <v>0</v>
      </c>
      <c r="L33" s="302">
        <f t="shared" si="2"/>
        <v>0</v>
      </c>
      <c r="M33" s="356"/>
      <c r="N33" s="568"/>
      <c r="O33" s="573"/>
      <c r="P33" s="569"/>
      <c r="Q33" s="336">
        <f>P33-H33*VLOOKUP(C33,Unit_Rates!$C$7:$E$39,3,FALSE)</f>
        <v>0</v>
      </c>
      <c r="R33" s="327">
        <v>0</v>
      </c>
      <c r="S33" s="327">
        <v>0</v>
      </c>
      <c r="T33" s="327">
        <v>0</v>
      </c>
      <c r="U33" s="327">
        <v>0</v>
      </c>
      <c r="V33" s="327">
        <v>0</v>
      </c>
      <c r="W33" s="327">
        <v>0</v>
      </c>
      <c r="X33" s="327">
        <v>0</v>
      </c>
      <c r="Y33" s="14">
        <f t="shared" si="3"/>
        <v>0</v>
      </c>
    </row>
    <row r="34" spans="2:54" x14ac:dyDescent="0.3">
      <c r="B34" s="232"/>
      <c r="C34" s="171" t="s">
        <v>209</v>
      </c>
      <c r="D34" s="171" t="str">
        <f>INDEX(Unit_Rates!$C$7:$K$54,MATCH($C34,Unit_Rates!$C$7:$C$54,0),5)</f>
        <v>Subtransmission</v>
      </c>
      <c r="E34" s="171" t="str">
        <f>INDEX(Unit_Rates!$C$7:$K$54,MATCH($C34,Unit_Rates!$C$7:$C$54,0),6)</f>
        <v>Augmentation</v>
      </c>
      <c r="F34" s="171" t="str">
        <f t="shared" si="4"/>
        <v>SubtransmissionAugmentation</v>
      </c>
      <c r="G34" s="268">
        <f>INDEX(Unit_Rates!$C$7:$K$54,MATCH($C34,Unit_Rates!$C$7:$C$54,0),7)</f>
        <v>94.457808471454882</v>
      </c>
      <c r="H34" s="299">
        <v>2</v>
      </c>
      <c r="I34" s="264" t="s">
        <v>292</v>
      </c>
      <c r="J34" s="157"/>
      <c r="K34" s="226">
        <f t="shared" si="5"/>
        <v>188.91561694290976</v>
      </c>
      <c r="L34" s="302">
        <f t="shared" si="2"/>
        <v>0</v>
      </c>
      <c r="M34" s="356"/>
      <c r="N34" s="568"/>
      <c r="O34" s="573"/>
      <c r="P34" s="569"/>
      <c r="Q34" s="336">
        <f>P34-H34*VLOOKUP(C34,Unit_Rates!$C$7:$E$39,3,FALSE)</f>
        <v>0</v>
      </c>
      <c r="R34" s="327">
        <v>0</v>
      </c>
      <c r="S34" s="327">
        <v>0</v>
      </c>
      <c r="T34" s="327">
        <v>0</v>
      </c>
      <c r="U34" s="327">
        <v>0</v>
      </c>
      <c r="V34" s="327">
        <v>0</v>
      </c>
      <c r="W34" s="327">
        <v>0</v>
      </c>
      <c r="X34" s="327">
        <v>0</v>
      </c>
      <c r="Y34" s="14">
        <f t="shared" si="3"/>
        <v>0</v>
      </c>
    </row>
    <row r="35" spans="2:54" x14ac:dyDescent="0.3">
      <c r="B35" s="232"/>
      <c r="C35" s="171" t="s">
        <v>212</v>
      </c>
      <c r="D35" s="171" t="str">
        <f>INDEX(Unit_Rates!$C$7:$K$54,MATCH($C35,Unit_Rates!$C$7:$C$54,0),5)</f>
        <v>Subtransmission</v>
      </c>
      <c r="E35" s="171" t="str">
        <f>INDEX(Unit_Rates!$C$7:$K$54,MATCH($C35,Unit_Rates!$C$7:$C$54,0),6)</f>
        <v>Augmentation</v>
      </c>
      <c r="F35" s="171" t="str">
        <f t="shared" si="4"/>
        <v>SubtransmissionAugmentation</v>
      </c>
      <c r="G35" s="268">
        <f>INDEX(Unit_Rates!$C$7:$K$54,MATCH($C35,Unit_Rates!$C$7:$C$54,0),7)</f>
        <v>0</v>
      </c>
      <c r="H35" s="299">
        <v>2</v>
      </c>
      <c r="I35" s="264" t="s">
        <v>292</v>
      </c>
      <c r="J35" s="157"/>
      <c r="K35" s="226">
        <f t="shared" si="5"/>
        <v>0</v>
      </c>
      <c r="L35" s="302">
        <f t="shared" si="2"/>
        <v>0</v>
      </c>
      <c r="M35" s="356"/>
      <c r="N35" s="568"/>
      <c r="O35" s="573"/>
      <c r="P35" s="569"/>
      <c r="Q35" s="336">
        <f>P35-H35*VLOOKUP(C35,Unit_Rates!$C$7:$E$39,3,FALSE)</f>
        <v>0</v>
      </c>
      <c r="R35" s="327">
        <v>0</v>
      </c>
      <c r="S35" s="327">
        <v>0</v>
      </c>
      <c r="T35" s="327">
        <v>0</v>
      </c>
      <c r="U35" s="327">
        <v>0</v>
      </c>
      <c r="V35" s="327">
        <v>0</v>
      </c>
      <c r="W35" s="327">
        <v>0</v>
      </c>
      <c r="X35" s="327">
        <v>0</v>
      </c>
      <c r="Y35" s="14">
        <f t="shared" si="3"/>
        <v>0</v>
      </c>
    </row>
    <row r="36" spans="2:54" x14ac:dyDescent="0.3">
      <c r="B36" s="232"/>
      <c r="C36" s="171" t="s">
        <v>364</v>
      </c>
      <c r="D36" s="171" t="str">
        <f>INDEX(Unit_Rates!$C$7:$K$54,MATCH($C36,Unit_Rates!$C$7:$C$54,0),5)</f>
        <v>Subtransmission</v>
      </c>
      <c r="E36" s="171" t="str">
        <f>INDEX(Unit_Rates!$C$7:$K$54,MATCH($C36,Unit_Rates!$C$7:$C$54,0),6)</f>
        <v>Augmentation</v>
      </c>
      <c r="F36" s="171" t="str">
        <f t="shared" si="4"/>
        <v>SubtransmissionAugmentation</v>
      </c>
      <c r="G36" s="268">
        <f>INDEX(Unit_Rates!$C$7:$K$54,MATCH($C36,Unit_Rates!$C$7:$C$54,0),7)</f>
        <v>226.61039779005526</v>
      </c>
      <c r="H36" s="299"/>
      <c r="I36" s="264" t="s">
        <v>292</v>
      </c>
      <c r="J36" s="157"/>
      <c r="K36" s="226">
        <f t="shared" si="5"/>
        <v>0</v>
      </c>
      <c r="L36" s="302">
        <f t="shared" si="2"/>
        <v>0</v>
      </c>
      <c r="M36" s="356"/>
      <c r="N36" s="568"/>
      <c r="O36" s="573"/>
      <c r="P36" s="569"/>
      <c r="Q36" s="336">
        <f>P36-H36*VLOOKUP(C36,Unit_Rates!$C$7:$E$39,3,FALSE)</f>
        <v>0</v>
      </c>
      <c r="R36" s="327">
        <v>0</v>
      </c>
      <c r="S36" s="327">
        <v>0</v>
      </c>
      <c r="T36" s="327">
        <v>0</v>
      </c>
      <c r="U36" s="327">
        <v>0</v>
      </c>
      <c r="V36" s="327">
        <v>0</v>
      </c>
      <c r="W36" s="327">
        <v>0</v>
      </c>
      <c r="X36" s="327">
        <v>0</v>
      </c>
      <c r="Y36" s="14">
        <f t="shared" si="3"/>
        <v>0</v>
      </c>
    </row>
    <row r="37" spans="2:54" x14ac:dyDescent="0.3">
      <c r="B37" s="232"/>
      <c r="C37" s="236" t="s">
        <v>273</v>
      </c>
      <c r="D37" s="171" t="str">
        <f>INDEX(Unit_Rates!$C$7:$K$54,MATCH($C37,Unit_Rates!$C$7:$C$54,0),5)</f>
        <v>Subtransmission</v>
      </c>
      <c r="E37" s="171" t="str">
        <f>INDEX(Unit_Rates!$C$7:$K$54,MATCH($C37,Unit_Rates!$C$7:$C$54,0),6)</f>
        <v>Augmentation</v>
      </c>
      <c r="F37" s="171" t="str">
        <f t="shared" si="4"/>
        <v>SubtransmissionAugmentation</v>
      </c>
      <c r="G37" s="268">
        <f>INDEX(Unit_Rates!$C$7:$K$54,MATCH($C37,Unit_Rates!$C$7:$C$54,0),7)</f>
        <v>362.24270165745855</v>
      </c>
      <c r="H37" s="299"/>
      <c r="I37" s="264" t="s">
        <v>292</v>
      </c>
      <c r="J37" s="157"/>
      <c r="K37" s="226">
        <f t="shared" si="5"/>
        <v>0</v>
      </c>
      <c r="L37" s="302">
        <f t="shared" si="2"/>
        <v>0</v>
      </c>
      <c r="M37" s="356"/>
      <c r="N37" s="568"/>
      <c r="O37" s="573"/>
      <c r="P37" s="569"/>
      <c r="Q37" s="336">
        <f>P37-H37*VLOOKUP(C37,Unit_Rates!$C$7:$E$39,3,FALSE)</f>
        <v>0</v>
      </c>
      <c r="R37" s="327">
        <v>0</v>
      </c>
      <c r="S37" s="327">
        <v>0</v>
      </c>
      <c r="T37" s="327">
        <v>0</v>
      </c>
      <c r="U37" s="327">
        <v>0</v>
      </c>
      <c r="V37" s="327">
        <v>0</v>
      </c>
      <c r="W37" s="327">
        <v>0</v>
      </c>
      <c r="X37" s="327">
        <v>0</v>
      </c>
      <c r="Y37" s="14">
        <f t="shared" si="3"/>
        <v>0</v>
      </c>
    </row>
    <row r="38" spans="2:54" x14ac:dyDescent="0.3">
      <c r="B38" s="232"/>
      <c r="C38" s="171" t="s">
        <v>303</v>
      </c>
      <c r="D38" s="171" t="s">
        <v>18</v>
      </c>
      <c r="E38" s="171" t="s">
        <v>42</v>
      </c>
      <c r="F38" s="171" t="str">
        <f t="shared" si="4"/>
        <v>SubtransmissionAugmentation</v>
      </c>
      <c r="G38" s="441">
        <v>9.8178084029931487E-2</v>
      </c>
      <c r="H38" s="299">
        <v>2690</v>
      </c>
      <c r="I38" s="264" t="s">
        <v>318</v>
      </c>
      <c r="J38" s="157"/>
      <c r="K38" s="226">
        <f t="shared" si="5"/>
        <v>264.0990460405157</v>
      </c>
      <c r="L38" s="302">
        <f t="shared" si="2"/>
        <v>0</v>
      </c>
      <c r="M38" s="356"/>
      <c r="N38" s="568"/>
      <c r="O38" s="573"/>
      <c r="P38" s="569"/>
      <c r="Q38" s="336"/>
      <c r="R38" s="327">
        <v>0</v>
      </c>
      <c r="S38" s="327">
        <v>0</v>
      </c>
      <c r="T38" s="327">
        <v>0</v>
      </c>
      <c r="U38" s="327">
        <v>0</v>
      </c>
      <c r="V38" s="327">
        <v>0</v>
      </c>
      <c r="W38" s="327">
        <v>0</v>
      </c>
      <c r="X38" s="327">
        <v>0</v>
      </c>
      <c r="Y38" s="14">
        <f t="shared" si="3"/>
        <v>0</v>
      </c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</row>
    <row r="39" spans="2:54" x14ac:dyDescent="0.3">
      <c r="B39" s="232"/>
      <c r="C39" s="171" t="s">
        <v>60</v>
      </c>
      <c r="D39" s="171" t="s">
        <v>18</v>
      </c>
      <c r="E39" s="171" t="s">
        <v>42</v>
      </c>
      <c r="F39" s="171" t="str">
        <f t="shared" si="4"/>
        <v>SubtransmissionAugmentation</v>
      </c>
      <c r="G39" s="441">
        <v>1.5724972375690609</v>
      </c>
      <c r="H39" s="468">
        <v>1</v>
      </c>
      <c r="I39" s="264" t="s">
        <v>292</v>
      </c>
      <c r="J39" s="157"/>
      <c r="K39" s="226">
        <f t="shared" si="5"/>
        <v>1.5724972375690609</v>
      </c>
      <c r="L39" s="227">
        <f t="shared" si="2"/>
        <v>0</v>
      </c>
      <c r="M39" s="356"/>
      <c r="N39" s="568"/>
      <c r="O39" s="573"/>
      <c r="P39" s="569"/>
      <c r="Q39" s="336"/>
      <c r="R39" s="327">
        <v>0</v>
      </c>
      <c r="S39" s="327">
        <v>0</v>
      </c>
      <c r="T39" s="327">
        <v>0</v>
      </c>
      <c r="U39" s="327">
        <v>0</v>
      </c>
      <c r="V39" s="327">
        <v>0</v>
      </c>
      <c r="W39" s="327">
        <v>0</v>
      </c>
      <c r="X39" s="327">
        <v>0</v>
      </c>
      <c r="Y39" s="14">
        <f t="shared" si="3"/>
        <v>0</v>
      </c>
      <c r="AN39" s="236"/>
      <c r="AO39" s="236"/>
      <c r="AP39" s="318"/>
      <c r="AQ39" s="546"/>
      <c r="AR39" s="318"/>
      <c r="AS39" s="318"/>
      <c r="AT39" s="318"/>
      <c r="AU39" s="318"/>
      <c r="AV39" s="318"/>
      <c r="AW39" s="318"/>
      <c r="AX39" s="547"/>
      <c r="AY39" s="548"/>
      <c r="AZ39" s="318"/>
      <c r="BA39" s="236"/>
      <c r="BB39" s="236"/>
    </row>
    <row r="40" spans="2:54" x14ac:dyDescent="0.3">
      <c r="B40" s="232"/>
      <c r="C40" s="171"/>
      <c r="D40" s="171"/>
      <c r="E40" s="171"/>
      <c r="F40" s="171"/>
      <c r="G40" s="268"/>
      <c r="H40" s="232"/>
      <c r="I40" s="224"/>
      <c r="J40" s="157"/>
      <c r="K40" s="225"/>
      <c r="L40" s="224"/>
      <c r="M40" s="224"/>
      <c r="N40" s="225"/>
      <c r="O40" s="225"/>
      <c r="P40" s="224"/>
      <c r="Q40" s="291"/>
      <c r="R40" s="326"/>
      <c r="S40" s="326"/>
      <c r="T40" s="326"/>
      <c r="U40" s="326"/>
      <c r="V40" s="326"/>
      <c r="W40" s="326"/>
      <c r="X40" s="326"/>
      <c r="Y40" s="14"/>
      <c r="AN40" s="236"/>
      <c r="AO40" s="236"/>
      <c r="AP40" s="318"/>
      <c r="AQ40" s="274"/>
      <c r="AR40" s="549"/>
      <c r="AS40" s="236"/>
      <c r="AT40" s="549"/>
      <c r="AU40" s="549"/>
      <c r="AV40" s="549"/>
      <c r="AW40" s="415"/>
      <c r="AX40" s="547"/>
      <c r="AY40" s="236"/>
      <c r="AZ40" s="416"/>
      <c r="BA40" s="236"/>
      <c r="BB40" s="236"/>
    </row>
    <row r="41" spans="2:54" x14ac:dyDescent="0.3">
      <c r="B41" s="251" t="s">
        <v>307</v>
      </c>
      <c r="C41" s="171"/>
      <c r="D41" s="171"/>
      <c r="E41" s="171"/>
      <c r="F41" s="171"/>
      <c r="G41" s="268"/>
      <c r="H41" s="277"/>
      <c r="I41" s="266"/>
      <c r="J41" s="274"/>
      <c r="K41" s="226"/>
      <c r="L41" s="226"/>
      <c r="M41" s="226"/>
      <c r="N41" s="281"/>
      <c r="O41" s="226"/>
      <c r="P41" s="223"/>
      <c r="Q41" s="290"/>
      <c r="R41" s="326"/>
      <c r="S41" s="326"/>
      <c r="T41" s="326"/>
      <c r="U41" s="326"/>
      <c r="V41" s="326"/>
      <c r="W41" s="326"/>
      <c r="X41" s="326"/>
      <c r="AN41" s="236"/>
      <c r="AO41" s="236"/>
      <c r="AP41" s="318"/>
      <c r="AQ41" s="274"/>
      <c r="AR41" s="549"/>
      <c r="AS41" s="549"/>
      <c r="AT41" s="549"/>
      <c r="AU41" s="549"/>
      <c r="AV41" s="549"/>
      <c r="AW41" s="415"/>
      <c r="AX41" s="547"/>
      <c r="AY41" s="236"/>
      <c r="AZ41" s="416"/>
      <c r="BA41" s="236"/>
      <c r="BB41" s="236"/>
    </row>
    <row r="42" spans="2:54" x14ac:dyDescent="0.3">
      <c r="B42" s="232"/>
      <c r="C42" s="276" t="s">
        <v>500</v>
      </c>
      <c r="D42" s="171" t="str">
        <f>INDEX(Unit_Rates!$C$7:$K$54,MATCH($C42,Unit_Rates!$C$7:$C$54,0),5)</f>
        <v>SCADA/Network control</v>
      </c>
      <c r="E42" s="171" t="str">
        <f>INDEX(Unit_Rates!$C$7:$K$54,MATCH($C42,Unit_Rates!$C$7:$C$54,0),6)</f>
        <v>Augmentation</v>
      </c>
      <c r="F42" s="171" t="str">
        <f t="shared" ref="F42:F50" si="9">D42&amp;E42</f>
        <v>SCADA/Network controlAugmentation</v>
      </c>
      <c r="G42" s="268">
        <f>INDEX(Unit_Rates!$C$7:$K$54,MATCH($C42,Unit_Rates!$C$7:$C$54,0),7)</f>
        <v>58.317856353591161</v>
      </c>
      <c r="H42" s="299">
        <v>1</v>
      </c>
      <c r="I42" s="264" t="s">
        <v>292</v>
      </c>
      <c r="J42" s="157"/>
      <c r="K42" s="225">
        <f>G42*H42</f>
        <v>58.317856353591161</v>
      </c>
      <c r="L42" s="225">
        <f t="shared" ref="L42:L50" si="10">SUMPRODUCT(R$5:X$5,R42:X42)/Thousands</f>
        <v>0</v>
      </c>
      <c r="M42" s="307"/>
      <c r="N42" s="568"/>
      <c r="O42" s="573"/>
      <c r="P42" s="569"/>
      <c r="Q42" s="336">
        <f>P42-H42*VLOOKUP(C42,Unit_Rates!$C$44:$E$54,3,FALSE)</f>
        <v>0</v>
      </c>
      <c r="R42" s="327">
        <v>0</v>
      </c>
      <c r="S42" s="327">
        <v>0</v>
      </c>
      <c r="T42" s="327">
        <v>0</v>
      </c>
      <c r="U42" s="327">
        <v>0</v>
      </c>
      <c r="V42" s="327">
        <v>0</v>
      </c>
      <c r="W42" s="327">
        <v>0</v>
      </c>
      <c r="X42" s="327">
        <v>0</v>
      </c>
      <c r="Y42" s="14">
        <f t="shared" ref="Y42:Y50" si="11">SUM(R42:X42)</f>
        <v>0</v>
      </c>
      <c r="AN42" s="236"/>
      <c r="AO42" s="236"/>
      <c r="AP42" s="318"/>
      <c r="AQ42" s="274"/>
      <c r="AR42" s="549"/>
      <c r="AS42" s="549"/>
      <c r="AT42" s="549"/>
      <c r="AU42" s="549"/>
      <c r="AV42" s="549"/>
      <c r="AW42" s="415"/>
      <c r="AX42" s="547"/>
      <c r="AY42" s="236"/>
      <c r="AZ42" s="416"/>
      <c r="BA42" s="236"/>
      <c r="BB42" s="236"/>
    </row>
    <row r="43" spans="2:54" x14ac:dyDescent="0.3">
      <c r="B43" s="232"/>
      <c r="C43" s="276" t="s">
        <v>319</v>
      </c>
      <c r="D43" s="171" t="str">
        <f>INDEX(Unit_Rates!$C$7:$K$54,MATCH($C43,Unit_Rates!$C$7:$C$54,0),5)</f>
        <v>SCADA/Network control</v>
      </c>
      <c r="E43" s="171" t="str">
        <f>INDEX(Unit_Rates!$C$7:$K$54,MATCH($C43,Unit_Rates!$C$7:$C$54,0),6)</f>
        <v>Augmentation</v>
      </c>
      <c r="F43" s="171" t="str">
        <f t="shared" si="9"/>
        <v>SCADA/Network controlAugmentation</v>
      </c>
      <c r="G43" s="268">
        <f>INDEX(Unit_Rates!$C$7:$K$54,MATCH($C43,Unit_Rates!$C$7:$C$54,0),7)</f>
        <v>5.88950276243094</v>
      </c>
      <c r="H43" s="299">
        <v>2</v>
      </c>
      <c r="I43" s="264" t="s">
        <v>292</v>
      </c>
      <c r="J43" s="157"/>
      <c r="K43" s="225">
        <f>G43*H43</f>
        <v>11.77900552486188</v>
      </c>
      <c r="L43" s="225">
        <f t="shared" si="10"/>
        <v>0</v>
      </c>
      <c r="M43" s="307"/>
      <c r="N43" s="568"/>
      <c r="O43" s="573"/>
      <c r="P43" s="569"/>
      <c r="Q43" s="336">
        <f>P43-H43*VLOOKUP(C43,Unit_Rates!$C$44:$E$54,3,FALSE)</f>
        <v>0</v>
      </c>
      <c r="R43" s="327">
        <v>0</v>
      </c>
      <c r="S43" s="327">
        <v>0</v>
      </c>
      <c r="T43" s="327">
        <v>0</v>
      </c>
      <c r="U43" s="327">
        <v>0</v>
      </c>
      <c r="V43" s="327">
        <v>0</v>
      </c>
      <c r="W43" s="327">
        <v>0</v>
      </c>
      <c r="X43" s="327">
        <v>0</v>
      </c>
      <c r="Y43" s="14">
        <f t="shared" si="11"/>
        <v>0</v>
      </c>
      <c r="AN43" s="236"/>
      <c r="AO43" s="236"/>
      <c r="AP43" s="318"/>
      <c r="AQ43" s="274"/>
      <c r="AR43" s="549"/>
      <c r="AS43" s="555"/>
      <c r="AT43" s="550"/>
      <c r="AU43" s="550"/>
      <c r="AV43" s="236"/>
      <c r="AW43" s="415"/>
      <c r="AX43" s="547"/>
      <c r="AY43" s="236"/>
      <c r="AZ43" s="416"/>
      <c r="BA43" s="236"/>
      <c r="BB43" s="236"/>
    </row>
    <row r="44" spans="2:54" x14ac:dyDescent="0.3">
      <c r="B44" s="232"/>
      <c r="C44" s="276" t="s">
        <v>321</v>
      </c>
      <c r="D44" s="171" t="str">
        <f>INDEX(Unit_Rates!$C$7:$K$54,MATCH($C44,Unit_Rates!$C$7:$C$54,0),5)</f>
        <v>SCADA/Network control</v>
      </c>
      <c r="E44" s="171" t="str">
        <f>INDEX(Unit_Rates!$C$7:$K$54,MATCH($C44,Unit_Rates!$C$7:$C$54,0),6)</f>
        <v>Augmentation</v>
      </c>
      <c r="F44" s="171" t="str">
        <f t="shared" si="9"/>
        <v>SCADA/Network controlAugmentation</v>
      </c>
      <c r="G44" s="268">
        <f>INDEX(Unit_Rates!$C$7:$K$54,MATCH($C44,Unit_Rates!$C$7:$C$54,0),7)</f>
        <v>8.2030957642725593</v>
      </c>
      <c r="H44" s="299">
        <v>2</v>
      </c>
      <c r="I44" s="264" t="s">
        <v>292</v>
      </c>
      <c r="J44" s="157"/>
      <c r="K44" s="225">
        <f t="shared" ref="K44:K45" si="12">G44*H44</f>
        <v>16.406191528545119</v>
      </c>
      <c r="L44" s="225">
        <f t="shared" si="10"/>
        <v>0</v>
      </c>
      <c r="M44" s="307"/>
      <c r="N44" s="568"/>
      <c r="O44" s="573"/>
      <c r="P44" s="569"/>
      <c r="Q44" s="336">
        <f>P44-H44*VLOOKUP(C44,Unit_Rates!$C$44:$E$54,3,FALSE)</f>
        <v>0</v>
      </c>
      <c r="R44" s="327">
        <v>0</v>
      </c>
      <c r="S44" s="327">
        <v>0</v>
      </c>
      <c r="T44" s="327">
        <v>0</v>
      </c>
      <c r="U44" s="327">
        <v>0</v>
      </c>
      <c r="V44" s="327">
        <v>0</v>
      </c>
      <c r="W44" s="327">
        <v>0</v>
      </c>
      <c r="X44" s="327">
        <v>0</v>
      </c>
      <c r="Y44" s="14">
        <f t="shared" si="11"/>
        <v>0</v>
      </c>
      <c r="AN44" s="236"/>
      <c r="AO44" s="236"/>
      <c r="AP44" s="236"/>
      <c r="AQ44" s="236"/>
      <c r="AR44" s="236"/>
      <c r="AS44" s="236"/>
      <c r="AT44" s="236"/>
      <c r="AU44" s="236"/>
      <c r="AV44" s="236"/>
      <c r="AW44" s="415"/>
      <c r="AX44" s="236"/>
      <c r="AY44" s="236"/>
      <c r="AZ44" s="416"/>
      <c r="BA44" s="236"/>
      <c r="BB44" s="236"/>
    </row>
    <row r="45" spans="2:54" x14ac:dyDescent="0.3">
      <c r="B45" s="232"/>
      <c r="C45" s="276" t="s">
        <v>521</v>
      </c>
      <c r="D45" s="171" t="str">
        <f>INDEX(Unit_Rates!$C$7:$K$54,MATCH($C45,Unit_Rates!$C$7:$C$54,0),5)</f>
        <v>SCADA/Network control</v>
      </c>
      <c r="E45" s="171" t="str">
        <f>INDEX(Unit_Rates!$C$7:$K$54,MATCH($C45,Unit_Rates!$C$7:$C$54,0),6)</f>
        <v>Augmentation</v>
      </c>
      <c r="F45" s="171" t="str">
        <f t="shared" si="9"/>
        <v>SCADA/Network controlAugmentation</v>
      </c>
      <c r="G45" s="268">
        <f>INDEX(Unit_Rates!$C$7:$K$54,MATCH($C45,Unit_Rates!$C$7:$C$54,0),7)</f>
        <v>186.46067587476981</v>
      </c>
      <c r="H45" s="299">
        <v>1</v>
      </c>
      <c r="I45" s="264" t="s">
        <v>292</v>
      </c>
      <c r="J45" s="157"/>
      <c r="K45" s="225">
        <f t="shared" si="12"/>
        <v>186.46067587476981</v>
      </c>
      <c r="L45" s="225">
        <f t="shared" si="10"/>
        <v>0</v>
      </c>
      <c r="M45" s="307"/>
      <c r="N45" s="568"/>
      <c r="O45" s="573"/>
      <c r="P45" s="569"/>
      <c r="Q45" s="336">
        <f>P45-H45*VLOOKUP(C45,Unit_Rates!$C$44:$E$54,3,FALSE)</f>
        <v>0</v>
      </c>
      <c r="R45" s="327">
        <v>0</v>
      </c>
      <c r="S45" s="327">
        <v>0</v>
      </c>
      <c r="T45" s="327">
        <v>0</v>
      </c>
      <c r="U45" s="327">
        <v>0</v>
      </c>
      <c r="V45" s="327">
        <v>0</v>
      </c>
      <c r="W45" s="327">
        <v>0</v>
      </c>
      <c r="X45" s="327">
        <v>0</v>
      </c>
      <c r="Y45" s="14">
        <f t="shared" si="11"/>
        <v>0</v>
      </c>
      <c r="AN45" s="236"/>
      <c r="AO45" s="236"/>
      <c r="AP45" s="236"/>
      <c r="AQ45" s="236"/>
      <c r="AR45" s="236"/>
      <c r="AS45" s="236"/>
      <c r="AT45" s="236"/>
      <c r="AU45" s="236"/>
      <c r="AV45" s="236"/>
      <c r="AW45" s="415"/>
      <c r="AX45" s="236"/>
      <c r="AY45" s="236"/>
      <c r="AZ45" s="416"/>
      <c r="BA45" s="236"/>
      <c r="BB45" s="236"/>
    </row>
    <row r="46" spans="2:54" x14ac:dyDescent="0.3">
      <c r="B46" s="232"/>
      <c r="C46" s="276" t="s">
        <v>523</v>
      </c>
      <c r="D46" s="171" t="str">
        <f>INDEX(Unit_Rates!$C$7:$K$54,MATCH($C46,Unit_Rates!$C$7:$C$54,0),5)</f>
        <v>SCADA/Network control</v>
      </c>
      <c r="E46" s="171" t="str">
        <f>INDEX(Unit_Rates!$C$7:$K$54,MATCH($C46,Unit_Rates!$C$7:$C$54,0),6)</f>
        <v>Augmentation</v>
      </c>
      <c r="F46" s="171" t="str">
        <f t="shared" ref="F46:F47" si="13">D46&amp;E46</f>
        <v>SCADA/Network controlAugmentation</v>
      </c>
      <c r="G46" s="268">
        <f>INDEX(Unit_Rates!$C$7:$K$54,MATCH($C46,Unit_Rates!$C$7:$C$54,0),7)</f>
        <v>154.73392449355433</v>
      </c>
      <c r="H46" s="299">
        <v>1</v>
      </c>
      <c r="I46" s="264" t="s">
        <v>292</v>
      </c>
      <c r="J46" s="157"/>
      <c r="K46" s="225">
        <f t="shared" ref="K46" si="14">G46*H46</f>
        <v>154.73392449355433</v>
      </c>
      <c r="L46" s="225">
        <f t="shared" ref="L46" si="15">SUMPRODUCT(R$5:X$5,R46:X46)/Thousands</f>
        <v>0</v>
      </c>
      <c r="M46" s="307"/>
      <c r="N46" s="568"/>
      <c r="O46" s="573"/>
      <c r="P46" s="569"/>
      <c r="Q46" s="336">
        <f>P46-H46*VLOOKUP(C46,Unit_Rates!$C$44:$E$54,3,FALSE)</f>
        <v>0</v>
      </c>
      <c r="R46" s="327">
        <v>0</v>
      </c>
      <c r="S46" s="327">
        <v>0</v>
      </c>
      <c r="T46" s="327">
        <v>0</v>
      </c>
      <c r="U46" s="327">
        <v>0</v>
      </c>
      <c r="V46" s="327">
        <v>0</v>
      </c>
      <c r="W46" s="327">
        <v>0</v>
      </c>
      <c r="X46" s="327">
        <v>0</v>
      </c>
      <c r="Y46" s="14">
        <f t="shared" ref="Y46" si="16">SUM(R46:X46)</f>
        <v>0</v>
      </c>
      <c r="AN46" s="236"/>
      <c r="AO46" s="236"/>
      <c r="AP46" s="236"/>
      <c r="AQ46" s="236"/>
      <c r="AR46" s="236"/>
      <c r="AS46" s="236"/>
      <c r="AT46" s="236"/>
      <c r="AU46" s="236"/>
      <c r="AV46" s="236"/>
      <c r="AW46" s="415"/>
      <c r="AX46" s="236"/>
      <c r="AY46" s="236"/>
      <c r="AZ46" s="416"/>
      <c r="BA46" s="236"/>
      <c r="BB46" s="236"/>
    </row>
    <row r="47" spans="2:54" x14ac:dyDescent="0.3">
      <c r="B47" s="232"/>
      <c r="C47" s="276" t="s">
        <v>528</v>
      </c>
      <c r="D47" s="171" t="str">
        <f>INDEX(Unit_Rates!$C$7:$K$54,MATCH($C47,Unit_Rates!$C$7:$C$54,0),5)</f>
        <v>SCADA/Network control</v>
      </c>
      <c r="E47" s="171" t="str">
        <f>INDEX(Unit_Rates!$C$7:$K$54,MATCH($C47,Unit_Rates!$C$7:$C$54,0),6)</f>
        <v>Augmentation</v>
      </c>
      <c r="F47" s="171" t="str">
        <f t="shared" si="13"/>
        <v>SCADA/Network controlAugmentation</v>
      </c>
      <c r="G47" s="268">
        <f>INDEX(Unit_Rates!$C$7:$K$54,MATCH($C47,Unit_Rates!$C$7:$C$54,0),7)</f>
        <v>31.775830570902396</v>
      </c>
      <c r="H47" s="299">
        <v>1</v>
      </c>
      <c r="I47" s="264" t="s">
        <v>292</v>
      </c>
      <c r="J47" s="157"/>
      <c r="K47" s="225">
        <f t="shared" ref="K47" si="17">G47*H47</f>
        <v>31.775830570902396</v>
      </c>
      <c r="L47" s="225">
        <f t="shared" ref="L47" si="18">SUMPRODUCT(R$5:X$5,R47:X47)/Thousands</f>
        <v>0</v>
      </c>
      <c r="M47" s="307"/>
      <c r="N47" s="568"/>
      <c r="O47" s="573"/>
      <c r="P47" s="569"/>
      <c r="Q47" s="336">
        <f>P47-H47*VLOOKUP(C47,Unit_Rates!$C$44:$E$54,3,FALSE)</f>
        <v>0</v>
      </c>
      <c r="R47" s="327">
        <v>0</v>
      </c>
      <c r="S47" s="327">
        <v>0</v>
      </c>
      <c r="T47" s="327">
        <v>0</v>
      </c>
      <c r="U47" s="327">
        <v>0</v>
      </c>
      <c r="V47" s="327">
        <v>0</v>
      </c>
      <c r="W47" s="327">
        <v>0</v>
      </c>
      <c r="X47" s="327">
        <v>0</v>
      </c>
      <c r="Y47" s="14">
        <f t="shared" ref="Y47" si="19">SUM(R47:X47)</f>
        <v>0</v>
      </c>
      <c r="AN47" s="236"/>
      <c r="AO47" s="236"/>
      <c r="AP47" s="236"/>
      <c r="AQ47" s="236"/>
      <c r="AR47" s="236"/>
      <c r="AS47" s="236"/>
      <c r="AT47" s="236"/>
      <c r="AU47" s="236"/>
      <c r="AV47" s="236"/>
      <c r="AW47" s="415"/>
      <c r="AX47" s="236"/>
      <c r="AY47" s="236"/>
      <c r="AZ47" s="416"/>
      <c r="BA47" s="236"/>
      <c r="BB47" s="236"/>
    </row>
    <row r="48" spans="2:54" x14ac:dyDescent="0.3">
      <c r="B48" s="232"/>
      <c r="C48" s="171" t="s">
        <v>324</v>
      </c>
      <c r="D48" s="276" t="s">
        <v>22</v>
      </c>
      <c r="E48" s="276" t="s">
        <v>42</v>
      </c>
      <c r="F48" s="171" t="str">
        <f t="shared" si="9"/>
        <v>SCADA/Network controlAugmentation</v>
      </c>
      <c r="G48" s="441">
        <v>14.723756906077348</v>
      </c>
      <c r="H48" s="299">
        <v>1</v>
      </c>
      <c r="I48" s="264" t="s">
        <v>292</v>
      </c>
      <c r="J48" s="157"/>
      <c r="K48" s="225">
        <f t="shared" ref="K48:K49" si="20">G48*H48</f>
        <v>14.723756906077348</v>
      </c>
      <c r="L48" s="225">
        <f t="shared" si="10"/>
        <v>0</v>
      </c>
      <c r="M48" s="307"/>
      <c r="N48" s="568"/>
      <c r="O48" s="573"/>
      <c r="P48" s="569"/>
      <c r="Q48" s="290"/>
      <c r="R48" s="327">
        <v>0</v>
      </c>
      <c r="S48" s="327">
        <v>0</v>
      </c>
      <c r="T48" s="327">
        <v>0</v>
      </c>
      <c r="U48" s="327">
        <v>0</v>
      </c>
      <c r="V48" s="327">
        <v>0</v>
      </c>
      <c r="W48" s="327">
        <v>0</v>
      </c>
      <c r="X48" s="327">
        <v>0</v>
      </c>
      <c r="Y48" s="14">
        <f t="shared" si="11"/>
        <v>0</v>
      </c>
      <c r="AN48" s="236"/>
      <c r="AO48" s="236"/>
      <c r="AP48" s="236"/>
      <c r="AQ48" s="236"/>
      <c r="AR48" s="236"/>
      <c r="AS48" s="236"/>
      <c r="AT48" s="236"/>
      <c r="AU48" s="236"/>
      <c r="AV48" s="236"/>
      <c r="AW48" s="415"/>
      <c r="AX48" s="236"/>
      <c r="AY48" s="236"/>
      <c r="AZ48" s="416"/>
      <c r="BA48" s="236"/>
      <c r="BB48" s="236"/>
    </row>
    <row r="49" spans="2:54" x14ac:dyDescent="0.3">
      <c r="B49" s="232"/>
      <c r="C49" s="171" t="s">
        <v>322</v>
      </c>
      <c r="D49" s="276" t="s">
        <v>22</v>
      </c>
      <c r="E49" s="276" t="s">
        <v>42</v>
      </c>
      <c r="F49" s="171" t="str">
        <f t="shared" si="9"/>
        <v>SCADA/Network controlAugmentation</v>
      </c>
      <c r="G49" s="441">
        <v>172.91678268876612</v>
      </c>
      <c r="H49" s="533">
        <v>1</v>
      </c>
      <c r="I49" s="264" t="s">
        <v>292</v>
      </c>
      <c r="J49" s="157"/>
      <c r="K49" s="225">
        <f t="shared" si="20"/>
        <v>172.91678268876612</v>
      </c>
      <c r="L49" s="225">
        <f t="shared" si="10"/>
        <v>0</v>
      </c>
      <c r="M49" s="307"/>
      <c r="N49" s="568"/>
      <c r="O49" s="573"/>
      <c r="P49" s="569"/>
      <c r="Q49" s="290"/>
      <c r="R49" s="327">
        <v>0</v>
      </c>
      <c r="S49" s="327">
        <v>0</v>
      </c>
      <c r="T49" s="327">
        <v>0</v>
      </c>
      <c r="U49" s="327">
        <v>0</v>
      </c>
      <c r="V49" s="327">
        <v>0</v>
      </c>
      <c r="W49" s="327">
        <v>0</v>
      </c>
      <c r="X49" s="327">
        <v>0</v>
      </c>
      <c r="Y49" s="14">
        <f t="shared" si="11"/>
        <v>0</v>
      </c>
      <c r="AN49" s="236"/>
      <c r="AO49" s="236"/>
      <c r="AP49" s="236"/>
      <c r="AQ49" s="236"/>
      <c r="AR49" s="236"/>
      <c r="AS49" s="236"/>
      <c r="AT49" s="236"/>
      <c r="AU49" s="236"/>
      <c r="AV49" s="236"/>
      <c r="AW49" s="415"/>
      <c r="AX49" s="236"/>
      <c r="AY49" s="236"/>
      <c r="AZ49" s="416"/>
      <c r="BA49" s="236"/>
      <c r="BB49" s="236"/>
    </row>
    <row r="50" spans="2:54" x14ac:dyDescent="0.3">
      <c r="B50" s="251" t="s">
        <v>281</v>
      </c>
      <c r="C50" s="171"/>
      <c r="D50" s="236" t="s">
        <v>18</v>
      </c>
      <c r="E50" s="236" t="s">
        <v>42</v>
      </c>
      <c r="F50" s="171" t="str">
        <f t="shared" si="9"/>
        <v>SubtransmissionAugmentation</v>
      </c>
      <c r="G50" s="441"/>
      <c r="H50" s="299"/>
      <c r="I50" s="264" t="s">
        <v>292</v>
      </c>
      <c r="J50" s="157"/>
      <c r="K50" s="225">
        <f>G50*H50</f>
        <v>0</v>
      </c>
      <c r="L50" s="225">
        <f t="shared" si="10"/>
        <v>0</v>
      </c>
      <c r="M50" s="307"/>
      <c r="N50" s="568"/>
      <c r="O50" s="573"/>
      <c r="P50" s="569"/>
      <c r="Q50" s="290"/>
      <c r="R50" s="327">
        <v>0</v>
      </c>
      <c r="S50" s="327">
        <v>0</v>
      </c>
      <c r="T50" s="327">
        <v>0</v>
      </c>
      <c r="U50" s="327">
        <v>0</v>
      </c>
      <c r="V50" s="327">
        <v>0</v>
      </c>
      <c r="W50" s="327">
        <v>0</v>
      </c>
      <c r="X50" s="327">
        <v>0</v>
      </c>
      <c r="Y50" s="14">
        <f t="shared" si="11"/>
        <v>0</v>
      </c>
      <c r="AN50" s="236"/>
      <c r="AO50" s="236"/>
      <c r="AP50" s="318"/>
      <c r="AQ50" s="318"/>
      <c r="AR50" s="551"/>
      <c r="AS50" s="551"/>
      <c r="AT50" s="551"/>
      <c r="AU50" s="551"/>
      <c r="AV50" s="551"/>
      <c r="AW50" s="551"/>
      <c r="AX50" s="547"/>
      <c r="AY50" s="236"/>
      <c r="AZ50" s="416"/>
      <c r="BA50" s="236"/>
      <c r="BB50" s="236"/>
    </row>
    <row r="51" spans="2:54" x14ac:dyDescent="0.3">
      <c r="B51" s="251" t="s">
        <v>312</v>
      </c>
      <c r="C51" s="171"/>
      <c r="D51" s="171"/>
      <c r="E51" s="276"/>
      <c r="F51" s="276"/>
      <c r="G51" s="265"/>
      <c r="H51" s="232"/>
      <c r="I51" s="224"/>
      <c r="J51" s="171"/>
      <c r="K51" s="225"/>
      <c r="L51" s="225"/>
      <c r="M51" s="225"/>
      <c r="N51" s="222"/>
      <c r="O51" s="225"/>
      <c r="P51" s="223"/>
      <c r="Q51" s="290"/>
      <c r="R51" s="326"/>
      <c r="S51" s="326"/>
      <c r="T51" s="326"/>
      <c r="U51" s="326"/>
      <c r="V51" s="326"/>
      <c r="W51" s="326"/>
      <c r="X51" s="326"/>
      <c r="Y51" s="14"/>
      <c r="AN51" s="236"/>
      <c r="AO51" s="236"/>
      <c r="AP51" s="236"/>
      <c r="AQ51" s="558"/>
      <c r="AR51" s="559"/>
      <c r="AS51" s="559"/>
      <c r="AT51" s="559"/>
      <c r="AU51" s="559"/>
      <c r="AV51" s="559"/>
      <c r="AW51" s="559"/>
      <c r="AX51" s="236"/>
      <c r="AY51" s="236"/>
      <c r="AZ51" s="554"/>
      <c r="BA51" s="236"/>
      <c r="BB51" s="236"/>
    </row>
    <row r="52" spans="2:54" x14ac:dyDescent="0.3">
      <c r="B52" s="232"/>
      <c r="C52" s="171" t="s">
        <v>311</v>
      </c>
      <c r="D52" s="236" t="s">
        <v>18</v>
      </c>
      <c r="E52" s="236" t="s">
        <v>42</v>
      </c>
      <c r="F52" s="171" t="str">
        <f t="shared" ref="F52:F56" si="21">D52&amp;E52</f>
        <v>SubtransmissionAugmentation</v>
      </c>
      <c r="G52" s="441">
        <v>0</v>
      </c>
      <c r="H52" s="299"/>
      <c r="I52" s="264" t="s">
        <v>292</v>
      </c>
      <c r="J52" s="171"/>
      <c r="K52" s="225">
        <f>G52*H52</f>
        <v>0</v>
      </c>
      <c r="L52" s="225">
        <f>SUMPRODUCT(R$5:X$5,R52:X52)/Thousands</f>
        <v>0</v>
      </c>
      <c r="M52" s="307"/>
      <c r="N52" s="568"/>
      <c r="O52" s="568"/>
      <c r="P52" s="569"/>
      <c r="Q52" s="290"/>
      <c r="R52" s="327">
        <v>0</v>
      </c>
      <c r="S52" s="327">
        <v>0</v>
      </c>
      <c r="T52" s="327">
        <v>0</v>
      </c>
      <c r="U52" s="327">
        <v>0</v>
      </c>
      <c r="V52" s="327">
        <v>0</v>
      </c>
      <c r="W52" s="327">
        <v>0</v>
      </c>
      <c r="X52" s="327">
        <v>0</v>
      </c>
      <c r="Y52" s="14">
        <f t="shared" ref="Y52:Y56" si="22">SUM(R52:X52)</f>
        <v>0</v>
      </c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</row>
    <row r="53" spans="2:54" x14ac:dyDescent="0.3">
      <c r="B53" s="232"/>
      <c r="C53" s="236" t="s">
        <v>316</v>
      </c>
      <c r="D53" s="171" t="str">
        <f>Unit_Rates!G39</f>
        <v>Subtransmission</v>
      </c>
      <c r="E53" s="171" t="str">
        <f>Unit_Rates!H39</f>
        <v>Augmentation</v>
      </c>
      <c r="F53" s="171" t="str">
        <f t="shared" si="21"/>
        <v>SubtransmissionAugmentation</v>
      </c>
      <c r="G53" s="268">
        <f>Unit_Rates!$I$39</f>
        <v>123.95348837209301</v>
      </c>
      <c r="H53" s="299"/>
      <c r="I53" s="264" t="s">
        <v>292</v>
      </c>
      <c r="J53" s="171"/>
      <c r="K53" s="225">
        <f>G53*H53</f>
        <v>0</v>
      </c>
      <c r="L53" s="225">
        <f>SUMPRODUCT(R$5:X$5,R53:X53)/Thousands</f>
        <v>0</v>
      </c>
      <c r="M53" s="307"/>
      <c r="N53" s="568"/>
      <c r="O53" s="568"/>
      <c r="P53" s="569"/>
      <c r="Q53" s="336">
        <f>P53-H53*VLOOKUP("Oil separator",Unit_Rates!$C$7:$E$39,3,FALSE)</f>
        <v>0</v>
      </c>
      <c r="R53" s="327">
        <v>0</v>
      </c>
      <c r="S53" s="327">
        <v>0</v>
      </c>
      <c r="T53" s="327">
        <v>0</v>
      </c>
      <c r="U53" s="327">
        <v>0</v>
      </c>
      <c r="V53" s="327">
        <v>0</v>
      </c>
      <c r="W53" s="327">
        <v>0</v>
      </c>
      <c r="X53" s="327">
        <v>0</v>
      </c>
      <c r="Y53" s="14">
        <f t="shared" si="22"/>
        <v>0</v>
      </c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</row>
    <row r="54" spans="2:54" x14ac:dyDescent="0.3">
      <c r="B54" s="232"/>
      <c r="C54" s="296" t="s">
        <v>317</v>
      </c>
      <c r="D54" s="171" t="s">
        <v>18</v>
      </c>
      <c r="E54" s="276" t="s">
        <v>42</v>
      </c>
      <c r="F54" s="171" t="str">
        <f t="shared" si="21"/>
        <v>SubtransmissionAugmentation</v>
      </c>
      <c r="G54" s="441">
        <v>0</v>
      </c>
      <c r="H54" s="299"/>
      <c r="I54" s="264" t="s">
        <v>292</v>
      </c>
      <c r="J54" s="171"/>
      <c r="K54" s="225">
        <f>G54*H54</f>
        <v>0</v>
      </c>
      <c r="L54" s="225">
        <f>SUMPRODUCT(R$5:X$5,R54:X54)/Thousands</f>
        <v>0</v>
      </c>
      <c r="M54" s="307"/>
      <c r="N54" s="568"/>
      <c r="O54" s="573"/>
      <c r="P54" s="569"/>
      <c r="Q54" s="290"/>
      <c r="R54" s="327">
        <v>0</v>
      </c>
      <c r="S54" s="327">
        <v>0</v>
      </c>
      <c r="T54" s="327">
        <v>0</v>
      </c>
      <c r="U54" s="327">
        <v>0</v>
      </c>
      <c r="V54" s="327">
        <v>0</v>
      </c>
      <c r="W54" s="327">
        <v>0</v>
      </c>
      <c r="X54" s="327">
        <v>0</v>
      </c>
      <c r="Y54" s="14">
        <f t="shared" si="22"/>
        <v>0</v>
      </c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</row>
    <row r="55" spans="2:54" x14ac:dyDescent="0.3">
      <c r="B55" s="313" t="s">
        <v>284</v>
      </c>
      <c r="C55" s="296"/>
      <c r="D55" s="171" t="s">
        <v>18</v>
      </c>
      <c r="E55" s="276" t="s">
        <v>42</v>
      </c>
      <c r="F55" s="171" t="str">
        <f t="shared" si="21"/>
        <v>SubtransmissionAugmentation</v>
      </c>
      <c r="G55" s="268">
        <v>0</v>
      </c>
      <c r="H55" s="299">
        <v>1</v>
      </c>
      <c r="I55" s="264" t="s">
        <v>292</v>
      </c>
      <c r="J55" s="171"/>
      <c r="K55" s="228">
        <v>0</v>
      </c>
      <c r="L55" s="228">
        <f>SUMPRODUCT(R$5:X$5,R55:X55)/Thousands</f>
        <v>0</v>
      </c>
      <c r="M55" s="312"/>
      <c r="N55" s="568"/>
      <c r="O55" s="566"/>
      <c r="P55" s="569"/>
      <c r="Q55" s="290"/>
      <c r="R55" s="327">
        <v>0</v>
      </c>
      <c r="S55" s="327">
        <v>0</v>
      </c>
      <c r="T55" s="327">
        <v>0</v>
      </c>
      <c r="U55" s="327">
        <v>0</v>
      </c>
      <c r="V55" s="327">
        <v>0</v>
      </c>
      <c r="W55" s="327">
        <v>0</v>
      </c>
      <c r="X55" s="327">
        <v>0</v>
      </c>
      <c r="Y55" s="14">
        <f t="shared" si="22"/>
        <v>0</v>
      </c>
      <c r="AN55" s="236"/>
      <c r="AO55" s="236"/>
      <c r="AP55" s="318"/>
      <c r="AQ55" s="546"/>
      <c r="AR55" s="318"/>
      <c r="AS55" s="318"/>
      <c r="AT55" s="318"/>
      <c r="AU55" s="318"/>
      <c r="AV55" s="318"/>
      <c r="AW55" s="318"/>
      <c r="AX55" s="547"/>
      <c r="AY55" s="236"/>
      <c r="AZ55" s="236"/>
      <c r="BA55" s="236"/>
      <c r="BB55" s="236"/>
    </row>
    <row r="56" spans="2:54" x14ac:dyDescent="0.3">
      <c r="B56" s="251" t="s">
        <v>268</v>
      </c>
      <c r="C56" s="171"/>
      <c r="D56" s="171" t="s">
        <v>195</v>
      </c>
      <c r="E56" s="276" t="s">
        <v>66</v>
      </c>
      <c r="F56" s="171" t="str">
        <f t="shared" si="21"/>
        <v>LandNon-Network</v>
      </c>
      <c r="G56" s="268">
        <v>0</v>
      </c>
      <c r="H56" s="299"/>
      <c r="I56" s="264" t="s">
        <v>292</v>
      </c>
      <c r="J56" s="171"/>
      <c r="K56" s="228">
        <v>0</v>
      </c>
      <c r="L56" s="228">
        <f>SUMPRODUCT(R$5:X$5,R56:X56)/Thousands</f>
        <v>0</v>
      </c>
      <c r="M56" s="312"/>
      <c r="N56" s="568"/>
      <c r="O56" s="566"/>
      <c r="P56" s="569"/>
      <c r="Q56" s="19"/>
      <c r="R56" s="327">
        <v>0</v>
      </c>
      <c r="S56" s="327">
        <v>0</v>
      </c>
      <c r="T56" s="327">
        <v>0</v>
      </c>
      <c r="U56" s="327">
        <v>0</v>
      </c>
      <c r="V56" s="327">
        <v>0</v>
      </c>
      <c r="W56" s="327">
        <v>0</v>
      </c>
      <c r="X56" s="327">
        <v>0</v>
      </c>
      <c r="Y56" s="14">
        <f t="shared" si="22"/>
        <v>0</v>
      </c>
      <c r="AN56" s="236"/>
      <c r="AO56" s="236"/>
      <c r="AP56" s="318"/>
      <c r="AQ56" s="236"/>
      <c r="AR56" s="274"/>
      <c r="AS56" s="555"/>
      <c r="AT56" s="556"/>
      <c r="AU56" s="274"/>
      <c r="AV56" s="274"/>
      <c r="AW56" s="415"/>
      <c r="AX56" s="547"/>
      <c r="AY56" s="236"/>
      <c r="AZ56" s="236"/>
      <c r="BA56" s="236"/>
      <c r="BB56" s="236"/>
    </row>
    <row r="57" spans="2:54" x14ac:dyDescent="0.3">
      <c r="B57" s="232"/>
      <c r="C57" s="171"/>
      <c r="D57" s="171"/>
      <c r="E57" s="171"/>
      <c r="F57" s="171"/>
      <c r="G57" s="224"/>
      <c r="H57" s="232"/>
      <c r="I57" s="224"/>
      <c r="J57" s="171"/>
      <c r="K57" s="229"/>
      <c r="L57" s="229"/>
      <c r="M57" s="229"/>
      <c r="N57" s="229"/>
      <c r="O57" s="229"/>
      <c r="P57" s="229"/>
      <c r="AN57" s="236"/>
      <c r="AO57" s="236"/>
      <c r="AP57" s="318"/>
      <c r="AQ57" s="236"/>
      <c r="AR57" s="274"/>
      <c r="AS57" s="555"/>
      <c r="AT57" s="274"/>
      <c r="AU57" s="274"/>
      <c r="AV57" s="274"/>
      <c r="AW57" s="415"/>
      <c r="AX57" s="236"/>
      <c r="AY57" s="236"/>
      <c r="AZ57" s="236"/>
      <c r="BA57" s="236"/>
      <c r="BB57" s="236"/>
    </row>
    <row r="58" spans="2:54" x14ac:dyDescent="0.3">
      <c r="B58" s="251" t="s">
        <v>282</v>
      </c>
      <c r="C58" s="171"/>
      <c r="D58" s="171"/>
      <c r="E58" s="171"/>
      <c r="F58" s="171"/>
      <c r="G58" s="224"/>
      <c r="H58" s="232"/>
      <c r="I58" s="224"/>
      <c r="J58" s="171"/>
      <c r="K58" s="319">
        <v>3913.8804575257841</v>
      </c>
      <c r="L58" s="319">
        <v>778.66250000000002</v>
      </c>
      <c r="M58" s="319">
        <v>644.55813953488359</v>
      </c>
      <c r="N58" s="319">
        <v>2848.5570825303007</v>
      </c>
      <c r="O58" s="319">
        <v>369.38974931174778</v>
      </c>
      <c r="P58" s="319">
        <v>8555.0479289027153</v>
      </c>
      <c r="Q58" s="178"/>
      <c r="AN58" s="236"/>
      <c r="AO58" s="236"/>
      <c r="AP58" s="318"/>
      <c r="AQ58" s="236"/>
      <c r="AR58" s="274"/>
      <c r="AS58" s="274"/>
      <c r="AT58" s="274"/>
      <c r="AU58" s="274"/>
      <c r="AV58" s="274"/>
      <c r="AW58" s="415"/>
      <c r="AX58" s="236"/>
      <c r="AY58" s="236"/>
      <c r="AZ58" s="236"/>
      <c r="BA58" s="236"/>
      <c r="BB58" s="236"/>
    </row>
    <row r="59" spans="2:54" x14ac:dyDescent="0.3">
      <c r="B59" s="259" t="s">
        <v>55</v>
      </c>
      <c r="C59" s="260"/>
      <c r="D59" s="260"/>
      <c r="E59" s="260"/>
      <c r="F59" s="260"/>
      <c r="G59" s="267"/>
      <c r="H59" s="259"/>
      <c r="I59" s="267"/>
      <c r="J59" s="260"/>
      <c r="K59" s="320">
        <f>K58-Direct_Capex_Totals!Q7</f>
        <v>0</v>
      </c>
      <c r="L59" s="321">
        <f>L58-Direct_Capex_Totals!R7</f>
        <v>0</v>
      </c>
      <c r="M59" s="321">
        <f>M58-Direct_Capex_Totals!S7</f>
        <v>0</v>
      </c>
      <c r="N59" s="321">
        <f>N58-Direct_Capex_Totals!T7</f>
        <v>0</v>
      </c>
      <c r="O59" s="321">
        <f>O58-Direct_Capex_Totals!U7</f>
        <v>0</v>
      </c>
      <c r="P59" s="322">
        <f>SUM(K59:O59)</f>
        <v>0</v>
      </c>
      <c r="AN59" s="236"/>
      <c r="AO59" s="236"/>
      <c r="AP59" s="236"/>
      <c r="AQ59" s="236"/>
      <c r="AR59" s="415"/>
      <c r="AS59" s="415"/>
      <c r="AT59" s="415"/>
      <c r="AU59" s="415"/>
      <c r="AV59" s="415"/>
      <c r="AW59" s="415"/>
      <c r="AX59" s="236"/>
      <c r="AY59" s="236"/>
      <c r="AZ59" s="236"/>
      <c r="BA59" s="236"/>
      <c r="BB59" s="236"/>
    </row>
    <row r="60" spans="2:54" ht="28.8" x14ac:dyDescent="0.3">
      <c r="B60" s="237" t="s">
        <v>262</v>
      </c>
      <c r="C60" s="238"/>
      <c r="D60" s="292"/>
      <c r="E60" s="292"/>
      <c r="F60" s="292"/>
      <c r="G60" s="273" t="s">
        <v>302</v>
      </c>
      <c r="H60" s="335" t="s">
        <v>265</v>
      </c>
      <c r="I60" s="18" t="s">
        <v>293</v>
      </c>
      <c r="J60" s="260"/>
      <c r="K60" s="18" t="s">
        <v>135</v>
      </c>
      <c r="L60" s="18" t="s">
        <v>290</v>
      </c>
      <c r="M60" s="273" t="s">
        <v>136</v>
      </c>
      <c r="N60" s="273" t="s">
        <v>137</v>
      </c>
      <c r="O60" s="18" t="s">
        <v>60</v>
      </c>
      <c r="P60" s="18" t="s">
        <v>291</v>
      </c>
      <c r="AN60" s="236"/>
      <c r="AO60" s="236"/>
      <c r="AP60" s="236"/>
      <c r="AQ60" s="558"/>
      <c r="AR60" s="560"/>
      <c r="AS60" s="560"/>
      <c r="AT60" s="560"/>
      <c r="AU60" s="560"/>
      <c r="AV60" s="560"/>
      <c r="AW60" s="560"/>
      <c r="AX60" s="236"/>
      <c r="AY60" s="236"/>
      <c r="AZ60" s="236"/>
      <c r="BA60" s="236"/>
      <c r="BB60" s="236"/>
    </row>
    <row r="61" spans="2:54" x14ac:dyDescent="0.3">
      <c r="B61" s="251"/>
      <c r="C61" s="171"/>
      <c r="D61" s="171"/>
      <c r="E61" s="171"/>
      <c r="F61" s="171"/>
      <c r="G61" s="224"/>
      <c r="H61" s="232"/>
      <c r="I61" s="224"/>
      <c r="J61" s="171"/>
      <c r="K61" s="235"/>
      <c r="L61" s="235"/>
      <c r="M61" s="235"/>
      <c r="N61" s="235"/>
      <c r="O61" s="235"/>
      <c r="P61" s="224"/>
    </row>
    <row r="62" spans="2:54" x14ac:dyDescent="0.3">
      <c r="B62" s="251" t="s">
        <v>17</v>
      </c>
      <c r="C62" s="171"/>
      <c r="D62" s="171"/>
      <c r="E62" s="171"/>
      <c r="F62" s="171"/>
      <c r="G62" s="224"/>
      <c r="H62" s="232"/>
      <c r="I62" s="224"/>
      <c r="J62" s="171"/>
      <c r="K62" s="235"/>
      <c r="L62" s="235"/>
      <c r="M62" s="235"/>
      <c r="N62" s="235"/>
      <c r="O62" s="235"/>
      <c r="P62" s="224"/>
      <c r="AI62" t="s">
        <v>486</v>
      </c>
    </row>
    <row r="63" spans="2:54" x14ac:dyDescent="0.3">
      <c r="B63" s="251"/>
      <c r="C63" s="282" t="s">
        <v>328</v>
      </c>
      <c r="D63" s="282" t="str">
        <f>IF($B$3="WYK2",Unit_Rates!G60,Unit_Rates!G61)</f>
        <v>Distribution system assets</v>
      </c>
      <c r="E63" s="282" t="str">
        <f>IF($B$3="WYK2",Unit_Rates!H60,Unit_Rates!H61)</f>
        <v>Augmentation</v>
      </c>
      <c r="F63" s="171" t="str">
        <f t="shared" ref="F63:F70" si="23">D63&amp;E63</f>
        <v>Distribution system assetsAugmentation</v>
      </c>
      <c r="G63" s="283">
        <v>0</v>
      </c>
      <c r="H63" s="455">
        <f>INDEX(Feeder_Vols!$E$7:$O$16,MATCH($B$3,Feeder_Vols!$B$7:$B$15,0),MATCH(1,Feeder_Vols!$E$6:$O$6,0))</f>
        <v>12</v>
      </c>
      <c r="I63" s="224" t="s">
        <v>297</v>
      </c>
      <c r="J63" s="282"/>
      <c r="K63" s="283"/>
      <c r="L63" s="283">
        <f t="shared" ref="L63:L70" si="24">SUMPRODUCT(R$5:X$5,R63:X63)/Thousands</f>
        <v>98.515249384422177</v>
      </c>
      <c r="M63" s="283">
        <f>$H63*IF($B$3="WYK2",Unit_Rates!K60,Unit_Rates!K61)</f>
        <v>217.58299534883719</v>
      </c>
      <c r="N63" s="283">
        <f>$H63*IF($B$3="WYK2",Unit_Rates!L60,Unit_Rates!L61)</f>
        <v>0</v>
      </c>
      <c r="O63" s="283">
        <f>$H63*IF($B$3="WYK2",Unit_Rates!M60,Unit_Rates!M61)</f>
        <v>0</v>
      </c>
      <c r="P63" s="228">
        <f t="shared" ref="P63:P70" si="25">SUM(K63:O63)</f>
        <v>316.09824473325938</v>
      </c>
      <c r="Q63" s="557"/>
      <c r="R63" s="327">
        <f>$AI63*Z63*$H63</f>
        <v>177.63157894736838</v>
      </c>
      <c r="S63" s="327">
        <f t="shared" ref="S63:S68" si="26">$AI63*AA63*$H63</f>
        <v>475.35211267605632</v>
      </c>
      <c r="T63" s="327">
        <f t="shared" ref="T63:T68" si="27">$AI63*AB63*$H63</f>
        <v>0</v>
      </c>
      <c r="U63" s="327">
        <f t="shared" ref="U63:U68" si="28">$AI63*AC63*$H63</f>
        <v>0</v>
      </c>
      <c r="V63" s="327">
        <f t="shared" ref="V63:V68" si="29">$AI63*AD63*$H63</f>
        <v>0</v>
      </c>
      <c r="W63" s="327">
        <f t="shared" ref="W63:W68" si="30">$AI63*AE63*$H63</f>
        <v>0</v>
      </c>
      <c r="X63" s="327">
        <f t="shared" ref="X63:X68" si="31">$AI63*AF63*$H63</f>
        <v>0</v>
      </c>
      <c r="Y63" s="14">
        <f t="shared" ref="Y63:Y87" si="32">SUM(R63:X63)</f>
        <v>652.98369162342465</v>
      </c>
      <c r="Z63" s="15">
        <v>0.27203065134099613</v>
      </c>
      <c r="AA63" s="15">
        <v>0.72796934865900376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6">
        <f>SUM(Z63:AF63)</f>
        <v>0.99999999999999989</v>
      </c>
      <c r="AH63" t="b">
        <f>AG63=1</f>
        <v>1</v>
      </c>
      <c r="AI63" s="390">
        <v>54.415307635285394</v>
      </c>
    </row>
    <row r="64" spans="2:54" x14ac:dyDescent="0.3">
      <c r="B64" s="251"/>
      <c r="C64" s="282" t="s">
        <v>231</v>
      </c>
      <c r="D64" s="282" t="str">
        <f>Unit_Rates!G62</f>
        <v>Distribution system assets</v>
      </c>
      <c r="E64" s="282" t="str">
        <f>Unit_Rates!H62</f>
        <v>Augmentation</v>
      </c>
      <c r="F64" s="171" t="str">
        <f t="shared" si="23"/>
        <v>Distribution system assetsAugmentation</v>
      </c>
      <c r="G64" s="565">
        <f>Unit_Rates!I62</f>
        <v>0</v>
      </c>
      <c r="H64" s="455">
        <f>INDEX(Feeder_Vols!$E$7:$O$16,MATCH($B$3,Feeder_Vols!$B$7:$B$15,0),MATCH(2,Feeder_Vols!$E$6:$O$6,0))</f>
        <v>0</v>
      </c>
      <c r="I64" s="224" t="s">
        <v>298</v>
      </c>
      <c r="J64" s="282"/>
      <c r="K64" s="565"/>
      <c r="L64" s="565"/>
      <c r="M64" s="565"/>
      <c r="N64" s="565"/>
      <c r="O64" s="565"/>
      <c r="P64" s="566"/>
      <c r="Q64" s="537">
        <f>P64-H64*Unit_Rates!$E$62</f>
        <v>0</v>
      </c>
      <c r="R64" s="563"/>
      <c r="S64" s="563"/>
      <c r="T64" s="563"/>
      <c r="U64" s="563"/>
      <c r="V64" s="563"/>
      <c r="W64" s="563"/>
      <c r="X64" s="563"/>
      <c r="Y64" s="564">
        <f t="shared" si="32"/>
        <v>0</v>
      </c>
      <c r="Z64" s="15">
        <v>0</v>
      </c>
      <c r="AA64" s="15">
        <v>0.14071351127025331</v>
      </c>
      <c r="AB64" s="15">
        <v>0.24322448098123187</v>
      </c>
      <c r="AC64" s="15">
        <v>0</v>
      </c>
      <c r="AD64" s="15">
        <v>0.1760177164995757</v>
      </c>
      <c r="AE64" s="15">
        <v>0.44004429124893918</v>
      </c>
      <c r="AF64" s="15">
        <v>0</v>
      </c>
      <c r="AG64" s="16">
        <f t="shared" ref="AG64:AG68" si="33">SUM(Z64:AF64)</f>
        <v>1</v>
      </c>
      <c r="AH64" t="b">
        <f t="shared" ref="AH64:AH68" si="34">AG64=1</f>
        <v>1</v>
      </c>
      <c r="AI64" s="562"/>
    </row>
    <row r="65" spans="2:35" x14ac:dyDescent="0.3">
      <c r="B65" s="251"/>
      <c r="C65" s="171" t="s">
        <v>235</v>
      </c>
      <c r="D65" s="282" t="str">
        <f>Unit_Rates!G63</f>
        <v>Distribution system assets</v>
      </c>
      <c r="E65" s="282" t="str">
        <f>Unit_Rates!H63</f>
        <v>Augmentation</v>
      </c>
      <c r="F65" s="171" t="str">
        <f t="shared" si="23"/>
        <v>Distribution system assetsAugmentation</v>
      </c>
      <c r="G65" s="565">
        <f>Unit_Rates!I63</f>
        <v>0</v>
      </c>
      <c r="H65" s="455">
        <f>INDEX(Feeder_Vols!$E$7:$O$16,MATCH($B$3,Feeder_Vols!$B$7:$B$15,0),MATCH(3,Feeder_Vols!$E$6:$O$6,0))</f>
        <v>0</v>
      </c>
      <c r="I65" s="224" t="s">
        <v>294</v>
      </c>
      <c r="J65" s="282"/>
      <c r="K65" s="565"/>
      <c r="L65" s="565"/>
      <c r="M65" s="565"/>
      <c r="N65" s="565"/>
      <c r="O65" s="565"/>
      <c r="P65" s="566"/>
      <c r="Q65" s="537">
        <f>P65-H65*Unit_Rates!$E$63</f>
        <v>0</v>
      </c>
      <c r="R65" s="563"/>
      <c r="S65" s="563"/>
      <c r="T65" s="563"/>
      <c r="U65" s="563"/>
      <c r="V65" s="563"/>
      <c r="W65" s="563"/>
      <c r="X65" s="563"/>
      <c r="Y65" s="564">
        <f t="shared" si="32"/>
        <v>0</v>
      </c>
      <c r="Z65" s="15">
        <v>0</v>
      </c>
      <c r="AA65" s="15">
        <v>0.11317869701862385</v>
      </c>
      <c r="AB65" s="15">
        <v>0.25101832039696309</v>
      </c>
      <c r="AC65" s="15">
        <v>0</v>
      </c>
      <c r="AD65" s="15">
        <v>0.18165799502411806</v>
      </c>
      <c r="AE65" s="15">
        <v>0.45414498756029509</v>
      </c>
      <c r="AF65" s="15">
        <v>0</v>
      </c>
      <c r="AG65" s="16">
        <f t="shared" si="33"/>
        <v>1</v>
      </c>
      <c r="AH65" t="b">
        <f t="shared" si="34"/>
        <v>1</v>
      </c>
      <c r="AI65" s="562"/>
    </row>
    <row r="66" spans="2:35" x14ac:dyDescent="0.3">
      <c r="B66" s="251"/>
      <c r="C66" s="171" t="s">
        <v>237</v>
      </c>
      <c r="D66" s="282" t="str">
        <f>Unit_Rates!G64</f>
        <v>Distribution system assets</v>
      </c>
      <c r="E66" s="282" t="str">
        <f>Unit_Rates!H64</f>
        <v>Augmentation</v>
      </c>
      <c r="F66" s="171" t="str">
        <f t="shared" si="23"/>
        <v>Distribution system assetsAugmentation</v>
      </c>
      <c r="G66" s="565">
        <f>Unit_Rates!I64</f>
        <v>0</v>
      </c>
      <c r="H66" s="455">
        <f>INDEX(Feeder_Vols!$E$7:$O$16,MATCH($B$3,Feeder_Vols!$B$7:$B$15,0),MATCH(4,Feeder_Vols!$E$6:$O$6,0))</f>
        <v>0</v>
      </c>
      <c r="I66" s="265" t="s">
        <v>299</v>
      </c>
      <c r="J66" s="282"/>
      <c r="K66" s="565"/>
      <c r="L66" s="565"/>
      <c r="M66" s="565"/>
      <c r="N66" s="565"/>
      <c r="O66" s="565"/>
      <c r="P66" s="566"/>
      <c r="Q66" s="537">
        <f>P66-H66*Unit_Rates!$E$64</f>
        <v>0</v>
      </c>
      <c r="R66" s="563"/>
      <c r="S66" s="563"/>
      <c r="T66" s="563"/>
      <c r="U66" s="563"/>
      <c r="V66" s="563"/>
      <c r="W66" s="563"/>
      <c r="X66" s="563"/>
      <c r="Y66" s="564">
        <f t="shared" si="32"/>
        <v>0</v>
      </c>
      <c r="Z66" s="15">
        <v>0</v>
      </c>
      <c r="AA66" s="15">
        <v>0.17737095137749856</v>
      </c>
      <c r="AB66" s="15">
        <v>0.23284844579258887</v>
      </c>
      <c r="AC66" s="15">
        <v>0</v>
      </c>
      <c r="AD66" s="15">
        <v>0.16850874366568935</v>
      </c>
      <c r="AE66" s="15">
        <v>0.42127185916422333</v>
      </c>
      <c r="AF66" s="15">
        <v>0</v>
      </c>
      <c r="AG66" s="16">
        <f t="shared" si="33"/>
        <v>1</v>
      </c>
      <c r="AH66" t="b">
        <f t="shared" si="34"/>
        <v>1</v>
      </c>
      <c r="AI66" s="562"/>
    </row>
    <row r="67" spans="2:35" x14ac:dyDescent="0.3">
      <c r="B67" s="251"/>
      <c r="C67" s="171" t="s">
        <v>233</v>
      </c>
      <c r="D67" s="282" t="str">
        <f>Unit_Rates!G65</f>
        <v>Distribution system assets</v>
      </c>
      <c r="E67" s="282" t="str">
        <f>Unit_Rates!H65</f>
        <v>Augmentation</v>
      </c>
      <c r="F67" s="171" t="str">
        <f t="shared" si="23"/>
        <v>Distribution system assetsAugmentation</v>
      </c>
      <c r="G67" s="283">
        <f>Unit_Rates!I65</f>
        <v>17.106573023255812</v>
      </c>
      <c r="H67" s="455">
        <f>INDEX(Feeder_Vols!$E$7:$O$16,MATCH($B$3,Feeder_Vols!$B$7:$B$15,0),MATCH(5,Feeder_Vols!$E$6:$O$6,0))</f>
        <v>12</v>
      </c>
      <c r="I67" s="265" t="s">
        <v>300</v>
      </c>
      <c r="J67" s="282"/>
      <c r="K67" s="283">
        <f t="shared" ref="K67" si="35">G67*H67</f>
        <v>205.27887627906975</v>
      </c>
      <c r="L67" s="283">
        <f t="shared" si="24"/>
        <v>39.138240810944964</v>
      </c>
      <c r="M67" s="283">
        <f>$H67*Unit_Rates!K65</f>
        <v>0</v>
      </c>
      <c r="N67" s="283">
        <f>$H67*Unit_Rates!L65</f>
        <v>362.44598422564792</v>
      </c>
      <c r="O67" s="283">
        <f>$H67*Unit_Rates!M65</f>
        <v>45.961209040098481</v>
      </c>
      <c r="P67" s="228">
        <f t="shared" si="25"/>
        <v>652.8243103557611</v>
      </c>
      <c r="Q67" s="537">
        <f>P67-H67*Unit_Rates!$E$65</f>
        <v>0.94325419892766149</v>
      </c>
      <c r="R67" s="327">
        <f t="shared" ref="R67:R68" si="36">$AI67*Z67*$H67</f>
        <v>0</v>
      </c>
      <c r="S67" s="327">
        <f t="shared" si="26"/>
        <v>16.799999999999997</v>
      </c>
      <c r="T67" s="327">
        <f t="shared" si="27"/>
        <v>63.92265155708423</v>
      </c>
      <c r="U67" s="327">
        <f t="shared" si="28"/>
        <v>0</v>
      </c>
      <c r="V67" s="327">
        <f t="shared" si="29"/>
        <v>46.259813626837271</v>
      </c>
      <c r="W67" s="327">
        <f t="shared" si="30"/>
        <v>115.64953406709316</v>
      </c>
      <c r="X67" s="327">
        <f t="shared" si="31"/>
        <v>0</v>
      </c>
      <c r="Y67" s="14">
        <f t="shared" si="32"/>
        <v>242.63199925101463</v>
      </c>
      <c r="Z67" s="15">
        <v>0</v>
      </c>
      <c r="AA67" s="15">
        <v>6.9240660967474346E-2</v>
      </c>
      <c r="AB67" s="15">
        <v>0.26345515741702774</v>
      </c>
      <c r="AC67" s="15">
        <v>0</v>
      </c>
      <c r="AD67" s="15">
        <v>0.19065833760442799</v>
      </c>
      <c r="AE67" s="15">
        <v>0.47664584401106991</v>
      </c>
      <c r="AF67" s="15">
        <v>0</v>
      </c>
      <c r="AG67" s="16">
        <f t="shared" si="33"/>
        <v>1</v>
      </c>
      <c r="AH67" t="b">
        <f t="shared" si="34"/>
        <v>1</v>
      </c>
      <c r="AI67" s="5">
        <v>20.21933327091789</v>
      </c>
    </row>
    <row r="68" spans="2:35" x14ac:dyDescent="0.3">
      <c r="B68" s="251"/>
      <c r="C68" s="282" t="s">
        <v>344</v>
      </c>
      <c r="D68" s="282" t="str">
        <f>Unit_Rates!G66</f>
        <v>Distribution system assets</v>
      </c>
      <c r="E68" s="282" t="str">
        <f>Unit_Rates!H66</f>
        <v>Augmentation</v>
      </c>
      <c r="F68" s="171" t="str">
        <f t="shared" si="23"/>
        <v>Distribution system assetsAugmentation</v>
      </c>
      <c r="G68" s="283">
        <f>Unit_Rates!I66</f>
        <v>0</v>
      </c>
      <c r="H68" s="455">
        <f>INDEX(Feeder_Vols!$E$7:$O$16,MATCH($B$3,Feeder_Vols!$B$7:$B$15,0),MATCH(1,Feeder_Vols!$E$6:$O$6,0))</f>
        <v>12</v>
      </c>
      <c r="I68" s="224" t="s">
        <v>297</v>
      </c>
      <c r="J68" s="282"/>
      <c r="K68" s="283"/>
      <c r="L68" s="283">
        <f t="shared" si="24"/>
        <v>72.554347826087039</v>
      </c>
      <c r="M68" s="283">
        <f>$H68*Unit_Rates!K66</f>
        <v>0</v>
      </c>
      <c r="N68" s="283">
        <f>$H68*Unit_Rates!L66</f>
        <v>93.385480283114219</v>
      </c>
      <c r="O68" s="283">
        <f>$H68*Unit_Rates!M66</f>
        <v>0</v>
      </c>
      <c r="P68" s="228">
        <f t="shared" si="25"/>
        <v>165.93982810920124</v>
      </c>
      <c r="Q68" s="537">
        <f>P68-H68*Unit_Rates!$E$66</f>
        <v>-0.20096056622844571</v>
      </c>
      <c r="R68" s="327">
        <f t="shared" si="36"/>
        <v>0</v>
      </c>
      <c r="S68" s="327">
        <f t="shared" si="26"/>
        <v>0</v>
      </c>
      <c r="T68" s="327">
        <f t="shared" si="27"/>
        <v>0</v>
      </c>
      <c r="U68" s="327">
        <f t="shared" si="28"/>
        <v>0</v>
      </c>
      <c r="V68" s="327">
        <f t="shared" si="29"/>
        <v>0</v>
      </c>
      <c r="W68" s="327">
        <f t="shared" si="30"/>
        <v>0</v>
      </c>
      <c r="X68" s="327">
        <f t="shared" si="31"/>
        <v>556.77762883677156</v>
      </c>
      <c r="Y68" s="14">
        <f t="shared" si="32"/>
        <v>556.77762883677156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1</v>
      </c>
      <c r="AG68" s="16">
        <f t="shared" si="33"/>
        <v>1</v>
      </c>
      <c r="AH68" t="b">
        <f t="shared" si="34"/>
        <v>1</v>
      </c>
      <c r="AI68" s="5">
        <v>46.398135736397627</v>
      </c>
    </row>
    <row r="69" spans="2:35" x14ac:dyDescent="0.3">
      <c r="B69" s="251"/>
      <c r="C69" s="348" t="s">
        <v>342</v>
      </c>
      <c r="D69" s="282" t="str">
        <f>Unit_Rates!G67</f>
        <v>Distribution system assets</v>
      </c>
      <c r="E69" s="282" t="str">
        <f>Unit_Rates!H67</f>
        <v>Replacement</v>
      </c>
      <c r="F69" s="171" t="str">
        <f t="shared" si="23"/>
        <v>Distribution system assetsReplacement</v>
      </c>
      <c r="G69" s="283">
        <f>Unit_Rates!I67</f>
        <v>0</v>
      </c>
      <c r="H69" s="455">
        <f>INDEX(Feeder_Vols!$E$7:$O$16,MATCH($B$3,Feeder_Vols!$B$7:$B$15,0),MATCH(1,Feeder_Vols!$E$6:$N$6,0))+INDEX(Feeder_Vols!$E$7:$N$16,MATCH($B$3,Feeder_Vols!$B$7:$B$15,0),MATCH(6,Feeder_Vols!$E$6:$O$6,0))</f>
        <v>48</v>
      </c>
      <c r="I69" s="224" t="s">
        <v>346</v>
      </c>
      <c r="J69" s="282"/>
      <c r="K69" s="283"/>
      <c r="L69" s="283">
        <f t="shared" si="24"/>
        <v>0</v>
      </c>
      <c r="M69" s="283">
        <f>$H69*Unit_Rates!K67</f>
        <v>0</v>
      </c>
      <c r="N69" s="283">
        <f>$H69*Unit_Rates!L67</f>
        <v>24.989023255813951</v>
      </c>
      <c r="O69" s="283">
        <f>$H69*Unit_Rates!M67</f>
        <v>0</v>
      </c>
      <c r="P69" s="228">
        <f t="shared" si="25"/>
        <v>24.989023255813951</v>
      </c>
      <c r="Q69" s="537">
        <f>P69-H69*Unit_Rates!$E$67</f>
        <v>0</v>
      </c>
      <c r="R69" s="330"/>
      <c r="S69" s="330"/>
      <c r="T69" s="330"/>
      <c r="U69" s="330"/>
      <c r="V69" s="330"/>
      <c r="W69" s="330"/>
      <c r="X69" s="330"/>
      <c r="Y69" s="14">
        <f t="shared" si="32"/>
        <v>0</v>
      </c>
      <c r="Z69" s="15"/>
      <c r="AA69" s="15"/>
      <c r="AB69" s="15"/>
      <c r="AC69" s="15"/>
      <c r="AD69" s="15"/>
      <c r="AE69" s="15"/>
      <c r="AF69" s="15"/>
      <c r="AI69" s="5">
        <v>0</v>
      </c>
    </row>
    <row r="70" spans="2:35" x14ac:dyDescent="0.3">
      <c r="B70" s="251"/>
      <c r="C70" s="348" t="s">
        <v>418</v>
      </c>
      <c r="D70" s="282" t="str">
        <f>Unit_Rates!G68</f>
        <v>Distribution system assets</v>
      </c>
      <c r="E70" s="282" t="str">
        <f>Unit_Rates!H68</f>
        <v>Replacement</v>
      </c>
      <c r="F70" s="171" t="str">
        <f t="shared" si="23"/>
        <v>Distribution system assetsReplacement</v>
      </c>
      <c r="G70" s="283">
        <f>Unit_Rates!I68</f>
        <v>0</v>
      </c>
      <c r="H70" s="455">
        <f>INDEX(Feeder_Vols!$E$7:$O$16,MATCH($B$3,Feeder_Vols!$B$7:$B$15,0),MATCH(7,Feeder_Vols!$E$6:$O$6,0))</f>
        <v>7</v>
      </c>
      <c r="I70" s="224" t="s">
        <v>343</v>
      </c>
      <c r="J70" s="282"/>
      <c r="K70" s="342"/>
      <c r="L70" s="342">
        <f t="shared" si="24"/>
        <v>1.1009047664287279</v>
      </c>
      <c r="M70" s="342">
        <f>$H70*Unit_Rates!K68</f>
        <v>0</v>
      </c>
      <c r="N70" s="342">
        <f>$H70*Unit_Rates!L68</f>
        <v>20.444699962790693</v>
      </c>
      <c r="O70" s="342">
        <f>$H70*Unit_Rates!M68</f>
        <v>0</v>
      </c>
      <c r="P70" s="229">
        <f t="shared" si="25"/>
        <v>21.54560472921942</v>
      </c>
      <c r="Q70" s="537">
        <f>P70-H70*Unit_Rates!$E$68</f>
        <v>5.3711502595525928E-2</v>
      </c>
      <c r="R70" s="327">
        <f t="shared" ref="R70:X70" si="37">$AI70*Z70*$H70</f>
        <v>0</v>
      </c>
      <c r="S70" s="327">
        <f t="shared" si="37"/>
        <v>0</v>
      </c>
      <c r="T70" s="327">
        <f t="shared" si="37"/>
        <v>0</v>
      </c>
      <c r="U70" s="327">
        <f t="shared" si="37"/>
        <v>0</v>
      </c>
      <c r="V70" s="327">
        <f t="shared" si="37"/>
        <v>0</v>
      </c>
      <c r="W70" s="327">
        <f t="shared" si="37"/>
        <v>0</v>
      </c>
      <c r="X70" s="327">
        <f t="shared" si="37"/>
        <v>8.4482758620689644</v>
      </c>
      <c r="Y70" s="14">
        <f t="shared" si="32"/>
        <v>8.4482758620689644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1</v>
      </c>
      <c r="AG70" s="16">
        <f>SUM(Z70:AF70)</f>
        <v>1</v>
      </c>
      <c r="AH70" t="b">
        <f>AG70=1</f>
        <v>1</v>
      </c>
      <c r="AI70" s="5">
        <v>1.2068965517241379</v>
      </c>
    </row>
    <row r="71" spans="2:35" x14ac:dyDescent="0.3">
      <c r="B71" s="251"/>
      <c r="C71" s="236" t="s">
        <v>301</v>
      </c>
      <c r="D71" s="236"/>
      <c r="E71" s="236"/>
      <c r="F71" s="236"/>
      <c r="G71" s="268"/>
      <c r="H71" s="231"/>
      <c r="I71" s="224"/>
      <c r="J71" s="171"/>
      <c r="K71" s="268">
        <v>205.27887627906975</v>
      </c>
      <c r="L71" s="268">
        <v>211.30874278788289</v>
      </c>
      <c r="M71" s="268">
        <v>217.58299534883719</v>
      </c>
      <c r="N71" s="268">
        <v>501.26518772736677</v>
      </c>
      <c r="O71" s="268">
        <v>45.961209040098481</v>
      </c>
      <c r="P71" s="268">
        <v>1181.397011183255</v>
      </c>
      <c r="Q71" s="537"/>
      <c r="R71" s="326"/>
      <c r="S71" s="326"/>
      <c r="T71" s="326"/>
      <c r="U71" s="326"/>
      <c r="V71" s="326"/>
      <c r="W71" s="326"/>
      <c r="X71" s="326"/>
      <c r="Y71" s="14"/>
      <c r="AI71" s="5"/>
    </row>
    <row r="72" spans="2:35" x14ac:dyDescent="0.3">
      <c r="B72" s="251" t="s">
        <v>295</v>
      </c>
      <c r="C72" s="171"/>
      <c r="D72" s="171"/>
      <c r="E72" s="171"/>
      <c r="F72" s="171"/>
      <c r="G72" s="228"/>
      <c r="H72" s="231"/>
      <c r="I72" s="224"/>
      <c r="J72" s="171"/>
      <c r="K72" s="268"/>
      <c r="L72" s="268"/>
      <c r="M72" s="268"/>
      <c r="N72" s="268"/>
      <c r="O72" s="268"/>
      <c r="P72" s="228"/>
      <c r="Q72" s="537"/>
      <c r="R72" s="326"/>
      <c r="S72" s="326"/>
      <c r="T72" s="326"/>
      <c r="U72" s="326"/>
      <c r="V72" s="326"/>
      <c r="W72" s="326"/>
      <c r="X72" s="326"/>
      <c r="Y72" s="14"/>
      <c r="AI72" s="5"/>
    </row>
    <row r="73" spans="2:35" x14ac:dyDescent="0.3">
      <c r="B73" s="251"/>
      <c r="C73" s="171" t="s">
        <v>264</v>
      </c>
      <c r="D73" s="171" t="str">
        <f>Unit_Rates!G76</f>
        <v>Distribution system assets</v>
      </c>
      <c r="E73" s="171" t="str">
        <f>Unit_Rates!H76</f>
        <v>Replacement</v>
      </c>
      <c r="F73" s="171" t="str">
        <f>D73&amp;E73</f>
        <v>Distribution system assetsReplacement</v>
      </c>
      <c r="G73" s="228">
        <f>Unit_Rates!I76</f>
        <v>0.27269767441860471</v>
      </c>
      <c r="H73" s="456">
        <f>INDEX(Feeder_Vols!$B$21:$D$29,MATCH($B$3,Feeder_Vols!$B$21:$B$29,0),3)</f>
        <v>308.24249356591361</v>
      </c>
      <c r="I73" s="266" t="s">
        <v>292</v>
      </c>
      <c r="J73" s="171"/>
      <c r="K73" s="268">
        <f>G73*H73</f>
        <v>84.057011152416365</v>
      </c>
      <c r="L73" s="268">
        <f>SUMPRODUCT(R$5:X$5,R73:X73)/Thousands</f>
        <v>41.966066717126864</v>
      </c>
      <c r="M73" s="268">
        <f>$H73*Unit_Rates!K76</f>
        <v>0</v>
      </c>
      <c r="N73" s="268">
        <f>$H73*Unit_Rates!L76</f>
        <v>161.04319827016479</v>
      </c>
      <c r="O73" s="268">
        <f>$H73*Unit_Rates!M76</f>
        <v>0</v>
      </c>
      <c r="P73" s="228">
        <f>SUM(K73:O73)</f>
        <v>287.06627613970801</v>
      </c>
      <c r="Q73" s="537">
        <f>P73-H73*Unit_Rates!$E$76</f>
        <v>-0.11623734183490342</v>
      </c>
      <c r="R73" s="327">
        <f t="shared" ref="R73:X73" si="38">$AI73*Z73*$H73</f>
        <v>7.4756889569891296</v>
      </c>
      <c r="S73" s="327">
        <f t="shared" si="38"/>
        <v>0</v>
      </c>
      <c r="T73" s="327">
        <f t="shared" si="38"/>
        <v>93.318178186575693</v>
      </c>
      <c r="U73" s="327">
        <f t="shared" si="38"/>
        <v>0</v>
      </c>
      <c r="V73" s="327">
        <f t="shared" si="38"/>
        <v>0</v>
      </c>
      <c r="W73" s="327">
        <f t="shared" si="38"/>
        <v>0</v>
      </c>
      <c r="X73" s="327">
        <f t="shared" si="38"/>
        <v>189.77459696806201</v>
      </c>
      <c r="Y73" s="14">
        <f t="shared" si="32"/>
        <v>290.56846411162684</v>
      </c>
      <c r="Z73" s="15">
        <v>2.5727805595989302E-2</v>
      </c>
      <c r="AA73" s="15">
        <v>0</v>
      </c>
      <c r="AB73" s="15">
        <v>0.32115728206047139</v>
      </c>
      <c r="AC73" s="15">
        <v>0</v>
      </c>
      <c r="AD73" s="15">
        <v>0</v>
      </c>
      <c r="AE73" s="15">
        <v>0</v>
      </c>
      <c r="AF73" s="15">
        <v>0.65311491234353936</v>
      </c>
      <c r="AG73" s="16">
        <f>SUM(Z73:AF73)</f>
        <v>1</v>
      </c>
      <c r="AH73" t="b">
        <f>AG73=1</f>
        <v>1</v>
      </c>
      <c r="AI73" s="5">
        <v>0.94266193070973381</v>
      </c>
    </row>
    <row r="74" spans="2:35" x14ac:dyDescent="0.3">
      <c r="B74" s="251"/>
      <c r="C74" s="171" t="s">
        <v>511</v>
      </c>
      <c r="D74" s="171" t="str">
        <f>Unit_Rates!G77</f>
        <v>Distribution system assets</v>
      </c>
      <c r="E74" s="171" t="str">
        <f>Unit_Rates!H77</f>
        <v>Replacement</v>
      </c>
      <c r="F74" s="171" t="str">
        <f t="shared" ref="F74:F77" si="39">D74&amp;E74</f>
        <v>Distribution system assetsReplacement</v>
      </c>
      <c r="G74" s="268">
        <f>INDEX(Unit_Rates!$C$75:$K$80,MATCH($C74,Unit_Rates!$D$75:$D$80,0),7)</f>
        <v>0</v>
      </c>
      <c r="H74" s="456">
        <f>INDEX(Feeder_Vols!$H$21:$H$29,MATCH($B$3,Feeder_Vols!$G$21:$G$29,0),1)</f>
        <v>182</v>
      </c>
      <c r="I74" s="266" t="s">
        <v>292</v>
      </c>
      <c r="J74" s="171"/>
      <c r="K74" s="268">
        <f>G74*H74</f>
        <v>0</v>
      </c>
      <c r="L74" s="268">
        <f>SUMPRODUCT(R$5:X$5,R74:X74)/Thousands</f>
        <v>53.302376599634414</v>
      </c>
      <c r="M74" s="268">
        <f>$H74*Unit_Rates!K76</f>
        <v>0</v>
      </c>
      <c r="N74" s="268">
        <f>$H74*Unit_Rates!$L$77</f>
        <v>0</v>
      </c>
      <c r="O74" s="268">
        <f>$H74*Unit_Rates!M76</f>
        <v>0</v>
      </c>
      <c r="P74" s="228">
        <f>SUM(K74:O74)</f>
        <v>53.302376599634414</v>
      </c>
      <c r="Q74" s="537">
        <f>P74-H74*Unit_Rates!$E$77</f>
        <v>-0.29209853848713152</v>
      </c>
      <c r="R74" s="327">
        <f t="shared" ref="R74" si="40">$AI74*Z74*$H74</f>
        <v>0</v>
      </c>
      <c r="S74" s="327">
        <f t="shared" ref="S74" si="41">$AI74*AA74*$H74</f>
        <v>0</v>
      </c>
      <c r="T74" s="327">
        <f t="shared" ref="T74" si="42">$AI74*AB74*$H74</f>
        <v>0</v>
      </c>
      <c r="U74" s="327">
        <f t="shared" ref="U74" si="43">$AI74*AC74*$H74</f>
        <v>0</v>
      </c>
      <c r="V74" s="327">
        <f t="shared" ref="V74" si="44">$AI74*AD74*$H74</f>
        <v>336.38090363380041</v>
      </c>
      <c r="W74" s="327">
        <f t="shared" ref="W74" si="45">$AI74*AE74*$H74</f>
        <v>0</v>
      </c>
      <c r="X74" s="327">
        <f t="shared" ref="X74" si="46">$AI74*AF74*$H74</f>
        <v>0</v>
      </c>
      <c r="Y74" s="14">
        <f t="shared" si="32"/>
        <v>336.38090363380041</v>
      </c>
      <c r="Z74" s="15"/>
      <c r="AA74" s="15"/>
      <c r="AB74" s="15"/>
      <c r="AC74" s="15"/>
      <c r="AD74" s="15">
        <v>1</v>
      </c>
      <c r="AE74" s="15"/>
      <c r="AF74" s="15"/>
      <c r="AG74" s="16">
        <f>SUM(Z74:AF74)</f>
        <v>1</v>
      </c>
      <c r="AH74" t="b">
        <f>AG74=1</f>
        <v>1</v>
      </c>
      <c r="AI74" s="46">
        <v>1.8482467232626396</v>
      </c>
    </row>
    <row r="75" spans="2:35" x14ac:dyDescent="0.3">
      <c r="B75" s="251"/>
      <c r="C75" s="171" t="s">
        <v>512</v>
      </c>
      <c r="D75" s="171" t="str">
        <f>Unit_Rates!G78</f>
        <v>Distribution system assets</v>
      </c>
      <c r="E75" s="171" t="str">
        <f>Unit_Rates!H78</f>
        <v>Replacement</v>
      </c>
      <c r="F75" s="171" t="str">
        <f t="shared" si="39"/>
        <v>Distribution system assetsReplacement</v>
      </c>
      <c r="G75" s="268">
        <f>INDEX(Unit_Rates!$C$75:$K$80,MATCH($C75,Unit_Rates!$D$75:$D$80,0),7)</f>
        <v>0</v>
      </c>
      <c r="H75" s="456">
        <f>INDEX(Feeder_Vols!$I$21:$I$29,MATCH($B$3,Feeder_Vols!$G$21:$G$29,0),1)</f>
        <v>88</v>
      </c>
      <c r="I75" s="266" t="s">
        <v>292</v>
      </c>
      <c r="J75" s="171"/>
      <c r="K75" s="268">
        <f t="shared" ref="K75:K77" si="47">G75*H75</f>
        <v>0</v>
      </c>
      <c r="L75" s="268">
        <f>SUMPRODUCT(R$5:X$5,R75:X75)/Thousands</f>
        <v>859.08592321755009</v>
      </c>
      <c r="M75" s="268"/>
      <c r="N75" s="268">
        <f>$H75*Unit_Rates!$L$78</f>
        <v>0</v>
      </c>
      <c r="O75" s="268"/>
      <c r="P75" s="228">
        <f t="shared" ref="P75:P77" si="48">SUM(K75:O75)</f>
        <v>859.08592321755009</v>
      </c>
      <c r="Q75" s="537">
        <f>P75-H75*Unit_Rates!$E$78</f>
        <v>-4.7078152723209996</v>
      </c>
      <c r="R75" s="327">
        <f t="shared" ref="R75" si="49">$AI75*Z75*$H75</f>
        <v>0</v>
      </c>
      <c r="S75" s="327">
        <f t="shared" ref="S75" si="50">$AI75*AA75*$H75</f>
        <v>0</v>
      </c>
      <c r="T75" s="327">
        <f t="shared" ref="T75" si="51">$AI75*AB75*$H75</f>
        <v>0</v>
      </c>
      <c r="U75" s="327">
        <f t="shared" ref="U75" si="52">$AI75*AC75*$H75</f>
        <v>0</v>
      </c>
      <c r="V75" s="327">
        <f t="shared" ref="V75" si="53">$AI75*AD75*$H75</f>
        <v>5421.5237215704028</v>
      </c>
      <c r="W75" s="327">
        <f t="shared" ref="W75" si="54">$AI75*AE75*$H75</f>
        <v>0</v>
      </c>
      <c r="X75" s="327">
        <f t="shared" ref="X75" si="55">$AI75*AF75*$H75</f>
        <v>0</v>
      </c>
      <c r="Y75" s="14">
        <f t="shared" si="32"/>
        <v>5421.5237215704028</v>
      </c>
      <c r="Z75" s="15"/>
      <c r="AA75" s="15"/>
      <c r="AB75" s="15"/>
      <c r="AC75" s="15"/>
      <c r="AD75" s="15">
        <v>1</v>
      </c>
      <c r="AE75" s="15"/>
      <c r="AF75" s="15"/>
      <c r="AG75" s="16">
        <f>SUM(Z75:AF75)</f>
        <v>1</v>
      </c>
      <c r="AH75" t="b">
        <f>AG75=1</f>
        <v>1</v>
      </c>
      <c r="AI75" s="46">
        <v>61.608224108754577</v>
      </c>
    </row>
    <row r="76" spans="2:35" x14ac:dyDescent="0.3">
      <c r="B76" s="251"/>
      <c r="C76" s="171" t="s">
        <v>513</v>
      </c>
      <c r="D76" s="171" t="str">
        <f>Unit_Rates!G79</f>
        <v>Distribution system assets</v>
      </c>
      <c r="E76" s="171" t="str">
        <f>Unit_Rates!H79</f>
        <v>Replacement</v>
      </c>
      <c r="F76" s="171" t="str">
        <f t="shared" si="39"/>
        <v>Distribution system assetsReplacement</v>
      </c>
      <c r="G76" s="268">
        <f>INDEX(Unit_Rates!$C$75:$K$80,MATCH($C76,Unit_Rates!$D$75:$D$80,0),7)</f>
        <v>4.9079189686924494</v>
      </c>
      <c r="H76" s="456">
        <f>INDEX(Feeder_Vols!$J$21:$J$29,MATCH($B$3,Feeder_Vols!$G$21:$G$29,0),1)</f>
        <v>35</v>
      </c>
      <c r="I76" s="266" t="s">
        <v>292</v>
      </c>
      <c r="J76" s="171"/>
      <c r="K76" s="268">
        <f t="shared" si="47"/>
        <v>171.77716390423572</v>
      </c>
      <c r="L76" s="268">
        <f>SUMPRODUCT(R$5:X$5,R76:X76)/Thousands</f>
        <v>0</v>
      </c>
      <c r="M76" s="268"/>
      <c r="N76" s="268">
        <f>$H76*Unit_Rates!$L$79</f>
        <v>558.27578268876607</v>
      </c>
      <c r="O76" s="268"/>
      <c r="P76" s="228">
        <f t="shared" si="48"/>
        <v>730.05294659300182</v>
      </c>
      <c r="Q76" s="537">
        <f>P76-H76*Unit_Rates!$E$79</f>
        <v>0</v>
      </c>
      <c r="R76" s="330"/>
      <c r="S76" s="330"/>
      <c r="T76" s="330"/>
      <c r="U76" s="330"/>
      <c r="V76" s="330"/>
      <c r="W76" s="330"/>
      <c r="X76" s="330"/>
      <c r="Y76" s="14">
        <f t="shared" si="32"/>
        <v>0</v>
      </c>
      <c r="Z76" s="15"/>
      <c r="AA76" s="15"/>
      <c r="AB76" s="15"/>
      <c r="AC76" s="15"/>
      <c r="AD76" s="15"/>
      <c r="AE76" s="15"/>
      <c r="AF76" s="15"/>
      <c r="AG76" s="16"/>
      <c r="AI76" s="5"/>
    </row>
    <row r="77" spans="2:35" x14ac:dyDescent="0.3">
      <c r="B77" s="251"/>
      <c r="C77" s="171" t="s">
        <v>539</v>
      </c>
      <c r="D77" s="171" t="str">
        <f>Unit_Rates!G80</f>
        <v>Distribution system assets</v>
      </c>
      <c r="E77" s="171" t="str">
        <f>Unit_Rates!H80</f>
        <v>Replacement</v>
      </c>
      <c r="F77" s="171" t="str">
        <f t="shared" si="39"/>
        <v>Distribution system assetsReplacement</v>
      </c>
      <c r="G77" s="268">
        <f>INDEX(Unit_Rates!$C$75:$K$80,MATCH($C77,Unit_Rates!$D$75:$D$80,0),7)</f>
        <v>9.8158379373848997E-2</v>
      </c>
      <c r="H77" s="456">
        <f>INDEX(Feeder_Vols!$K$21:$K$29,MATCH($B$3,Feeder_Vols!$G$21:$G$29,0),1)</f>
        <v>3241.62</v>
      </c>
      <c r="I77" s="266" t="s">
        <v>510</v>
      </c>
      <c r="J77" s="171"/>
      <c r="K77" s="268">
        <f t="shared" si="47"/>
        <v>318.19216574585636</v>
      </c>
      <c r="L77" s="268">
        <f>SUMPRODUCT(R$5:X$5,R77:X77)/Thousands</f>
        <v>0</v>
      </c>
      <c r="M77" s="268"/>
      <c r="N77" s="268">
        <f>$H77*Unit_Rates!$L$80</f>
        <v>460.93317129944745</v>
      </c>
      <c r="O77" s="268"/>
      <c r="P77" s="228">
        <f t="shared" si="48"/>
        <v>779.12533704530381</v>
      </c>
      <c r="Q77" s="537">
        <f>P77-H77*Unit_Rates!$E$80</f>
        <v>0</v>
      </c>
      <c r="R77" s="330"/>
      <c r="S77" s="330"/>
      <c r="T77" s="330"/>
      <c r="U77" s="330"/>
      <c r="V77" s="330"/>
      <c r="W77" s="330"/>
      <c r="X77" s="330"/>
      <c r="Y77" s="14">
        <f t="shared" si="32"/>
        <v>0</v>
      </c>
      <c r="Z77" s="15"/>
      <c r="AA77" s="15"/>
      <c r="AB77" s="15"/>
      <c r="AC77" s="15"/>
      <c r="AD77" s="15"/>
      <c r="AE77" s="15"/>
      <c r="AF77" s="15"/>
      <c r="AG77" s="16"/>
      <c r="AI77" s="5"/>
    </row>
    <row r="78" spans="2:35" x14ac:dyDescent="0.3">
      <c r="B78" s="251" t="s">
        <v>46</v>
      </c>
      <c r="C78" s="171"/>
      <c r="D78" s="171"/>
      <c r="E78" s="171"/>
      <c r="F78" s="171"/>
      <c r="G78" s="228"/>
      <c r="H78" s="231"/>
      <c r="I78" s="224"/>
      <c r="J78" s="171"/>
      <c r="K78" s="268"/>
      <c r="L78" s="268"/>
      <c r="M78" s="268"/>
      <c r="N78" s="268"/>
      <c r="O78" s="268"/>
      <c r="P78" s="228"/>
      <c r="Q78" s="537"/>
      <c r="R78" s="329"/>
      <c r="S78" s="326"/>
      <c r="T78" s="326"/>
      <c r="U78" s="326"/>
      <c r="V78" s="326"/>
      <c r="W78" s="326"/>
      <c r="X78" s="326"/>
      <c r="Y78" s="14"/>
      <c r="Z78" s="15"/>
      <c r="AA78" s="15"/>
      <c r="AB78" s="15"/>
      <c r="AC78" s="15"/>
      <c r="AD78" s="15"/>
      <c r="AE78" s="15"/>
      <c r="AF78" s="15"/>
      <c r="AI78" s="5"/>
    </row>
    <row r="79" spans="2:35" x14ac:dyDescent="0.3">
      <c r="B79" s="251"/>
      <c r="C79" s="171" t="s">
        <v>221</v>
      </c>
      <c r="D79" s="171" t="str">
        <f>Unit_Rates!G86</f>
        <v>Distribution system assets</v>
      </c>
      <c r="E79" s="171" t="str">
        <f>Unit_Rates!H86</f>
        <v>Replacement</v>
      </c>
      <c r="F79" s="171" t="str">
        <f t="shared" ref="F79:F82" si="56">D79&amp;E79</f>
        <v>Distribution system assetsReplacement</v>
      </c>
      <c r="G79" s="228">
        <f>Unit_Rates!I86</f>
        <v>22.447723472706969</v>
      </c>
      <c r="H79" s="457">
        <f>INDEX(Feeder_Vols!$C$35:$F$43,MATCH($B$3,Feeder_Vols!$B$35:$B$43,0),1)</f>
        <v>3</v>
      </c>
      <c r="I79" s="264" t="s">
        <v>292</v>
      </c>
      <c r="J79" s="171"/>
      <c r="K79" s="268">
        <f>G79*H79</f>
        <v>67.343170418120906</v>
      </c>
      <c r="L79" s="268">
        <f>SUMPRODUCT(R$5:X$5,R79:X79)/Thousands</f>
        <v>19.204226285592092</v>
      </c>
      <c r="M79" s="268">
        <f>$H79*Unit_Rates!K86</f>
        <v>0</v>
      </c>
      <c r="N79" s="268">
        <f>$H79*Unit_Rates!L86</f>
        <v>31.738906101166059</v>
      </c>
      <c r="O79" s="268">
        <f>$H79*Unit_Rates!M86</f>
        <v>6.9822649111725865E-2</v>
      </c>
      <c r="P79" s="228">
        <f>SUM(K79:O79)</f>
        <v>118.35612545399078</v>
      </c>
      <c r="Q79" s="537">
        <f>P79-(H79*Unit_Rates!$E$86)</f>
        <v>-5.3191742520851903E-2</v>
      </c>
      <c r="R79" s="327">
        <f t="shared" ref="R79:R82" si="57">$AI79*Z79*$H79</f>
        <v>36.358238057886659</v>
      </c>
      <c r="S79" s="327">
        <f t="shared" ref="S79:S82" si="58">$AI79*AA79*$H79</f>
        <v>38.918677357737828</v>
      </c>
      <c r="T79" s="327">
        <f t="shared" ref="T79:T82" si="59">$AI79*AB79*$H79</f>
        <v>44.658199473121385</v>
      </c>
      <c r="U79" s="327">
        <f t="shared" ref="U79:U82" si="60">$AI79*AC79*$H79</f>
        <v>0</v>
      </c>
      <c r="V79" s="327">
        <f t="shared" ref="V79:V82" si="61">$AI79*AD79*$H79</f>
        <v>0</v>
      </c>
      <c r="W79" s="327">
        <f t="shared" ref="W79:W82" si="62">$AI79*AE79*$H79</f>
        <v>0</v>
      </c>
      <c r="X79" s="327">
        <f t="shared" ref="X79:X82" si="63">$AI79*AF79*$H79</f>
        <v>0</v>
      </c>
      <c r="Y79" s="14">
        <f t="shared" si="32"/>
        <v>119.93511488874587</v>
      </c>
      <c r="Z79" s="15">
        <v>0.30314923274650013</v>
      </c>
      <c r="AA79" s="15">
        <v>0.32449777026385929</v>
      </c>
      <c r="AB79" s="15">
        <v>0.37235299698964058</v>
      </c>
      <c r="AC79" s="15">
        <v>0</v>
      </c>
      <c r="AD79" s="15">
        <v>0</v>
      </c>
      <c r="AE79" s="15">
        <v>0</v>
      </c>
      <c r="AF79" s="15">
        <v>0</v>
      </c>
      <c r="AG79" s="16">
        <f t="shared" ref="AG79:AG82" si="64">SUM(Z79:AF79)</f>
        <v>1</v>
      </c>
      <c r="AH79" t="b">
        <f t="shared" ref="AH79:AH87" si="65">AG79=1</f>
        <v>1</v>
      </c>
      <c r="AI79" s="5">
        <v>39.978371629581957</v>
      </c>
    </row>
    <row r="80" spans="2:35" x14ac:dyDescent="0.3">
      <c r="B80" s="251"/>
      <c r="C80" s="171" t="s">
        <v>223</v>
      </c>
      <c r="D80" s="171" t="str">
        <f>Unit_Rates!G87</f>
        <v>Distribution system assets</v>
      </c>
      <c r="E80" s="171" t="str">
        <f>Unit_Rates!H87</f>
        <v>Replacement</v>
      </c>
      <c r="F80" s="171" t="str">
        <f t="shared" si="56"/>
        <v>Distribution system assetsReplacement</v>
      </c>
      <c r="G80" s="228">
        <f>Unit_Rates!I87</f>
        <v>21.323700104130506</v>
      </c>
      <c r="H80" s="457">
        <f>INDEX(Feeder_Vols!$C$35:$F$43,MATCH($B$3,Feeder_Vols!$B$35:$B$43,0),2)</f>
        <v>0</v>
      </c>
      <c r="I80" s="264" t="s">
        <v>292</v>
      </c>
      <c r="J80" s="171"/>
      <c r="K80" s="268">
        <f>G80*H80</f>
        <v>0</v>
      </c>
      <c r="L80" s="268">
        <f>SUMPRODUCT(R$5:X$5,R80:X80)/Thousands</f>
        <v>0</v>
      </c>
      <c r="M80" s="268">
        <f>$H80*Unit_Rates!K87</f>
        <v>0</v>
      </c>
      <c r="N80" s="268">
        <f>$H80*Unit_Rates!L87</f>
        <v>0</v>
      </c>
      <c r="O80" s="268">
        <f>$H80*Unit_Rates!M87</f>
        <v>0</v>
      </c>
      <c r="P80" s="228">
        <f>SUM(K80:O80)</f>
        <v>0</v>
      </c>
      <c r="Q80" s="537">
        <f>P80-(H80*Unit_Rates!$E$87)</f>
        <v>0</v>
      </c>
      <c r="R80" s="327">
        <f t="shared" si="57"/>
        <v>0</v>
      </c>
      <c r="S80" s="327">
        <f t="shared" si="58"/>
        <v>0</v>
      </c>
      <c r="T80" s="327">
        <f t="shared" si="59"/>
        <v>0</v>
      </c>
      <c r="U80" s="327">
        <f t="shared" si="60"/>
        <v>0</v>
      </c>
      <c r="V80" s="327">
        <f t="shared" si="61"/>
        <v>0</v>
      </c>
      <c r="W80" s="327">
        <f t="shared" si="62"/>
        <v>0</v>
      </c>
      <c r="X80" s="327">
        <f t="shared" si="63"/>
        <v>0</v>
      </c>
      <c r="Y80" s="14">
        <f t="shared" si="32"/>
        <v>0</v>
      </c>
      <c r="Z80" s="15">
        <v>0.30314923274650013</v>
      </c>
      <c r="AA80" s="15">
        <v>0.32449777026385929</v>
      </c>
      <c r="AB80" s="15">
        <v>0.37235299698964064</v>
      </c>
      <c r="AC80" s="15">
        <v>0</v>
      </c>
      <c r="AD80" s="15">
        <v>0</v>
      </c>
      <c r="AE80" s="15">
        <v>0</v>
      </c>
      <c r="AF80" s="15">
        <v>0</v>
      </c>
      <c r="AG80" s="16">
        <f t="shared" si="64"/>
        <v>1</v>
      </c>
      <c r="AH80" t="b">
        <f t="shared" si="65"/>
        <v>1</v>
      </c>
      <c r="AI80" s="5">
        <v>42.965971070585908</v>
      </c>
    </row>
    <row r="81" spans="2:35" x14ac:dyDescent="0.3">
      <c r="B81" s="251"/>
      <c r="C81" s="171" t="s">
        <v>225</v>
      </c>
      <c r="D81" s="171" t="str">
        <f>Unit_Rates!G88</f>
        <v>Distribution system assets</v>
      </c>
      <c r="E81" s="171" t="str">
        <f>Unit_Rates!H88</f>
        <v>Replacement</v>
      </c>
      <c r="F81" s="171" t="str">
        <f t="shared" si="56"/>
        <v>Distribution system assetsReplacement</v>
      </c>
      <c r="G81" s="228">
        <f>Unit_Rates!I88</f>
        <v>14.297621705426357</v>
      </c>
      <c r="H81" s="457">
        <f>INDEX(Feeder_Vols!$C$35:$F$43,MATCH($B$3,Feeder_Vols!$B$35:$B$43,0),3)</f>
        <v>0</v>
      </c>
      <c r="I81" s="264" t="s">
        <v>292</v>
      </c>
      <c r="J81" s="171"/>
      <c r="K81" s="268">
        <f>G81*H81</f>
        <v>0</v>
      </c>
      <c r="L81" s="268">
        <f>SUMPRODUCT(R$5:X$5,R81:X81)/Thousands</f>
        <v>0</v>
      </c>
      <c r="M81" s="268">
        <f>$H81*Unit_Rates!K88</f>
        <v>0</v>
      </c>
      <c r="N81" s="268">
        <f>$H81*Unit_Rates!L88</f>
        <v>0</v>
      </c>
      <c r="O81" s="268">
        <f>$H81*Unit_Rates!M88</f>
        <v>0</v>
      </c>
      <c r="P81" s="228">
        <f>SUM(K81:O81)</f>
        <v>0</v>
      </c>
      <c r="Q81" s="537">
        <f>P81-(H81*Unit_Rates!$E$88)</f>
        <v>0</v>
      </c>
      <c r="R81" s="327">
        <f t="shared" si="57"/>
        <v>0</v>
      </c>
      <c r="S81" s="327">
        <f t="shared" si="58"/>
        <v>0</v>
      </c>
      <c r="T81" s="327">
        <f t="shared" si="59"/>
        <v>0</v>
      </c>
      <c r="U81" s="327">
        <f t="shared" si="60"/>
        <v>0</v>
      </c>
      <c r="V81" s="327">
        <f t="shared" si="61"/>
        <v>0</v>
      </c>
      <c r="W81" s="327">
        <f t="shared" si="62"/>
        <v>0</v>
      </c>
      <c r="X81" s="327">
        <f t="shared" si="63"/>
        <v>0</v>
      </c>
      <c r="Y81" s="14">
        <f t="shared" si="32"/>
        <v>0</v>
      </c>
      <c r="Z81" s="15">
        <v>0.11818857666880556</v>
      </c>
      <c r="AA81" s="15">
        <v>0.49778875974979209</v>
      </c>
      <c r="AB81" s="15">
        <v>0.3840226635814023</v>
      </c>
      <c r="AC81" s="15">
        <v>0</v>
      </c>
      <c r="AD81" s="15">
        <v>0</v>
      </c>
      <c r="AE81" s="15">
        <v>0</v>
      </c>
      <c r="AF81" s="15">
        <v>0</v>
      </c>
      <c r="AG81" s="16">
        <f t="shared" si="64"/>
        <v>1</v>
      </c>
      <c r="AH81" t="b">
        <f t="shared" si="65"/>
        <v>1</v>
      </c>
      <c r="AI81" s="5">
        <v>144.70421211980818</v>
      </c>
    </row>
    <row r="82" spans="2:35" x14ac:dyDescent="0.3">
      <c r="B82" s="251"/>
      <c r="C82" s="171" t="s">
        <v>227</v>
      </c>
      <c r="D82" s="171" t="str">
        <f>Unit_Rates!G89</f>
        <v>Distribution system assets</v>
      </c>
      <c r="E82" s="171" t="str">
        <f>Unit_Rates!H89</f>
        <v>Replacement</v>
      </c>
      <c r="F82" s="171" t="str">
        <f t="shared" si="56"/>
        <v>Distribution system assetsReplacement</v>
      </c>
      <c r="G82" s="228">
        <f>Unit_Rates!I89</f>
        <v>182.28643631627907</v>
      </c>
      <c r="H82" s="457">
        <f>INDEX(Feeder_Vols!$C$35:$F$43,MATCH($B$3,Feeder_Vols!$B$35:$B$43,0),4)</f>
        <v>0</v>
      </c>
      <c r="I82" s="264" t="s">
        <v>292</v>
      </c>
      <c r="J82" s="171"/>
      <c r="K82" s="268">
        <f>G82*H82</f>
        <v>0</v>
      </c>
      <c r="L82" s="268">
        <f>SUMPRODUCT(R$5:X$5,R82:X82)/Thousands</f>
        <v>0</v>
      </c>
      <c r="M82" s="268">
        <f>$H82*Unit_Rates!K89</f>
        <v>0</v>
      </c>
      <c r="N82" s="268">
        <f>$H82*Unit_Rates!L89</f>
        <v>0</v>
      </c>
      <c r="O82" s="268">
        <f>$H82*Unit_Rates!M89</f>
        <v>0</v>
      </c>
      <c r="P82" s="228">
        <f>SUM(K82:O82)</f>
        <v>0</v>
      </c>
      <c r="Q82" s="537">
        <f>P82-(H82*Unit_Rates!$E$89)</f>
        <v>0</v>
      </c>
      <c r="R82" s="327">
        <f t="shared" si="57"/>
        <v>0</v>
      </c>
      <c r="S82" s="327">
        <f t="shared" si="58"/>
        <v>0</v>
      </c>
      <c r="T82" s="327">
        <f t="shared" si="59"/>
        <v>0</v>
      </c>
      <c r="U82" s="327">
        <f t="shared" si="60"/>
        <v>0</v>
      </c>
      <c r="V82" s="327">
        <f t="shared" si="61"/>
        <v>0</v>
      </c>
      <c r="W82" s="327">
        <f t="shared" si="62"/>
        <v>0</v>
      </c>
      <c r="X82" s="327">
        <f t="shared" si="63"/>
        <v>0</v>
      </c>
      <c r="Y82" s="14">
        <f t="shared" si="32"/>
        <v>0</v>
      </c>
      <c r="Z82" s="15">
        <v>0.69942688247564233</v>
      </c>
      <c r="AA82" s="15">
        <v>4.8454943655496512E-2</v>
      </c>
      <c r="AB82" s="15">
        <v>0.25211817386886121</v>
      </c>
      <c r="AC82" s="15">
        <v>0</v>
      </c>
      <c r="AD82" s="15">
        <v>0</v>
      </c>
      <c r="AE82" s="15">
        <v>0</v>
      </c>
      <c r="AF82" s="15">
        <v>0</v>
      </c>
      <c r="AG82" s="16">
        <f t="shared" si="64"/>
        <v>1</v>
      </c>
      <c r="AH82" t="b">
        <f t="shared" si="65"/>
        <v>1</v>
      </c>
      <c r="AI82" s="5">
        <v>220.41130997006761</v>
      </c>
    </row>
    <row r="83" spans="2:35" x14ac:dyDescent="0.3">
      <c r="B83" s="251" t="s">
        <v>296</v>
      </c>
      <c r="C83" s="171"/>
      <c r="D83" s="171"/>
      <c r="E83" s="171"/>
      <c r="F83" s="171"/>
      <c r="G83" s="228"/>
      <c r="H83" s="231"/>
      <c r="I83" s="264"/>
      <c r="J83" s="171"/>
      <c r="K83" s="268"/>
      <c r="L83" s="268"/>
      <c r="M83" s="268"/>
      <c r="N83" s="268"/>
      <c r="O83" s="268"/>
      <c r="P83" s="228"/>
      <c r="Q83" s="537"/>
      <c r="R83" s="326"/>
      <c r="S83" s="326"/>
      <c r="T83" s="326"/>
      <c r="U83" s="326"/>
      <c r="V83" s="326"/>
      <c r="W83" s="326"/>
      <c r="X83" s="326"/>
      <c r="Y83" s="14"/>
    </row>
    <row r="84" spans="2:35" x14ac:dyDescent="0.3">
      <c r="B84" s="232"/>
      <c r="C84" s="171" t="s">
        <v>553</v>
      </c>
      <c r="D84" s="171" t="str">
        <f>Unit_Rates!G95</f>
        <v>Distribution system assets</v>
      </c>
      <c r="E84" s="171" t="str">
        <f>Unit_Rates!H95</f>
        <v>Augmentation</v>
      </c>
      <c r="F84" s="171" t="str">
        <f>D84&amp;E84</f>
        <v>Distribution system assetsAugmentation</v>
      </c>
      <c r="G84" s="228">
        <f>Unit_Rates!I95</f>
        <v>490.33390034070919</v>
      </c>
      <c r="H84" s="456">
        <f>INDEX(Feeder_Vols!$C$48:$F$56,MATCH($B$3,Feeder_Vols!$B$48:$B$56,0),1)</f>
        <v>1</v>
      </c>
      <c r="I84" s="264" t="s">
        <v>292</v>
      </c>
      <c r="J84" s="171"/>
      <c r="K84" s="268">
        <f>G84*H84</f>
        <v>490.33390034070919</v>
      </c>
      <c r="L84" s="268">
        <f>SUMPRODUCT(R$5:X$5,R84:X84)/Thousands</f>
        <v>77.234283186271057</v>
      </c>
      <c r="M84" s="268">
        <f>$H84*Unit_Rates!K95</f>
        <v>0</v>
      </c>
      <c r="N84" s="268">
        <f>$H84*Unit_Rates!L95</f>
        <v>128.93321973342987</v>
      </c>
      <c r="O84" s="268">
        <f>$H84*Unit_Rates!M95</f>
        <v>38.680242205499823</v>
      </c>
      <c r="P84" s="228">
        <f>SUM(K84:O84)</f>
        <v>735.18164546590981</v>
      </c>
      <c r="Q84" s="537">
        <f>P84-H84*Unit_Rates!$E95</f>
        <v>-0.12564865378692502</v>
      </c>
      <c r="R84" s="327">
        <f t="shared" ref="R84" si="66">$AI84*Z84*$H84</f>
        <v>85.087900368832209</v>
      </c>
      <c r="S84" s="327">
        <f t="shared" ref="S84" si="67">$AI84*AA84*$H84</f>
        <v>100.89639405738555</v>
      </c>
      <c r="T84" s="327">
        <f t="shared" ref="T84" si="68">$AI84*AB84*$H84</f>
        <v>283.79240616331981</v>
      </c>
      <c r="U84" s="327">
        <f t="shared" ref="U84" si="69">$AI84*AC84*$H84</f>
        <v>0</v>
      </c>
      <c r="V84" s="327">
        <f t="shared" ref="V84" si="70">$AI84*AD84*$H84</f>
        <v>0</v>
      </c>
      <c r="W84" s="327">
        <f t="shared" ref="W84" si="71">$AI84*AE84*$H84</f>
        <v>0</v>
      </c>
      <c r="X84" s="327">
        <f t="shared" ref="X84" si="72">$AI84*AF84*$H84</f>
        <v>0</v>
      </c>
      <c r="Y84" s="14">
        <f t="shared" si="32"/>
        <v>469.77670058953754</v>
      </c>
      <c r="Z84" s="15">
        <v>0.18112413889844414</v>
      </c>
      <c r="AA84" s="15">
        <v>0.21477521965386426</v>
      </c>
      <c r="AB84" s="15">
        <v>0.6041006414476916</v>
      </c>
      <c r="AC84" s="15">
        <v>0</v>
      </c>
      <c r="AD84" s="15">
        <v>0</v>
      </c>
      <c r="AE84" s="15">
        <v>0</v>
      </c>
      <c r="AF84" s="15">
        <v>0</v>
      </c>
      <c r="AG84" s="16">
        <f t="shared" ref="AG84:AG87" si="73">SUM(Z84:AF84)</f>
        <v>1</v>
      </c>
      <c r="AH84" t="b">
        <f t="shared" si="65"/>
        <v>1</v>
      </c>
      <c r="AI84" s="5">
        <v>469.77670058953754</v>
      </c>
    </row>
    <row r="85" spans="2:35" x14ac:dyDescent="0.3">
      <c r="B85" s="232"/>
      <c r="C85" s="171" t="s">
        <v>481</v>
      </c>
      <c r="D85" s="171" t="str">
        <f>Unit_Rates!G96</f>
        <v>Distribution system assets</v>
      </c>
      <c r="E85" s="171" t="str">
        <f>Unit_Rates!H96</f>
        <v>Augmentation</v>
      </c>
      <c r="F85" s="171" t="str">
        <f t="shared" ref="F85:F87" si="74">D85&amp;E85</f>
        <v>Distribution system assetsAugmentation</v>
      </c>
      <c r="G85" s="228">
        <f>Unit_Rates!I96</f>
        <v>440.92036005674521</v>
      </c>
      <c r="H85" s="456">
        <f>INDEX(Feeder_Vols!$C$48:$F$56,MATCH($B$3,Feeder_Vols!$B$48:$B$56,0),2)</f>
        <v>0</v>
      </c>
      <c r="I85" s="264" t="s">
        <v>292</v>
      </c>
      <c r="J85" s="171"/>
      <c r="K85" s="268">
        <f t="shared" ref="K85:K87" si="75">G85*H85</f>
        <v>0</v>
      </c>
      <c r="L85" s="268">
        <f>SUMPRODUCT(R$5:X$5,R85:X85)/Thousands</f>
        <v>0</v>
      </c>
      <c r="M85" s="268">
        <f>$H85*Unit_Rates!K96</f>
        <v>0</v>
      </c>
      <c r="N85" s="268">
        <f>$H85*Unit_Rates!L96</f>
        <v>0</v>
      </c>
      <c r="O85" s="268">
        <f>$H85*Unit_Rates!M96</f>
        <v>0</v>
      </c>
      <c r="P85" s="228">
        <f t="shared" ref="P85:P87" si="76">SUM(K85:O85)</f>
        <v>0</v>
      </c>
      <c r="Q85" s="537">
        <f>P85-H85*Unit_Rates!$E96</f>
        <v>0</v>
      </c>
      <c r="R85" s="327">
        <f t="shared" ref="R85:R87" si="77">$AI85*Z85*$H85</f>
        <v>0</v>
      </c>
      <c r="S85" s="327">
        <f t="shared" ref="S85:S87" si="78">$AI85*AA85*$H85</f>
        <v>0</v>
      </c>
      <c r="T85" s="327">
        <f t="shared" ref="T85:T87" si="79">$AI85*AB85*$H85</f>
        <v>0</v>
      </c>
      <c r="U85" s="327">
        <f t="shared" ref="U85:U87" si="80">$AI85*AC85*$H85</f>
        <v>0</v>
      </c>
      <c r="V85" s="327">
        <f t="shared" ref="V85:V87" si="81">$AI85*AD85*$H85</f>
        <v>0</v>
      </c>
      <c r="W85" s="327">
        <f t="shared" ref="W85:W87" si="82">$AI85*AE85*$H85</f>
        <v>0</v>
      </c>
      <c r="X85" s="327">
        <f t="shared" ref="X85:X87" si="83">$AI85*AF85*$H85</f>
        <v>0</v>
      </c>
      <c r="Y85" s="14">
        <f t="shared" si="32"/>
        <v>0</v>
      </c>
      <c r="Z85" s="15">
        <v>0.18112413889844414</v>
      </c>
      <c r="AA85" s="15">
        <v>0.42955043930772852</v>
      </c>
      <c r="AB85" s="15">
        <v>0.3893254217938274</v>
      </c>
      <c r="AC85" s="15">
        <v>0</v>
      </c>
      <c r="AD85" s="15">
        <v>0</v>
      </c>
      <c r="AE85" s="15">
        <v>0</v>
      </c>
      <c r="AF85" s="15">
        <v>0</v>
      </c>
      <c r="AG85" s="16">
        <f t="shared" si="73"/>
        <v>1</v>
      </c>
      <c r="AH85" t="b">
        <f t="shared" si="65"/>
        <v>1</v>
      </c>
      <c r="AI85" s="5">
        <v>500.15046310508262</v>
      </c>
    </row>
    <row r="86" spans="2:35" x14ac:dyDescent="0.3">
      <c r="B86" s="232"/>
      <c r="C86" s="171" t="s">
        <v>480</v>
      </c>
      <c r="D86" s="171" t="str">
        <f>Unit_Rates!G97</f>
        <v>Distribution system assets</v>
      </c>
      <c r="E86" s="171" t="str">
        <f>Unit_Rates!H97</f>
        <v>Augmentation</v>
      </c>
      <c r="F86" s="171" t="str">
        <f t="shared" si="74"/>
        <v>Distribution system assetsAugmentation</v>
      </c>
      <c r="G86" s="228">
        <f>Unit_Rates!I97</f>
        <v>464.96470387554706</v>
      </c>
      <c r="H86" s="456">
        <f>INDEX(Feeder_Vols!$C$48:$F$56,MATCH($B$3,Feeder_Vols!$B$48:$B$56,0),3)</f>
        <v>0</v>
      </c>
      <c r="I86" s="264" t="s">
        <v>292</v>
      </c>
      <c r="J86" s="171"/>
      <c r="K86" s="268">
        <f t="shared" si="75"/>
        <v>0</v>
      </c>
      <c r="L86" s="268">
        <f>SUMPRODUCT(R$5:X$5,R86:X86)/Thousands</f>
        <v>0</v>
      </c>
      <c r="M86" s="268">
        <f>$H86*Unit_Rates!K97</f>
        <v>0</v>
      </c>
      <c r="N86" s="268">
        <f>$H86*Unit_Rates!L97</f>
        <v>0</v>
      </c>
      <c r="O86" s="268">
        <f>$H86*Unit_Rates!M97</f>
        <v>0</v>
      </c>
      <c r="P86" s="228">
        <f t="shared" si="76"/>
        <v>0</v>
      </c>
      <c r="Q86" s="537">
        <f>P86-H86*Unit_Rates!$E97</f>
        <v>0</v>
      </c>
      <c r="R86" s="327">
        <f t="shared" si="77"/>
        <v>0</v>
      </c>
      <c r="S86" s="327">
        <f t="shared" si="78"/>
        <v>0</v>
      </c>
      <c r="T86" s="327">
        <f t="shared" si="79"/>
        <v>0</v>
      </c>
      <c r="U86" s="327">
        <f t="shared" si="80"/>
        <v>0</v>
      </c>
      <c r="V86" s="327">
        <f t="shared" si="81"/>
        <v>0</v>
      </c>
      <c r="W86" s="327">
        <f t="shared" si="82"/>
        <v>0</v>
      </c>
      <c r="X86" s="327">
        <f t="shared" si="83"/>
        <v>0</v>
      </c>
      <c r="Y86" s="14">
        <f t="shared" si="32"/>
        <v>0</v>
      </c>
      <c r="Z86" s="15">
        <v>0.18112413889844414</v>
      </c>
      <c r="AA86" s="15">
        <v>0.42955043930772852</v>
      </c>
      <c r="AB86" s="15">
        <v>0.3893254217938274</v>
      </c>
      <c r="AC86" s="15">
        <v>0</v>
      </c>
      <c r="AD86" s="15">
        <v>0</v>
      </c>
      <c r="AE86" s="15">
        <v>0</v>
      </c>
      <c r="AF86" s="15">
        <v>0</v>
      </c>
      <c r="AG86" s="16">
        <f t="shared" si="73"/>
        <v>1</v>
      </c>
      <c r="AH86" t="b">
        <f t="shared" si="65"/>
        <v>1</v>
      </c>
      <c r="AI86" s="5">
        <v>416.11120533381393</v>
      </c>
    </row>
    <row r="87" spans="2:35" x14ac:dyDescent="0.3">
      <c r="B87" s="232"/>
      <c r="C87" s="171" t="s">
        <v>295</v>
      </c>
      <c r="D87" s="171" t="str">
        <f>Unit_Rates!G98</f>
        <v>Distribution system assets</v>
      </c>
      <c r="E87" s="171" t="str">
        <f>Unit_Rates!H98</f>
        <v>Replacement</v>
      </c>
      <c r="F87" s="171" t="str">
        <f t="shared" si="74"/>
        <v>Distribution system assetsReplacement</v>
      </c>
      <c r="G87" s="228">
        <f>Unit_Rates!I98</f>
        <v>26.699079189686927</v>
      </c>
      <c r="H87" s="456">
        <f>INDEX(Feeder_Vols!$C$48:$I$56,MATCH($B$3,Feeder_Vols!$B$48:$B$56,0),7)</f>
        <v>3</v>
      </c>
      <c r="I87" s="264" t="s">
        <v>292</v>
      </c>
      <c r="J87" s="171"/>
      <c r="K87" s="268">
        <f t="shared" si="75"/>
        <v>80.097237569060781</v>
      </c>
      <c r="L87" s="268">
        <f>SUMPRODUCT(R$5:X$5,R87:X87)/Thousands</f>
        <v>25.874235567133567</v>
      </c>
      <c r="M87" s="268">
        <f>$H87*Unit_Rates!K98</f>
        <v>16.49060773480663</v>
      </c>
      <c r="N87" s="268">
        <f>$H87*Unit_Rates!L98</f>
        <v>89.520441988950282</v>
      </c>
      <c r="O87" s="268">
        <f>$H87*Unit_Rates!M98</f>
        <v>23.55801104972376</v>
      </c>
      <c r="P87" s="228">
        <f t="shared" si="76"/>
        <v>235.54053390967499</v>
      </c>
      <c r="Q87" s="537">
        <f>P87-H87*Unit_Rates!$E98</f>
        <v>-3.9576587562635268E-2</v>
      </c>
      <c r="R87" s="327">
        <f t="shared" si="77"/>
        <v>48.986176392925984</v>
      </c>
      <c r="S87" s="327">
        <f t="shared" si="78"/>
        <v>52.435907124822187</v>
      </c>
      <c r="T87" s="327">
        <f t="shared" si="79"/>
        <v>60.168879286664662</v>
      </c>
      <c r="U87" s="327">
        <f t="shared" si="80"/>
        <v>0</v>
      </c>
      <c r="V87" s="327">
        <f t="shared" si="81"/>
        <v>0</v>
      </c>
      <c r="W87" s="327">
        <f t="shared" si="82"/>
        <v>0</v>
      </c>
      <c r="X87" s="327">
        <f t="shared" si="83"/>
        <v>0</v>
      </c>
      <c r="Y87" s="14">
        <f t="shared" si="32"/>
        <v>161.59096280441284</v>
      </c>
      <c r="Z87" s="15">
        <v>0.30314923274650013</v>
      </c>
      <c r="AA87" s="15">
        <v>0.32449777026385929</v>
      </c>
      <c r="AB87" s="15">
        <v>0.37235299698964064</v>
      </c>
      <c r="AC87" s="15">
        <v>0</v>
      </c>
      <c r="AD87" s="15">
        <v>0</v>
      </c>
      <c r="AE87" s="15">
        <v>0</v>
      </c>
      <c r="AF87" s="15">
        <v>0</v>
      </c>
      <c r="AG87" s="16">
        <f t="shared" si="73"/>
        <v>1</v>
      </c>
      <c r="AH87" t="b">
        <f t="shared" si="65"/>
        <v>1</v>
      </c>
      <c r="AI87" s="5">
        <v>53.863654268137608</v>
      </c>
    </row>
    <row r="88" spans="2:35" x14ac:dyDescent="0.3">
      <c r="B88" s="232"/>
      <c r="C88" s="171"/>
      <c r="D88" s="171"/>
      <c r="E88" s="171"/>
      <c r="F88" s="171"/>
      <c r="G88" s="224"/>
      <c r="H88" s="232"/>
      <c r="I88" s="224"/>
      <c r="J88" s="171"/>
      <c r="K88" s="235"/>
      <c r="L88" s="235"/>
      <c r="M88" s="235"/>
      <c r="N88" s="235"/>
      <c r="O88" s="235"/>
      <c r="P88" s="224"/>
    </row>
    <row r="89" spans="2:35" x14ac:dyDescent="0.3">
      <c r="B89" s="251" t="s">
        <v>283</v>
      </c>
      <c r="C89" s="171"/>
      <c r="D89" s="171"/>
      <c r="E89" s="171"/>
      <c r="F89" s="171"/>
      <c r="G89" s="224"/>
      <c r="H89" s="232"/>
      <c r="I89" s="224"/>
      <c r="J89" s="171"/>
      <c r="K89" s="319">
        <f>SUM(K71:K87)</f>
        <v>1417.0795254094692</v>
      </c>
      <c r="L89" s="319">
        <f t="shared" ref="L89:P89" si="84">SUM(L71:L87)</f>
        <v>1287.9758543611911</v>
      </c>
      <c r="M89" s="319">
        <f t="shared" si="84"/>
        <v>234.07360308364383</v>
      </c>
      <c r="N89" s="319">
        <f t="shared" si="84"/>
        <v>1931.7099078092915</v>
      </c>
      <c r="O89" s="319">
        <f t="shared" si="84"/>
        <v>108.26928494443379</v>
      </c>
      <c r="P89" s="319">
        <f t="shared" si="84"/>
        <v>4979.1081756080293</v>
      </c>
    </row>
    <row r="90" spans="2:35" x14ac:dyDescent="0.3">
      <c r="B90" s="259" t="s">
        <v>55</v>
      </c>
      <c r="C90" s="260"/>
      <c r="D90" s="260"/>
      <c r="E90" s="260"/>
      <c r="F90" s="260"/>
      <c r="G90" s="260"/>
      <c r="H90" s="260"/>
      <c r="I90" s="260"/>
      <c r="J90" s="260"/>
      <c r="K90" s="323">
        <f>K89-SUMIF(Direct_Capex_Totals!$B$19:$B$109,$B$3,Direct_Capex_Totals!Q$19:Q$109)</f>
        <v>0</v>
      </c>
      <c r="L90" s="323">
        <f>L89-SUMIF(Direct_Capex_Totals!$B$19:$B$109,$B$3,Direct_Capex_Totals!R$19:R$109)</f>
        <v>0</v>
      </c>
      <c r="M90" s="323">
        <f>M89-SUMIF(Direct_Capex_Totals!$B$19:$B$109,$B$3,Direct_Capex_Totals!S$19:S$109)</f>
        <v>0</v>
      </c>
      <c r="N90" s="323">
        <f>N89-SUMIF(Direct_Capex_Totals!$B$19:$B$109,$B$3,Direct_Capex_Totals!T$19:T$109)</f>
        <v>0</v>
      </c>
      <c r="O90" s="323">
        <f>O89-SUMIF(Direct_Capex_Totals!$B$19:$B$109,$B$3,Direct_Capex_Totals!U$19:U$109)</f>
        <v>0</v>
      </c>
      <c r="P90" s="324">
        <f>SUM(K90:O90)</f>
        <v>0</v>
      </c>
      <c r="Q90" s="11"/>
    </row>
    <row r="91" spans="2:35" x14ac:dyDescent="0.3">
      <c r="B91" s="232"/>
      <c r="C91" s="171"/>
      <c r="D91" s="171"/>
      <c r="E91" s="171"/>
      <c r="F91" s="171"/>
      <c r="G91" s="171"/>
      <c r="H91" s="171"/>
      <c r="I91" s="171"/>
      <c r="J91" s="171"/>
      <c r="K91" s="157"/>
      <c r="L91" s="157"/>
      <c r="M91" s="157"/>
      <c r="N91" s="157"/>
      <c r="O91" s="157"/>
      <c r="P91" s="233"/>
    </row>
    <row r="92" spans="2:35" x14ac:dyDescent="0.3">
      <c r="B92" s="251" t="s">
        <v>103</v>
      </c>
      <c r="C92" s="252"/>
      <c r="D92" s="252"/>
      <c r="E92" s="252"/>
      <c r="F92" s="252"/>
      <c r="G92" s="252"/>
      <c r="H92" s="252"/>
      <c r="I92" s="252"/>
      <c r="J92" s="252"/>
      <c r="K92" s="26">
        <f>K58+K89</f>
        <v>5330.9599829352537</v>
      </c>
      <c r="L92" s="26">
        <f>L58+L89</f>
        <v>2066.638354361191</v>
      </c>
      <c r="M92" s="26">
        <f t="shared" ref="M92:N92" si="85">M58+M89</f>
        <v>878.63174261852737</v>
      </c>
      <c r="N92" s="26">
        <f t="shared" si="85"/>
        <v>4780.2669903395927</v>
      </c>
      <c r="O92" s="26">
        <f>O58+O89</f>
        <v>477.6590342561816</v>
      </c>
      <c r="P92" s="253">
        <f>P58+P89</f>
        <v>13534.156104510745</v>
      </c>
    </row>
    <row r="93" spans="2:35" x14ac:dyDescent="0.3">
      <c r="B93" s="258" t="s">
        <v>55</v>
      </c>
      <c r="C93" s="254"/>
      <c r="D93" s="254"/>
      <c r="E93" s="254"/>
      <c r="F93" s="254"/>
      <c r="G93" s="254"/>
      <c r="H93" s="254"/>
      <c r="I93" s="254"/>
      <c r="J93" s="254"/>
      <c r="K93" s="255">
        <f>K92-Direct_Capex_Totals!Q134</f>
        <v>0</v>
      </c>
      <c r="L93" s="255">
        <f>L92-Direct_Capex_Totals!R134</f>
        <v>0</v>
      </c>
      <c r="M93" s="255">
        <f>M92-Direct_Capex_Totals!S134</f>
        <v>0</v>
      </c>
      <c r="N93" s="255">
        <f>N92-Direct_Capex_Totals!T134</f>
        <v>0</v>
      </c>
      <c r="O93" s="255">
        <f>O92-Direct_Capex_Totals!U134</f>
        <v>0</v>
      </c>
      <c r="P93" s="257">
        <f>SUM(K93:O93)</f>
        <v>0</v>
      </c>
    </row>
    <row r="96" spans="2:35" hidden="1" outlineLevel="1" x14ac:dyDescent="0.3">
      <c r="C96" t="s">
        <v>261</v>
      </c>
      <c r="D96" t="s">
        <v>18</v>
      </c>
      <c r="E96" t="s">
        <v>42</v>
      </c>
      <c r="F96" s="171" t="str">
        <f t="shared" ref="F96:F116" si="86">D96&amp;E96</f>
        <v>SubtransmissionAugmentation</v>
      </c>
      <c r="K96" s="6">
        <v>1097.2108780291599</v>
      </c>
      <c r="L96" s="6">
        <v>0</v>
      </c>
      <c r="M96" s="6">
        <v>0</v>
      </c>
      <c r="N96" s="6">
        <v>2361.0799941325113</v>
      </c>
      <c r="O96" s="6">
        <v>364.96280640198722</v>
      </c>
      <c r="P96" s="6">
        <v>3823.2536785636585</v>
      </c>
    </row>
    <row r="97" spans="3:16" hidden="1" outlineLevel="1" x14ac:dyDescent="0.3">
      <c r="D97" t="s">
        <v>18</v>
      </c>
      <c r="E97" t="s">
        <v>44</v>
      </c>
      <c r="F97" s="171" t="str">
        <f t="shared" si="86"/>
        <v>SubtransmissionReplacement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</row>
    <row r="98" spans="3:16" hidden="1" outlineLevel="1" x14ac:dyDescent="0.3">
      <c r="D98" t="s">
        <v>22</v>
      </c>
      <c r="E98" t="s">
        <v>42</v>
      </c>
      <c r="F98" s="171" t="str">
        <f t="shared" si="86"/>
        <v>SCADA/Network controlAugmentation</v>
      </c>
      <c r="K98" s="6">
        <v>2816.669579496624</v>
      </c>
      <c r="L98" s="6">
        <v>0</v>
      </c>
      <c r="M98" s="6">
        <v>0</v>
      </c>
      <c r="N98" s="6">
        <v>487.47708839779011</v>
      </c>
      <c r="O98" s="6">
        <v>4.4269429097605881</v>
      </c>
      <c r="P98" s="6">
        <v>3308.5736108041751</v>
      </c>
    </row>
    <row r="99" spans="3:16" hidden="1" outlineLevel="1" x14ac:dyDescent="0.3">
      <c r="D99" t="s">
        <v>22</v>
      </c>
      <c r="E99" t="s">
        <v>44</v>
      </c>
      <c r="F99" s="171" t="str">
        <f t="shared" si="86"/>
        <v>SCADA/Network controlReplacement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</row>
    <row r="100" spans="3:16" hidden="1" outlineLevel="1" x14ac:dyDescent="0.3">
      <c r="D100" t="s">
        <v>195</v>
      </c>
      <c r="E100" t="s">
        <v>66</v>
      </c>
      <c r="F100" s="171" t="str">
        <f t="shared" si="86"/>
        <v>LandNon-Network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</row>
    <row r="101" spans="3:16" hidden="1" outlineLevel="1" x14ac:dyDescent="0.3">
      <c r="F101" s="171"/>
      <c r="K101" s="6">
        <v>3913.8804575257836</v>
      </c>
      <c r="L101" s="6">
        <v>0</v>
      </c>
      <c r="M101" s="6">
        <v>0</v>
      </c>
      <c r="N101" s="6">
        <v>2848.5570825303012</v>
      </c>
      <c r="O101" s="6">
        <v>369.38974931174783</v>
      </c>
      <c r="P101" s="6">
        <v>7131.8272893678331</v>
      </c>
    </row>
    <row r="102" spans="3:16" hidden="1" outlineLevel="1" x14ac:dyDescent="0.3">
      <c r="C102" t="s">
        <v>368</v>
      </c>
      <c r="D102" t="s">
        <v>18</v>
      </c>
      <c r="E102" t="s">
        <v>42</v>
      </c>
      <c r="F102" s="171" t="str">
        <f t="shared" ref="F102:F106" si="87">D102&amp;E102</f>
        <v>SubtransmissionAugmentation</v>
      </c>
      <c r="K102" s="6"/>
      <c r="L102" s="6">
        <v>417.4279811742972</v>
      </c>
      <c r="M102" s="6">
        <v>345.53686987046046</v>
      </c>
      <c r="N102" s="6">
        <v>0</v>
      </c>
      <c r="O102" s="6"/>
      <c r="P102" s="6">
        <v>762.96485104475767</v>
      </c>
    </row>
    <row r="103" spans="3:16" hidden="1" outlineLevel="1" x14ac:dyDescent="0.3">
      <c r="D103" t="s">
        <v>18</v>
      </c>
      <c r="E103" t="s">
        <v>44</v>
      </c>
      <c r="F103" s="171" t="str">
        <f t="shared" si="87"/>
        <v>SubtransmissionReplacement</v>
      </c>
      <c r="K103" s="6"/>
      <c r="L103" s="6">
        <v>0</v>
      </c>
      <c r="M103" s="6">
        <v>0</v>
      </c>
      <c r="N103" s="6">
        <v>0</v>
      </c>
      <c r="O103" s="6"/>
      <c r="P103" s="6">
        <v>0</v>
      </c>
    </row>
    <row r="104" spans="3:16" hidden="1" outlineLevel="1" x14ac:dyDescent="0.3">
      <c r="D104" t="s">
        <v>22</v>
      </c>
      <c r="E104" t="s">
        <v>42</v>
      </c>
      <c r="F104" s="171" t="str">
        <f t="shared" si="87"/>
        <v>SCADA/Network controlAugmentation</v>
      </c>
      <c r="K104" s="6"/>
      <c r="L104" s="6">
        <v>361.23451882570288</v>
      </c>
      <c r="M104" s="6">
        <v>299.02126966442319</v>
      </c>
      <c r="N104" s="6">
        <v>0</v>
      </c>
      <c r="O104" s="6"/>
      <c r="P104" s="6">
        <v>660.25578849012606</v>
      </c>
    </row>
    <row r="105" spans="3:16" hidden="1" outlineLevel="1" x14ac:dyDescent="0.3">
      <c r="D105" t="s">
        <v>22</v>
      </c>
      <c r="E105" t="s">
        <v>44</v>
      </c>
      <c r="F105" s="171" t="str">
        <f t="shared" si="87"/>
        <v>SCADA/Network controlReplacement</v>
      </c>
      <c r="K105" s="6"/>
      <c r="L105" s="6">
        <v>0</v>
      </c>
      <c r="M105" s="6">
        <v>0</v>
      </c>
      <c r="N105" s="6">
        <v>0</v>
      </c>
      <c r="O105" s="6"/>
      <c r="P105" s="6">
        <v>0</v>
      </c>
    </row>
    <row r="106" spans="3:16" hidden="1" outlineLevel="1" x14ac:dyDescent="0.3">
      <c r="D106" t="s">
        <v>195</v>
      </c>
      <c r="E106" t="s">
        <v>66</v>
      </c>
      <c r="F106" s="171" t="str">
        <f t="shared" si="87"/>
        <v>LandNon-Network</v>
      </c>
      <c r="K106" s="39"/>
      <c r="L106" s="39">
        <v>0</v>
      </c>
      <c r="M106" s="39">
        <v>0</v>
      </c>
      <c r="N106" s="39">
        <v>0</v>
      </c>
      <c r="O106" s="39"/>
      <c r="P106" s="39">
        <v>0</v>
      </c>
    </row>
    <row r="107" spans="3:16" hidden="1" outlineLevel="1" x14ac:dyDescent="0.3">
      <c r="F107" s="171"/>
      <c r="K107" s="6">
        <v>0</v>
      </c>
      <c r="L107" s="6">
        <v>778.66250000000014</v>
      </c>
      <c r="M107" s="6">
        <v>644.55813953488359</v>
      </c>
      <c r="N107" s="6">
        <v>0</v>
      </c>
      <c r="O107" s="6">
        <v>0</v>
      </c>
      <c r="P107" s="6">
        <v>1423.2206395348837</v>
      </c>
    </row>
    <row r="108" spans="3:16" hidden="1" outlineLevel="1" x14ac:dyDescent="0.3">
      <c r="C108" t="s">
        <v>377</v>
      </c>
      <c r="D108" t="s">
        <v>18</v>
      </c>
      <c r="E108" t="s">
        <v>42</v>
      </c>
      <c r="F108" s="171" t="str">
        <f t="shared" ref="F108:F112" si="88">D108&amp;E108</f>
        <v>SubtransmissionAugmentation</v>
      </c>
      <c r="K108" s="6">
        <v>1097.2108780291599</v>
      </c>
      <c r="L108" s="6">
        <v>417.4279811742972</v>
      </c>
      <c r="M108" s="6">
        <v>345.53686987046046</v>
      </c>
      <c r="N108" s="6">
        <v>2361.0799941325113</v>
      </c>
      <c r="O108" s="6">
        <v>364.96280640198722</v>
      </c>
      <c r="P108" s="6">
        <v>4586.2185296084162</v>
      </c>
    </row>
    <row r="109" spans="3:16" hidden="1" outlineLevel="1" x14ac:dyDescent="0.3">
      <c r="D109" t="s">
        <v>18</v>
      </c>
      <c r="E109" t="s">
        <v>44</v>
      </c>
      <c r="F109" s="171" t="str">
        <f t="shared" si="88"/>
        <v>SubtransmissionReplacement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</row>
    <row r="110" spans="3:16" hidden="1" outlineLevel="1" x14ac:dyDescent="0.3">
      <c r="D110" t="s">
        <v>22</v>
      </c>
      <c r="E110" t="s">
        <v>42</v>
      </c>
      <c r="F110" s="171" t="str">
        <f t="shared" si="88"/>
        <v>SCADA/Network controlAugmentation</v>
      </c>
      <c r="K110" s="6">
        <v>2816.669579496624</v>
      </c>
      <c r="L110" s="6">
        <v>361.23451882570288</v>
      </c>
      <c r="M110" s="6">
        <v>299.02126966442319</v>
      </c>
      <c r="N110" s="6">
        <v>487.47708839779011</v>
      </c>
      <c r="O110" s="6">
        <v>4.4269429097605881</v>
      </c>
      <c r="P110" s="6">
        <v>3968.8293992943013</v>
      </c>
    </row>
    <row r="111" spans="3:16" hidden="1" outlineLevel="1" x14ac:dyDescent="0.3">
      <c r="D111" t="s">
        <v>22</v>
      </c>
      <c r="E111" t="s">
        <v>44</v>
      </c>
      <c r="F111" s="171" t="str">
        <f t="shared" si="88"/>
        <v>SCADA/Network controlReplacement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3:16" hidden="1" outlineLevel="1" x14ac:dyDescent="0.3">
      <c r="D112" t="s">
        <v>195</v>
      </c>
      <c r="E112" t="s">
        <v>66</v>
      </c>
      <c r="F112" s="171" t="str">
        <f t="shared" si="88"/>
        <v>LandNon-Network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</row>
    <row r="113" spans="3:16" hidden="1" outlineLevel="1" x14ac:dyDescent="0.3">
      <c r="F113" s="171"/>
      <c r="K113" s="6">
        <v>3913.8804575257836</v>
      </c>
      <c r="L113" s="6">
        <v>778.66250000000014</v>
      </c>
      <c r="M113" s="6">
        <v>644.55813953488359</v>
      </c>
      <c r="N113" s="6">
        <v>2848.5570825303012</v>
      </c>
      <c r="O113" s="6">
        <v>369.38974931174783</v>
      </c>
      <c r="P113" s="6">
        <v>8555.0479289027171</v>
      </c>
    </row>
    <row r="114" spans="3:16" hidden="1" outlineLevel="1" x14ac:dyDescent="0.3">
      <c r="F114" s="171"/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</row>
    <row r="115" spans="3:16" hidden="1" outlineLevel="1" x14ac:dyDescent="0.3">
      <c r="C115" t="s">
        <v>17</v>
      </c>
      <c r="D115" t="s">
        <v>19</v>
      </c>
      <c r="E115" t="s">
        <v>42</v>
      </c>
      <c r="F115" s="171" t="str">
        <f t="shared" si="86"/>
        <v>Distribution system assetsAugmentation</v>
      </c>
      <c r="K115" s="6">
        <v>205.27887627906975</v>
      </c>
      <c r="L115" s="6">
        <v>210.20783802145417</v>
      </c>
      <c r="M115" s="6">
        <v>217.58299534883719</v>
      </c>
      <c r="N115" s="6">
        <v>455.83146450876211</v>
      </c>
      <c r="O115" s="6">
        <v>45.961209040098481</v>
      </c>
      <c r="P115" s="6">
        <v>1134.8623831982218</v>
      </c>
    </row>
    <row r="116" spans="3:16" hidden="1" outlineLevel="1" x14ac:dyDescent="0.3">
      <c r="D116" t="s">
        <v>19</v>
      </c>
      <c r="E116" t="s">
        <v>44</v>
      </c>
      <c r="F116" s="171" t="str">
        <f t="shared" si="86"/>
        <v>Distribution system assetsReplacement</v>
      </c>
      <c r="K116" s="39">
        <v>0</v>
      </c>
      <c r="L116" s="39">
        <v>1.1009047664287279</v>
      </c>
      <c r="M116" s="39">
        <v>0</v>
      </c>
      <c r="N116" s="39">
        <v>45.433723218604641</v>
      </c>
      <c r="O116" s="39">
        <v>0</v>
      </c>
      <c r="P116" s="39">
        <v>46.534627985033367</v>
      </c>
    </row>
    <row r="117" spans="3:16" hidden="1" outlineLevel="1" x14ac:dyDescent="0.3">
      <c r="K117" s="14">
        <v>205.27887627906975</v>
      </c>
      <c r="L117" s="14">
        <v>211.30874278788289</v>
      </c>
      <c r="M117" s="14">
        <v>217.58299534883719</v>
      </c>
      <c r="N117" s="14">
        <v>501.26518772736677</v>
      </c>
      <c r="O117" s="14">
        <v>45.961209040098481</v>
      </c>
      <c r="P117" s="14">
        <v>1181.3970111832552</v>
      </c>
    </row>
    <row r="118" spans="3:16" hidden="1" outlineLevel="1" x14ac:dyDescent="0.3">
      <c r="K118" s="19">
        <f>K117-K71</f>
        <v>0</v>
      </c>
      <c r="L118" s="19">
        <f t="shared" ref="L118:P118" si="89">L117-L71</f>
        <v>0</v>
      </c>
      <c r="M118" s="19">
        <f t="shared" si="89"/>
        <v>0</v>
      </c>
      <c r="N118" s="19">
        <f t="shared" si="89"/>
        <v>0</v>
      </c>
      <c r="O118" s="19">
        <f t="shared" si="89"/>
        <v>0</v>
      </c>
      <c r="P118" s="19">
        <f t="shared" si="89"/>
        <v>0</v>
      </c>
    </row>
    <row r="119" spans="3:16" collapsed="1" x14ac:dyDescent="0.3"/>
  </sheetData>
  <mergeCells count="3">
    <mergeCell ref="G3:I3"/>
    <mergeCell ref="K3:P3"/>
    <mergeCell ref="R3:X3"/>
  </mergeCells>
  <pageMargins left="0.25" right="0.25" top="0.75" bottom="0.75" header="0.3" footer="0.3"/>
  <pageSetup paperSize="9" scale="72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B1:BA118"/>
  <sheetViews>
    <sheetView zoomScale="85" zoomScaleNormal="85" workbookViewId="0">
      <pane ySplit="4" topLeftCell="A5" activePane="bottomLeft" state="frozen"/>
      <selection activeCell="N1" sqref="N1"/>
      <selection pane="bottomLeft" activeCell="N5" sqref="N5"/>
    </sheetView>
  </sheetViews>
  <sheetFormatPr defaultRowHeight="14.4" outlineLevelRow="1" outlineLevelCol="1" x14ac:dyDescent="0.3"/>
  <cols>
    <col min="1" max="1" width="2.33203125" customWidth="1"/>
    <col min="2" max="2" width="3" customWidth="1"/>
    <col min="3" max="3" width="48.6640625" customWidth="1"/>
    <col min="4" max="6" width="20.33203125" hidden="1" customWidth="1" outlineLevel="1"/>
    <col min="7" max="7" width="9.33203125" bestFit="1" customWidth="1" collapsed="1"/>
    <col min="8" max="8" width="8.6640625" customWidth="1"/>
    <col min="9" max="9" width="10.88671875" customWidth="1"/>
    <col min="10" max="10" width="2.33203125" customWidth="1"/>
    <col min="11" max="11" width="9.5546875" bestFit="1" customWidth="1"/>
    <col min="12" max="12" width="9.44140625" bestFit="1" customWidth="1"/>
    <col min="13" max="13" width="9.44140625" customWidth="1"/>
    <col min="14" max="14" width="12.5546875" customWidth="1"/>
    <col min="15" max="15" width="9.109375" bestFit="1" customWidth="1"/>
    <col min="16" max="16" width="9.33203125" bestFit="1" customWidth="1"/>
    <col min="18" max="18" width="9.5546875" customWidth="1"/>
    <col min="19" max="19" width="10.6640625" customWidth="1"/>
    <col min="20" max="20" width="10.33203125" bestFit="1" customWidth="1"/>
    <col min="26" max="35" width="8.88671875" hidden="1" customWidth="1" outlineLevel="1"/>
    <col min="36" max="36" width="8.88671875" collapsed="1"/>
    <col min="41" max="41" width="30" customWidth="1"/>
  </cols>
  <sheetData>
    <row r="1" spans="2:33" x14ac:dyDescent="0.3">
      <c r="N1" s="567" t="s">
        <v>425</v>
      </c>
    </row>
    <row r="2" spans="2:33" x14ac:dyDescent="0.3">
      <c r="B2" s="22" t="str">
        <f>STN_4&amp;" Volumes &amp; Unit Rates"</f>
        <v>WOTS22 Volumes &amp; Unit Rates</v>
      </c>
    </row>
    <row r="3" spans="2:33" x14ac:dyDescent="0.3">
      <c r="B3" t="str">
        <f>STN_4</f>
        <v>WOTS22</v>
      </c>
      <c r="G3" s="596" t="s">
        <v>135</v>
      </c>
      <c r="H3" s="597"/>
      <c r="I3" s="598"/>
      <c r="K3" s="596" t="s">
        <v>633</v>
      </c>
      <c r="L3" s="597"/>
      <c r="M3" s="597"/>
      <c r="N3" s="597"/>
      <c r="O3" s="597"/>
      <c r="P3" s="598"/>
      <c r="R3" s="596" t="s">
        <v>352</v>
      </c>
      <c r="S3" s="597"/>
      <c r="T3" s="597"/>
      <c r="U3" s="597"/>
      <c r="V3" s="597"/>
      <c r="W3" s="597"/>
      <c r="X3" s="598"/>
    </row>
    <row r="4" spans="2:33" ht="41.4" x14ac:dyDescent="0.3">
      <c r="D4" t="s">
        <v>362</v>
      </c>
      <c r="E4" t="s">
        <v>84</v>
      </c>
      <c r="G4" s="221" t="s">
        <v>634</v>
      </c>
      <c r="H4" s="230" t="s">
        <v>265</v>
      </c>
      <c r="I4" s="220" t="s">
        <v>293</v>
      </c>
      <c r="K4" s="220" t="s">
        <v>135</v>
      </c>
      <c r="L4" s="220" t="s">
        <v>290</v>
      </c>
      <c r="M4" s="295" t="s">
        <v>136</v>
      </c>
      <c r="N4" s="221" t="s">
        <v>137</v>
      </c>
      <c r="O4" s="220" t="s">
        <v>60</v>
      </c>
      <c r="P4" s="220" t="s">
        <v>291</v>
      </c>
      <c r="Q4" s="266" t="s">
        <v>114</v>
      </c>
      <c r="R4" s="298" t="s">
        <v>285</v>
      </c>
      <c r="S4" s="298" t="s">
        <v>289</v>
      </c>
      <c r="T4" s="298" t="s">
        <v>256</v>
      </c>
      <c r="U4" s="298" t="s">
        <v>286</v>
      </c>
      <c r="V4" s="298" t="s">
        <v>287</v>
      </c>
      <c r="W4" s="298" t="s">
        <v>288</v>
      </c>
      <c r="X4" s="298" t="s">
        <v>345</v>
      </c>
      <c r="Y4" s="460" t="s">
        <v>485</v>
      </c>
    </row>
    <row r="5" spans="2:33" x14ac:dyDescent="0.3">
      <c r="B5" s="248" t="s">
        <v>314</v>
      </c>
      <c r="C5" s="238"/>
      <c r="D5" s="292"/>
      <c r="E5" s="292"/>
      <c r="F5" s="292"/>
      <c r="G5" s="221"/>
      <c r="H5" s="230"/>
      <c r="I5" s="220"/>
      <c r="J5" s="238"/>
      <c r="K5" s="220"/>
      <c r="L5" s="220"/>
      <c r="M5" s="294"/>
      <c r="N5" s="221"/>
      <c r="O5" s="220"/>
      <c r="P5" s="220"/>
      <c r="Q5" s="318"/>
      <c r="R5" s="325">
        <f>Lab_Rates!$C$6*(1+Escalators!C5)*(1+Escalators!C15)</f>
        <v>158.45839054425579</v>
      </c>
      <c r="S5" s="325">
        <f>Lab_Rates!$C$7*(1+Escalators!C5)*(1+Escalators!C15)</f>
        <v>148.03349642950209</v>
      </c>
      <c r="T5" s="325">
        <f>Lab_Rates!$C$8*(1+Escalators!C5)*(1+Escalators!C15)</f>
        <v>172.01075289343555</v>
      </c>
      <c r="U5" s="325">
        <f>Lab_Rates!$C$9*(1+Escalators!C5)*(1+Escalators!C15)</f>
        <v>224.1352234672039</v>
      </c>
      <c r="V5" s="325">
        <f>Lab_Rates!$C$6*(1+Escalators!C5)*(1+Escalators!C15)</f>
        <v>158.45839054425579</v>
      </c>
      <c r="W5" s="325">
        <f>Lab_Rates!$C$10*(1+Escalators!C5)*(1+Escalators!C15)</f>
        <v>158.45839054425579</v>
      </c>
      <c r="X5" s="325">
        <f>Lab_Rates!$C$5*(1+Escalators!C5)*(1+Escalators!C15)</f>
        <v>130.31117643442087</v>
      </c>
    </row>
    <row r="6" spans="2:33" x14ac:dyDescent="0.3">
      <c r="B6" s="251"/>
      <c r="C6" s="171"/>
      <c r="D6" s="171"/>
      <c r="E6" s="171"/>
      <c r="F6" s="171"/>
      <c r="G6" s="271"/>
      <c r="H6" s="231"/>
      <c r="I6" s="264"/>
      <c r="K6" s="271"/>
      <c r="L6" s="271"/>
      <c r="M6" s="271"/>
      <c r="N6" s="222"/>
      <c r="O6" s="271"/>
      <c r="P6" s="223"/>
      <c r="R6" s="326"/>
      <c r="S6" s="326"/>
      <c r="T6" s="326"/>
      <c r="U6" s="326"/>
      <c r="V6" s="326"/>
      <c r="W6" s="326"/>
      <c r="X6" s="326"/>
    </row>
    <row r="7" spans="2:33" x14ac:dyDescent="0.3">
      <c r="B7" s="251" t="s">
        <v>315</v>
      </c>
      <c r="C7" s="171"/>
      <c r="D7" s="171" t="s">
        <v>365</v>
      </c>
      <c r="E7" s="171" t="s">
        <v>365</v>
      </c>
      <c r="F7" s="171"/>
      <c r="G7" s="309"/>
      <c r="H7" s="314"/>
      <c r="I7" s="315"/>
      <c r="K7" s="309"/>
      <c r="L7" s="317">
        <f>SUMPRODUCT(R$5:X$5,R7:X7)/Thousands</f>
        <v>0</v>
      </c>
      <c r="M7" s="447">
        <v>594.9767441860464</v>
      </c>
      <c r="N7" s="447"/>
      <c r="O7" s="309"/>
      <c r="P7" s="223">
        <f t="shared" ref="P7" si="0">SUM(K7:O7)</f>
        <v>594.9767441860464</v>
      </c>
      <c r="Q7" s="19"/>
      <c r="R7" s="327">
        <v>0</v>
      </c>
      <c r="S7" s="330"/>
      <c r="T7" s="330"/>
      <c r="U7" s="330"/>
      <c r="V7" s="330"/>
      <c r="W7" s="330"/>
      <c r="X7" s="330"/>
    </row>
    <row r="8" spans="2:33" x14ac:dyDescent="0.3">
      <c r="B8" s="234"/>
      <c r="C8" s="42"/>
      <c r="D8" s="42"/>
      <c r="E8" s="42"/>
      <c r="F8" s="42"/>
      <c r="G8" s="241"/>
      <c r="H8" s="284"/>
      <c r="I8" s="263"/>
      <c r="K8" s="241"/>
      <c r="L8" s="241"/>
      <c r="M8" s="241"/>
      <c r="N8" s="241"/>
      <c r="O8" s="241"/>
      <c r="P8" s="242"/>
      <c r="R8" s="326"/>
      <c r="S8" s="326"/>
      <c r="T8" s="326"/>
      <c r="U8" s="326"/>
      <c r="V8" s="326"/>
      <c r="W8" s="326"/>
      <c r="X8" s="326"/>
    </row>
    <row r="9" spans="2:33" x14ac:dyDescent="0.3">
      <c r="B9" s="237" t="s">
        <v>269</v>
      </c>
      <c r="C9" s="238"/>
      <c r="D9" s="292"/>
      <c r="E9" s="292"/>
      <c r="F9" s="292"/>
      <c r="G9" s="239"/>
      <c r="H9" s="285"/>
      <c r="I9" s="220"/>
      <c r="K9" s="239"/>
      <c r="L9" s="239"/>
      <c r="M9" s="239"/>
      <c r="N9" s="239"/>
      <c r="O9" s="239"/>
      <c r="P9" s="243"/>
      <c r="R9" s="326"/>
      <c r="S9" s="326"/>
      <c r="T9" s="326"/>
      <c r="U9" s="326"/>
      <c r="V9" s="326"/>
      <c r="W9" s="326"/>
      <c r="X9" s="326"/>
    </row>
    <row r="10" spans="2:33" x14ac:dyDescent="0.3">
      <c r="B10" s="232"/>
      <c r="C10" s="171" t="s">
        <v>270</v>
      </c>
      <c r="D10" s="171" t="s">
        <v>365</v>
      </c>
      <c r="E10" s="171" t="s">
        <v>365</v>
      </c>
      <c r="F10" s="171"/>
      <c r="G10" s="309"/>
      <c r="H10" s="314"/>
      <c r="I10" s="315"/>
      <c r="K10" s="307"/>
      <c r="L10" s="225">
        <f>SUMPRODUCT(R$5:X$5,R10:X10)/Thousands</f>
        <v>48.69400000000001</v>
      </c>
      <c r="M10" s="306"/>
      <c r="N10" s="306">
        <v>0</v>
      </c>
      <c r="O10" s="307"/>
      <c r="P10" s="223">
        <f>SUM(K10:O10)</f>
        <v>48.69400000000001</v>
      </c>
      <c r="Q10" s="19"/>
      <c r="R10" s="327">
        <v>207.21403142993012</v>
      </c>
      <c r="S10" s="327">
        <v>77.473237968352223</v>
      </c>
      <c r="T10" s="327">
        <v>15.400463648641695</v>
      </c>
      <c r="U10" s="327">
        <v>7.7699453535485574</v>
      </c>
      <c r="V10" s="327">
        <v>0</v>
      </c>
      <c r="W10" s="327">
        <v>0</v>
      </c>
      <c r="X10" s="327">
        <v>0</v>
      </c>
      <c r="Y10" s="14">
        <f>SUM(R10:X10)</f>
        <v>307.85767840047259</v>
      </c>
      <c r="AA10" s="15"/>
      <c r="AB10" s="15"/>
      <c r="AC10" s="15"/>
      <c r="AD10" s="15"/>
      <c r="AE10" s="15"/>
      <c r="AF10" s="15"/>
      <c r="AG10" s="15"/>
    </row>
    <row r="11" spans="2:33" x14ac:dyDescent="0.3">
      <c r="B11" s="232"/>
      <c r="C11" s="171" t="s">
        <v>271</v>
      </c>
      <c r="D11" s="171" t="s">
        <v>365</v>
      </c>
      <c r="E11" s="171" t="s">
        <v>365</v>
      </c>
      <c r="F11" s="171"/>
      <c r="G11" s="309"/>
      <c r="H11" s="314"/>
      <c r="I11" s="315"/>
      <c r="K11" s="307"/>
      <c r="L11" s="225">
        <f>SUMPRODUCT(R$5:X$5,R11:X11)/Thousands</f>
        <v>443.21499999999986</v>
      </c>
      <c r="M11" s="306"/>
      <c r="N11" s="447">
        <v>0</v>
      </c>
      <c r="O11" s="307"/>
      <c r="P11" s="223">
        <f>SUM(K11:O11)</f>
        <v>443.21499999999986</v>
      </c>
      <c r="Q11" s="347"/>
      <c r="R11" s="327">
        <v>287.36814216211889</v>
      </c>
      <c r="S11" s="327">
        <v>0</v>
      </c>
      <c r="T11" s="327">
        <v>653.62366007831531</v>
      </c>
      <c r="U11" s="327">
        <v>82.46971157728025</v>
      </c>
      <c r="V11" s="327">
        <v>821.39393968005652</v>
      </c>
      <c r="W11" s="327">
        <v>862.10442648635672</v>
      </c>
      <c r="X11" s="327">
        <v>0</v>
      </c>
      <c r="Y11" s="14">
        <f t="shared" ref="Y11:Y13" si="1">SUM(R11:X11)</f>
        <v>2706.9598799841278</v>
      </c>
      <c r="AA11" s="15"/>
      <c r="AB11" s="15"/>
      <c r="AC11" s="15"/>
      <c r="AD11" s="15"/>
      <c r="AE11" s="15"/>
      <c r="AF11" s="15"/>
      <c r="AG11" s="15"/>
    </row>
    <row r="12" spans="2:33" x14ac:dyDescent="0.3">
      <c r="B12" s="232"/>
      <c r="C12" s="171" t="s">
        <v>304</v>
      </c>
      <c r="D12" s="171" t="s">
        <v>365</v>
      </c>
      <c r="E12" s="171" t="s">
        <v>365</v>
      </c>
      <c r="F12" s="171"/>
      <c r="G12" s="309"/>
      <c r="H12" s="314"/>
      <c r="I12" s="315"/>
      <c r="K12" s="307"/>
      <c r="L12" s="225">
        <f>SUMPRODUCT(R$5:X$5,R12:X12)/Thousands</f>
        <v>216.18399999999997</v>
      </c>
      <c r="M12" s="306"/>
      <c r="N12" s="306">
        <v>0</v>
      </c>
      <c r="O12" s="307"/>
      <c r="P12" s="223">
        <f>SUM(K12:O12)</f>
        <v>216.18399999999997</v>
      </c>
      <c r="Q12" s="19"/>
      <c r="R12" s="327">
        <v>0</v>
      </c>
      <c r="S12" s="327">
        <v>0</v>
      </c>
      <c r="T12" s="327">
        <v>289.49145730271772</v>
      </c>
      <c r="U12" s="327">
        <v>0</v>
      </c>
      <c r="V12" s="327">
        <v>384.79026714867041</v>
      </c>
      <c r="W12" s="327">
        <v>100.52645729259014</v>
      </c>
      <c r="X12" s="327">
        <v>686.70893673500973</v>
      </c>
      <c r="Y12" s="14">
        <f t="shared" si="1"/>
        <v>1461.5171184789879</v>
      </c>
      <c r="AA12" s="15"/>
      <c r="AB12" s="15"/>
      <c r="AC12" s="15"/>
      <c r="AD12" s="15"/>
      <c r="AE12" s="15"/>
      <c r="AF12" s="15"/>
      <c r="AG12" s="15"/>
    </row>
    <row r="13" spans="2:33" x14ac:dyDescent="0.3">
      <c r="B13" s="232"/>
      <c r="C13" s="171" t="s">
        <v>272</v>
      </c>
      <c r="D13" s="171" t="s">
        <v>365</v>
      </c>
      <c r="E13" s="171" t="s">
        <v>365</v>
      </c>
      <c r="F13" s="171"/>
      <c r="G13" s="309"/>
      <c r="H13" s="314"/>
      <c r="I13" s="315"/>
      <c r="K13" s="307"/>
      <c r="L13" s="225">
        <f>SUMPRODUCT(R$5:X$5,R13:X13)/Thousands</f>
        <v>124.9875</v>
      </c>
      <c r="M13" s="306"/>
      <c r="N13" s="306">
        <v>0</v>
      </c>
      <c r="O13" s="307"/>
      <c r="P13" s="223">
        <f>SUM(K13:O13)</f>
        <v>124.9875</v>
      </c>
      <c r="Q13" s="19"/>
      <c r="R13" s="327">
        <v>0</v>
      </c>
      <c r="S13" s="327">
        <v>0</v>
      </c>
      <c r="T13" s="327">
        <v>726.62608527405553</v>
      </c>
      <c r="U13" s="327">
        <v>0</v>
      </c>
      <c r="V13" s="327">
        <v>0</v>
      </c>
      <c r="W13" s="327">
        <v>0</v>
      </c>
      <c r="X13" s="327">
        <v>0</v>
      </c>
      <c r="Y13" s="14">
        <f t="shared" si="1"/>
        <v>726.62608527405553</v>
      </c>
      <c r="AA13" s="15"/>
      <c r="AB13" s="15"/>
      <c r="AC13" s="15"/>
      <c r="AD13" s="15"/>
      <c r="AE13" s="15"/>
      <c r="AF13" s="15"/>
      <c r="AG13" s="15"/>
    </row>
    <row r="14" spans="2:33" x14ac:dyDescent="0.3">
      <c r="B14" s="234"/>
      <c r="C14" s="42"/>
      <c r="D14" s="42"/>
      <c r="E14" s="42"/>
      <c r="F14" s="42"/>
      <c r="G14" s="241"/>
      <c r="H14" s="240"/>
      <c r="I14" s="263"/>
      <c r="K14" s="244"/>
      <c r="L14" s="245"/>
      <c r="M14" s="245"/>
      <c r="N14" s="246"/>
      <c r="O14" s="244"/>
      <c r="P14" s="247"/>
      <c r="R14" s="326"/>
      <c r="S14" s="326"/>
      <c r="T14" s="326"/>
      <c r="U14" s="326"/>
      <c r="V14" s="326"/>
      <c r="W14" s="326"/>
      <c r="X14" s="326"/>
    </row>
    <row r="15" spans="2:33" x14ac:dyDescent="0.3">
      <c r="B15" s="237" t="s">
        <v>261</v>
      </c>
      <c r="C15" s="238"/>
      <c r="D15" s="292"/>
      <c r="E15" s="292"/>
      <c r="F15" s="292"/>
      <c r="G15" s="297"/>
      <c r="H15" s="248"/>
      <c r="I15" s="243"/>
      <c r="K15" s="249"/>
      <c r="L15" s="249"/>
      <c r="M15" s="355"/>
      <c r="N15" s="249"/>
      <c r="O15" s="249"/>
      <c r="P15" s="250"/>
      <c r="Q15" s="11"/>
      <c r="R15" s="329"/>
      <c r="S15" s="326"/>
      <c r="T15" s="326"/>
      <c r="U15" s="326"/>
      <c r="V15" s="326"/>
      <c r="W15" s="326"/>
      <c r="X15" s="326"/>
      <c r="AA15" s="28"/>
      <c r="AB15" s="28"/>
      <c r="AC15" s="28"/>
      <c r="AD15" s="28"/>
      <c r="AE15" s="28"/>
      <c r="AF15" s="28"/>
      <c r="AG15" s="28"/>
    </row>
    <row r="16" spans="2:33" x14ac:dyDescent="0.3">
      <c r="B16" s="251" t="s">
        <v>263</v>
      </c>
      <c r="C16" s="171"/>
      <c r="D16" s="171"/>
      <c r="E16" s="171"/>
      <c r="F16" s="171"/>
      <c r="G16" s="228"/>
      <c r="H16" s="232"/>
      <c r="I16" s="224"/>
      <c r="J16" s="157"/>
      <c r="K16" s="225"/>
      <c r="L16" s="225"/>
      <c r="M16" s="225"/>
      <c r="N16" s="225"/>
      <c r="O16" s="225"/>
      <c r="P16" s="224"/>
      <c r="R16" s="326"/>
      <c r="S16" s="326"/>
      <c r="T16" s="326"/>
      <c r="U16" s="326"/>
      <c r="V16" s="326"/>
      <c r="W16" s="326"/>
      <c r="X16" s="326"/>
      <c r="AA16" s="28"/>
      <c r="AB16" s="28"/>
      <c r="AC16" s="28"/>
      <c r="AD16" s="28"/>
      <c r="AE16" s="28"/>
      <c r="AF16" s="28"/>
      <c r="AG16" s="28"/>
    </row>
    <row r="17" spans="2:33" x14ac:dyDescent="0.3">
      <c r="B17" s="232"/>
      <c r="C17" s="171" t="s">
        <v>306</v>
      </c>
      <c r="D17" s="171" t="str">
        <f>INDEX(Unit_Rates!$C$7:$K$54,MATCH($C17,Unit_Rates!$C$7:$C$54,0),5)</f>
        <v>Subtransmission</v>
      </c>
      <c r="E17" s="171" t="str">
        <f>INDEX(Unit_Rates!$C$7:$K$54,MATCH($C17,Unit_Rates!$C$7:$C$54,0),6)</f>
        <v>Augmentation</v>
      </c>
      <c r="F17" s="171" t="str">
        <f>D17&amp;E17</f>
        <v>SubtransmissionAugmentation</v>
      </c>
      <c r="G17" s="268">
        <f>INDEX(Unit_Rates!$C$7:$K$54,MATCH($C17,Unit_Rates!$C$7:$C$54,0),7)</f>
        <v>78.838847145488032</v>
      </c>
      <c r="H17" s="299"/>
      <c r="I17" s="264" t="s">
        <v>292</v>
      </c>
      <c r="J17" s="157"/>
      <c r="K17" s="226">
        <f>G17*$H17</f>
        <v>0</v>
      </c>
      <c r="L17" s="302">
        <f t="shared" ref="L17:L39" si="2">SUMPRODUCT(R$5:X$5,R17:X17)/Thousands</f>
        <v>0</v>
      </c>
      <c r="M17" s="356"/>
      <c r="N17" s="568"/>
      <c r="O17" s="573"/>
      <c r="P17" s="569"/>
      <c r="Q17" s="336">
        <f>P17-H17*VLOOKUP(C17,Unit_Rates!$C$7:$E$39,3,FALSE)</f>
        <v>0</v>
      </c>
      <c r="R17" s="327">
        <v>0</v>
      </c>
      <c r="S17" s="327">
        <v>0</v>
      </c>
      <c r="T17" s="327">
        <v>0</v>
      </c>
      <c r="U17" s="327">
        <v>0</v>
      </c>
      <c r="V17" s="327">
        <v>0</v>
      </c>
      <c r="W17" s="327">
        <v>0</v>
      </c>
      <c r="X17" s="327">
        <v>0</v>
      </c>
      <c r="Y17" s="14">
        <f t="shared" ref="Y17:Y39" si="3">SUM(R17:X17)</f>
        <v>0</v>
      </c>
      <c r="AA17" s="28"/>
      <c r="AB17" s="28"/>
      <c r="AC17" s="28"/>
      <c r="AD17" s="28"/>
      <c r="AE17" s="28"/>
      <c r="AF17" s="28"/>
      <c r="AG17" s="28"/>
    </row>
    <row r="18" spans="2:33" x14ac:dyDescent="0.3">
      <c r="B18" s="232"/>
      <c r="C18" s="171" t="s">
        <v>329</v>
      </c>
      <c r="D18" s="171" t="str">
        <f>INDEX(Unit_Rates!$C$7:$K$54,MATCH($C18,Unit_Rates!$C$7:$C$54,0),5)</f>
        <v>Subtransmission</v>
      </c>
      <c r="E18" s="171" t="str">
        <f>INDEX(Unit_Rates!$C$7:$K$54,MATCH($C18,Unit_Rates!$C$7:$C$54,0),6)</f>
        <v>Augmentation</v>
      </c>
      <c r="F18" s="171" t="str">
        <f t="shared" ref="F18:F39" si="4">D18&amp;E18</f>
        <v>SubtransmissionAugmentation</v>
      </c>
      <c r="G18" s="268">
        <f>INDEX(Unit_Rates!$C$7:$K$54,MATCH($C18,Unit_Rates!$C$7:$C$54,0),7)</f>
        <v>90.745458563535905</v>
      </c>
      <c r="H18" s="299">
        <v>2</v>
      </c>
      <c r="I18" s="264" t="s">
        <v>292</v>
      </c>
      <c r="J18" s="157"/>
      <c r="K18" s="226">
        <f>G18*$H18</f>
        <v>181.49091712707181</v>
      </c>
      <c r="L18" s="302">
        <f t="shared" si="2"/>
        <v>0</v>
      </c>
      <c r="M18" s="356"/>
      <c r="N18" s="568"/>
      <c r="O18" s="573"/>
      <c r="P18" s="569"/>
      <c r="Q18" s="336">
        <f>P18-H18*VLOOKUP(C18,Unit_Rates!$C$7:$E$39,3,FALSE)</f>
        <v>0</v>
      </c>
      <c r="R18" s="327">
        <v>0</v>
      </c>
      <c r="S18" s="327">
        <v>0</v>
      </c>
      <c r="T18" s="327">
        <v>0</v>
      </c>
      <c r="U18" s="327">
        <v>0</v>
      </c>
      <c r="V18" s="327">
        <v>0</v>
      </c>
      <c r="W18" s="327">
        <v>0</v>
      </c>
      <c r="X18" s="327">
        <v>0</v>
      </c>
      <c r="Y18" s="14">
        <f t="shared" si="3"/>
        <v>0</v>
      </c>
      <c r="AA18" s="28"/>
      <c r="AB18" s="28"/>
      <c r="AC18" s="28"/>
      <c r="AD18" s="28"/>
      <c r="AE18" s="28"/>
      <c r="AF18" s="28"/>
      <c r="AG18" s="28"/>
    </row>
    <row r="19" spans="2:33" x14ac:dyDescent="0.3">
      <c r="B19" s="232"/>
      <c r="C19" s="171" t="s">
        <v>503</v>
      </c>
      <c r="D19" s="171" t="str">
        <f>INDEX(Unit_Rates!$C$7:$K$54,MATCH($C19,Unit_Rates!$C$7:$C$54,0),5)</f>
        <v>Subtransmission</v>
      </c>
      <c r="E19" s="171" t="str">
        <f>INDEX(Unit_Rates!$C$7:$K$54,MATCH($C19,Unit_Rates!$C$7:$C$54,0),6)</f>
        <v>Augmentation</v>
      </c>
      <c r="F19" s="171" t="str">
        <f t="shared" si="4"/>
        <v>SubtransmissionAugmentation</v>
      </c>
      <c r="G19" s="268">
        <f>INDEX(Unit_Rates!$C$7:$K$54,MATCH($C19,Unit_Rates!$C$7:$C$54,0),7)</f>
        <v>38.571335174953965</v>
      </c>
      <c r="H19" s="299">
        <v>1</v>
      </c>
      <c r="I19" s="264" t="s">
        <v>292</v>
      </c>
      <c r="J19" s="157"/>
      <c r="K19" s="226">
        <f t="shared" ref="K19:K39" si="5">G19*H19</f>
        <v>38.571335174953965</v>
      </c>
      <c r="L19" s="302">
        <f t="shared" si="2"/>
        <v>0</v>
      </c>
      <c r="M19" s="356"/>
      <c r="N19" s="568"/>
      <c r="O19" s="573"/>
      <c r="P19" s="569"/>
      <c r="Q19" s="336">
        <f>P19-H19*VLOOKUP(C19,Unit_Rates!$C$7:$E$39,3,FALSE)</f>
        <v>0</v>
      </c>
      <c r="R19" s="327">
        <v>0</v>
      </c>
      <c r="S19" s="327">
        <v>0</v>
      </c>
      <c r="T19" s="327">
        <v>0</v>
      </c>
      <c r="U19" s="327">
        <v>0</v>
      </c>
      <c r="V19" s="327">
        <v>0</v>
      </c>
      <c r="W19" s="327">
        <v>0</v>
      </c>
      <c r="X19" s="327">
        <v>0</v>
      </c>
      <c r="Y19" s="14">
        <f t="shared" si="3"/>
        <v>0</v>
      </c>
    </row>
    <row r="20" spans="2:33" x14ac:dyDescent="0.3">
      <c r="B20" s="232"/>
      <c r="C20" s="171" t="s">
        <v>372</v>
      </c>
      <c r="D20" s="171" t="str">
        <f>INDEX(Unit_Rates!$C$7:$K$54,MATCH($C20,Unit_Rates!$C$7:$C$54,0),5)</f>
        <v>Subtransmission</v>
      </c>
      <c r="E20" s="171" t="str">
        <f>INDEX(Unit_Rates!$C$7:$K$54,MATCH($C20,Unit_Rates!$C$7:$C$54,0),6)</f>
        <v>Augmentation</v>
      </c>
      <c r="F20" s="171" t="str">
        <f t="shared" si="4"/>
        <v>SubtransmissionAugmentation</v>
      </c>
      <c r="G20" s="268">
        <f>INDEX(Unit_Rates!$C$7:$K$54,MATCH($C20,Unit_Rates!$C$7:$C$54,0),7)</f>
        <v>0</v>
      </c>
      <c r="H20" s="299"/>
      <c r="I20" s="264" t="s">
        <v>292</v>
      </c>
      <c r="J20" s="157"/>
      <c r="K20" s="226">
        <f t="shared" ref="K20" si="6">G20*H20</f>
        <v>0</v>
      </c>
      <c r="L20" s="302">
        <f t="shared" si="2"/>
        <v>0</v>
      </c>
      <c r="M20" s="356"/>
      <c r="N20" s="568"/>
      <c r="O20" s="573"/>
      <c r="P20" s="569"/>
      <c r="Q20" s="336">
        <f>P20-H20*VLOOKUP(C20,Unit_Rates!$C$7:$E$39,3,FALSE)</f>
        <v>0</v>
      </c>
      <c r="R20" s="327">
        <v>0</v>
      </c>
      <c r="S20" s="327">
        <v>0</v>
      </c>
      <c r="T20" s="327">
        <v>0</v>
      </c>
      <c r="U20" s="327">
        <v>0</v>
      </c>
      <c r="V20" s="327">
        <v>0</v>
      </c>
      <c r="W20" s="327">
        <v>0</v>
      </c>
      <c r="X20" s="327">
        <v>0</v>
      </c>
      <c r="Y20" s="14">
        <f t="shared" si="3"/>
        <v>0</v>
      </c>
      <c r="AA20" s="28"/>
      <c r="AB20" s="28"/>
      <c r="AC20" s="28"/>
      <c r="AD20" s="28"/>
      <c r="AE20" s="28"/>
      <c r="AF20" s="28"/>
      <c r="AG20" s="28"/>
    </row>
    <row r="21" spans="2:33" x14ac:dyDescent="0.3">
      <c r="B21" s="232"/>
      <c r="C21" s="171" t="s">
        <v>266</v>
      </c>
      <c r="D21" s="171" t="str">
        <f>INDEX(Unit_Rates!$C$7:$K$54,MATCH($C21,Unit_Rates!$C$7:$C$54,0),5)</f>
        <v>SCADA/Network control</v>
      </c>
      <c r="E21" s="171" t="str">
        <f>INDEX(Unit_Rates!$C$7:$K$54,MATCH($C21,Unit_Rates!$C$7:$C$54,0),6)</f>
        <v>Augmentation</v>
      </c>
      <c r="F21" s="171" t="str">
        <f t="shared" si="4"/>
        <v>SCADA/Network controlAugmentation</v>
      </c>
      <c r="G21" s="268">
        <f>INDEX(Unit_Rates!$C$7:$K$54,MATCH($C21,Unit_Rates!$C$7:$C$54,0),7)</f>
        <v>1084.7777777777778</v>
      </c>
      <c r="H21" s="299">
        <v>2</v>
      </c>
      <c r="I21" s="264" t="s">
        <v>292</v>
      </c>
      <c r="J21" s="157"/>
      <c r="K21" s="226">
        <f t="shared" si="5"/>
        <v>2169.5555555555557</v>
      </c>
      <c r="L21" s="302">
        <f t="shared" si="2"/>
        <v>0</v>
      </c>
      <c r="M21" s="356"/>
      <c r="N21" s="568"/>
      <c r="O21" s="573"/>
      <c r="P21" s="569"/>
      <c r="Q21" s="336">
        <f>P21-H21*VLOOKUP(C21,Unit_Rates!$C$7:$E$39,3,FALSE)</f>
        <v>0</v>
      </c>
      <c r="R21" s="327">
        <v>0</v>
      </c>
      <c r="S21" s="327">
        <v>0</v>
      </c>
      <c r="T21" s="327">
        <v>0</v>
      </c>
      <c r="U21" s="327">
        <v>0</v>
      </c>
      <c r="V21" s="327">
        <v>0</v>
      </c>
      <c r="W21" s="327">
        <v>0</v>
      </c>
      <c r="X21" s="327">
        <v>0</v>
      </c>
      <c r="Y21" s="14">
        <f t="shared" si="3"/>
        <v>0</v>
      </c>
      <c r="AA21" s="28"/>
      <c r="AB21" s="28"/>
      <c r="AC21" s="28"/>
      <c r="AD21" s="28"/>
      <c r="AE21" s="28"/>
      <c r="AF21" s="28"/>
      <c r="AG21" s="28"/>
    </row>
    <row r="22" spans="2:33" x14ac:dyDescent="0.3">
      <c r="B22" s="232"/>
      <c r="C22" s="171" t="s">
        <v>308</v>
      </c>
      <c r="D22" s="171" t="str">
        <f>INDEX(Unit_Rates!$C$7:$K$54,MATCH($C22,Unit_Rates!$C$7:$C$54,0),5)</f>
        <v>Subtransmission</v>
      </c>
      <c r="E22" s="171" t="str">
        <f>INDEX(Unit_Rates!$C$7:$K$54,MATCH($C22,Unit_Rates!$C$7:$C$54,0),6)</f>
        <v>Augmentation</v>
      </c>
      <c r="F22" s="171" t="str">
        <f t="shared" si="4"/>
        <v>SubtransmissionAugmentation</v>
      </c>
      <c r="G22" s="268">
        <f>INDEX(Unit_Rates!$C$7:$K$54,MATCH($C22,Unit_Rates!$C$7:$C$54,0),7)</f>
        <v>0</v>
      </c>
      <c r="H22" s="299">
        <v>2</v>
      </c>
      <c r="I22" s="264" t="s">
        <v>292</v>
      </c>
      <c r="J22" s="157"/>
      <c r="K22" s="226">
        <f t="shared" si="5"/>
        <v>0</v>
      </c>
      <c r="L22" s="302">
        <f t="shared" si="2"/>
        <v>0</v>
      </c>
      <c r="M22" s="356"/>
      <c r="N22" s="568"/>
      <c r="O22" s="573"/>
      <c r="P22" s="569"/>
      <c r="Q22" s="336">
        <f>P22-H22*VLOOKUP(C22,Unit_Rates!$C$7:$E$39,3,FALSE)</f>
        <v>0</v>
      </c>
      <c r="R22" s="327">
        <v>0</v>
      </c>
      <c r="S22" s="327">
        <v>0</v>
      </c>
      <c r="T22" s="327">
        <v>0</v>
      </c>
      <c r="U22" s="327">
        <v>0</v>
      </c>
      <c r="V22" s="327">
        <v>0</v>
      </c>
      <c r="W22" s="327">
        <v>0</v>
      </c>
      <c r="X22" s="327">
        <v>0</v>
      </c>
      <c r="Y22" s="14">
        <f t="shared" si="3"/>
        <v>0</v>
      </c>
      <c r="AA22" s="28"/>
      <c r="AB22" s="28"/>
      <c r="AC22" s="28"/>
      <c r="AD22" s="28"/>
      <c r="AE22" s="28"/>
      <c r="AF22" s="28"/>
      <c r="AG22" s="28"/>
    </row>
    <row r="23" spans="2:33" x14ac:dyDescent="0.3">
      <c r="B23" s="232"/>
      <c r="C23" s="171" t="s">
        <v>280</v>
      </c>
      <c r="D23" s="171" t="str">
        <f>INDEX(Unit_Rates!$C$7:$K$54,MATCH($C23,Unit_Rates!$C$7:$C$54,0),5)</f>
        <v>Subtransmission</v>
      </c>
      <c r="E23" s="171" t="str">
        <f>INDEX(Unit_Rates!$C$7:$K$54,MATCH($C23,Unit_Rates!$C$7:$C$54,0),6)</f>
        <v>Augmentation</v>
      </c>
      <c r="F23" s="171" t="str">
        <f t="shared" si="4"/>
        <v>SubtransmissionAugmentation</v>
      </c>
      <c r="G23" s="268">
        <f>INDEX(Unit_Rates!$C$7:$K$54,MATCH($C23,Unit_Rates!$C$7:$C$54,0),7)</f>
        <v>1249.4511627906975</v>
      </c>
      <c r="H23" s="299"/>
      <c r="I23" s="264" t="s">
        <v>292</v>
      </c>
      <c r="J23" s="157"/>
      <c r="K23" s="226">
        <f t="shared" si="5"/>
        <v>0</v>
      </c>
      <c r="L23" s="302">
        <f t="shared" si="2"/>
        <v>0</v>
      </c>
      <c r="M23" s="356"/>
      <c r="N23" s="568"/>
      <c r="O23" s="573"/>
      <c r="P23" s="569"/>
      <c r="Q23" s="336">
        <f>P23-H23*VLOOKUP(C23,Unit_Rates!$C$7:$E$39,3,FALSE)</f>
        <v>0</v>
      </c>
      <c r="R23" s="327">
        <v>0</v>
      </c>
      <c r="S23" s="327">
        <v>0</v>
      </c>
      <c r="T23" s="327">
        <v>0</v>
      </c>
      <c r="U23" s="327">
        <v>0</v>
      </c>
      <c r="V23" s="327">
        <v>0</v>
      </c>
      <c r="W23" s="327">
        <v>0</v>
      </c>
      <c r="X23" s="327">
        <v>0</v>
      </c>
      <c r="Y23" s="14">
        <f t="shared" si="3"/>
        <v>0</v>
      </c>
      <c r="AA23" s="28"/>
      <c r="AB23" s="28"/>
      <c r="AC23" s="28"/>
      <c r="AD23" s="28"/>
      <c r="AE23" s="28"/>
      <c r="AF23" s="28"/>
      <c r="AG23" s="28"/>
    </row>
    <row r="24" spans="2:33" x14ac:dyDescent="0.3">
      <c r="B24" s="232"/>
      <c r="C24" s="171" t="s">
        <v>279</v>
      </c>
      <c r="D24" s="171" t="str">
        <f>INDEX(Unit_Rates!$C$7:$K$54,MATCH($C24,Unit_Rates!$C$7:$C$54,0),5)</f>
        <v>Subtransmission</v>
      </c>
      <c r="E24" s="171" t="str">
        <f>INDEX(Unit_Rates!$C$7:$K$54,MATCH($C24,Unit_Rates!$C$7:$C$54,0),6)</f>
        <v>Augmentation</v>
      </c>
      <c r="F24" s="171" t="str">
        <f t="shared" si="4"/>
        <v>SubtransmissionAugmentation</v>
      </c>
      <c r="G24" s="268">
        <f>INDEX(Unit_Rates!$C$7:$K$54,MATCH($C24,Unit_Rates!$C$7:$C$54,0),7)</f>
        <v>1378.3627906976742</v>
      </c>
      <c r="H24" s="299"/>
      <c r="I24" s="264" t="s">
        <v>292</v>
      </c>
      <c r="J24" s="157"/>
      <c r="K24" s="226">
        <f t="shared" si="5"/>
        <v>0</v>
      </c>
      <c r="L24" s="302">
        <f t="shared" si="2"/>
        <v>0</v>
      </c>
      <c r="M24" s="356"/>
      <c r="N24" s="568"/>
      <c r="O24" s="573"/>
      <c r="P24" s="569"/>
      <c r="Q24" s="336">
        <f>P24-H24*VLOOKUP(C24,Unit_Rates!$C$7:$E$39,3,FALSE)</f>
        <v>0</v>
      </c>
      <c r="R24" s="327">
        <v>0</v>
      </c>
      <c r="S24" s="327">
        <v>0</v>
      </c>
      <c r="T24" s="327">
        <v>0</v>
      </c>
      <c r="U24" s="327">
        <v>0</v>
      </c>
      <c r="V24" s="327">
        <v>0</v>
      </c>
      <c r="W24" s="327">
        <v>0</v>
      </c>
      <c r="X24" s="327">
        <v>0</v>
      </c>
      <c r="Y24" s="14">
        <f t="shared" si="3"/>
        <v>0</v>
      </c>
    </row>
    <row r="25" spans="2:33" x14ac:dyDescent="0.3">
      <c r="B25" s="232"/>
      <c r="C25" s="171" t="s">
        <v>518</v>
      </c>
      <c r="D25" s="171" t="str">
        <f>INDEX(Unit_Rates!$C$7:$K$54,MATCH($C25,Unit_Rates!$C$7:$C$54,0),5)</f>
        <v>Subtransmission</v>
      </c>
      <c r="E25" s="171" t="str">
        <f>INDEX(Unit_Rates!$C$7:$K$54,MATCH($C25,Unit_Rates!$C$7:$C$54,0),6)</f>
        <v>Augmentation</v>
      </c>
      <c r="F25" s="171" t="str">
        <f t="shared" si="4"/>
        <v>SubtransmissionAugmentation</v>
      </c>
      <c r="G25" s="268">
        <f>INDEX(Unit_Rates!$C$7:$K$54,MATCH($C25,Unit_Rates!$C$7:$C$54,0),7)</f>
        <v>196.83714790697672</v>
      </c>
      <c r="H25" s="299">
        <v>2</v>
      </c>
      <c r="I25" s="264" t="s">
        <v>292</v>
      </c>
      <c r="J25" s="157"/>
      <c r="K25" s="226">
        <f t="shared" si="5"/>
        <v>393.67429581395345</v>
      </c>
      <c r="L25" s="302">
        <f t="shared" si="2"/>
        <v>0</v>
      </c>
      <c r="M25" s="356"/>
      <c r="N25" s="568"/>
      <c r="O25" s="573"/>
      <c r="P25" s="569"/>
      <c r="Q25" s="336">
        <f>P25-H25*VLOOKUP(C25,Unit_Rates!$C$7:$E$39,3,FALSE)</f>
        <v>0</v>
      </c>
      <c r="R25" s="327">
        <v>0</v>
      </c>
      <c r="S25" s="327">
        <v>0</v>
      </c>
      <c r="T25" s="327">
        <v>0</v>
      </c>
      <c r="U25" s="327">
        <v>0</v>
      </c>
      <c r="V25" s="327">
        <v>0</v>
      </c>
      <c r="W25" s="327">
        <v>0</v>
      </c>
      <c r="X25" s="327">
        <v>0</v>
      </c>
      <c r="Y25" s="14">
        <f t="shared" si="3"/>
        <v>0</v>
      </c>
    </row>
    <row r="26" spans="2:33" x14ac:dyDescent="0.3">
      <c r="B26" s="232"/>
      <c r="C26" s="171" t="s">
        <v>373</v>
      </c>
      <c r="D26" s="171" t="str">
        <f>INDEX(Unit_Rates!$C$7:$K$54,MATCH($C26,Unit_Rates!$C$7:$C$54,0),5)</f>
        <v>Subtransmission</v>
      </c>
      <c r="E26" s="171" t="str">
        <f>INDEX(Unit_Rates!$C$7:$K$54,MATCH($C26,Unit_Rates!$C$7:$C$54,0),6)</f>
        <v>Augmentation</v>
      </c>
      <c r="F26" s="171" t="str">
        <f t="shared" si="4"/>
        <v>SubtransmissionAugmentation</v>
      </c>
      <c r="G26" s="268">
        <f>INDEX(Unit_Rates!$C$7:$K$54,MATCH($C26,Unit_Rates!$C$7:$C$54,0),7)</f>
        <v>0</v>
      </c>
      <c r="H26" s="299">
        <v>1</v>
      </c>
      <c r="I26" s="264" t="s">
        <v>292</v>
      </c>
      <c r="J26" s="157"/>
      <c r="K26" s="226">
        <f t="shared" ref="K26" si="7">G26*H26</f>
        <v>0</v>
      </c>
      <c r="L26" s="302">
        <f t="shared" si="2"/>
        <v>0</v>
      </c>
      <c r="M26" s="356"/>
      <c r="N26" s="568"/>
      <c r="O26" s="573"/>
      <c r="P26" s="569"/>
      <c r="Q26" s="336">
        <f>P26-H26*VLOOKUP(C26,Unit_Rates!$C$7:$E$39,3,FALSE)</f>
        <v>0</v>
      </c>
      <c r="R26" s="327">
        <v>0</v>
      </c>
      <c r="S26" s="327">
        <v>0</v>
      </c>
      <c r="T26" s="327">
        <v>0</v>
      </c>
      <c r="U26" s="327">
        <v>0</v>
      </c>
      <c r="V26" s="327">
        <v>0</v>
      </c>
      <c r="W26" s="327">
        <v>0</v>
      </c>
      <c r="X26" s="327">
        <v>0</v>
      </c>
      <c r="Y26" s="14">
        <f t="shared" si="3"/>
        <v>0</v>
      </c>
    </row>
    <row r="27" spans="2:33" x14ac:dyDescent="0.3">
      <c r="B27" s="232"/>
      <c r="C27" s="171" t="s">
        <v>350</v>
      </c>
      <c r="D27" s="171" t="str">
        <f>INDEX(Unit_Rates!$C$7:$K$54,MATCH($C27,Unit_Rates!$C$7:$C$54,0),5)</f>
        <v>Subtransmission</v>
      </c>
      <c r="E27" s="171" t="str">
        <f>INDEX(Unit_Rates!$C$7:$K$54,MATCH($C27,Unit_Rates!$C$7:$C$54,0),6)</f>
        <v>Augmentation</v>
      </c>
      <c r="F27" s="171" t="str">
        <f t="shared" si="4"/>
        <v>SubtransmissionAugmentation</v>
      </c>
      <c r="G27" s="268">
        <f>INDEX(Unit_Rates!$C$7:$K$54,MATCH($C27,Unit_Rates!$C$7:$C$54,0),7)</f>
        <v>62.900871086556172</v>
      </c>
      <c r="H27" s="299"/>
      <c r="I27" s="264" t="s">
        <v>292</v>
      </c>
      <c r="J27" s="157"/>
      <c r="K27" s="226">
        <f t="shared" ref="K27:K33" si="8">G27*H27</f>
        <v>0</v>
      </c>
      <c r="L27" s="302">
        <f t="shared" si="2"/>
        <v>0</v>
      </c>
      <c r="M27" s="356"/>
      <c r="N27" s="568"/>
      <c r="O27" s="573"/>
      <c r="P27" s="569"/>
      <c r="Q27" s="336">
        <f>P27-H27*VLOOKUP(C27,Unit_Rates!$C$7:$E$39,3,FALSE)</f>
        <v>0</v>
      </c>
      <c r="R27" s="327">
        <v>0</v>
      </c>
      <c r="S27" s="327">
        <v>0</v>
      </c>
      <c r="T27" s="327">
        <v>0</v>
      </c>
      <c r="U27" s="327">
        <v>0</v>
      </c>
      <c r="V27" s="327">
        <v>0</v>
      </c>
      <c r="W27" s="327">
        <v>0</v>
      </c>
      <c r="X27" s="327">
        <v>0</v>
      </c>
      <c r="Y27" s="14">
        <f t="shared" si="3"/>
        <v>0</v>
      </c>
    </row>
    <row r="28" spans="2:33" x14ac:dyDescent="0.3">
      <c r="B28" s="232"/>
      <c r="C28" s="171" t="s">
        <v>334</v>
      </c>
      <c r="D28" s="171" t="str">
        <f>INDEX(Unit_Rates!$C$7:$K$54,MATCH($C28,Unit_Rates!$C$7:$C$54,0),5)</f>
        <v>Subtransmission</v>
      </c>
      <c r="E28" s="171" t="str">
        <f>INDEX(Unit_Rates!$C$7:$K$54,MATCH($C28,Unit_Rates!$C$7:$C$54,0),6)</f>
        <v>Augmentation</v>
      </c>
      <c r="F28" s="171" t="str">
        <f t="shared" si="4"/>
        <v>SubtransmissionAugmentation</v>
      </c>
      <c r="G28" s="268">
        <f>INDEX(Unit_Rates!$C$7:$K$54,MATCH($C28,Unit_Rates!$C$7:$C$54,0),7)</f>
        <v>6.8116309209302308</v>
      </c>
      <c r="H28" s="299"/>
      <c r="I28" s="264" t="s">
        <v>292</v>
      </c>
      <c r="J28" s="157"/>
      <c r="K28" s="226">
        <f t="shared" si="8"/>
        <v>0</v>
      </c>
      <c r="L28" s="302">
        <f t="shared" si="2"/>
        <v>0</v>
      </c>
      <c r="M28" s="356"/>
      <c r="N28" s="568"/>
      <c r="O28" s="573"/>
      <c r="P28" s="569"/>
      <c r="Q28" s="336">
        <f>P28-H28*VLOOKUP(C28,Unit_Rates!$C$7:$E$39,3,FALSE)</f>
        <v>0</v>
      </c>
      <c r="R28" s="327">
        <v>0</v>
      </c>
      <c r="S28" s="327">
        <v>0</v>
      </c>
      <c r="T28" s="327">
        <v>0</v>
      </c>
      <c r="U28" s="327">
        <v>0</v>
      </c>
      <c r="V28" s="327">
        <v>0</v>
      </c>
      <c r="W28" s="327">
        <v>0</v>
      </c>
      <c r="X28" s="327">
        <v>0</v>
      </c>
      <c r="Y28" s="14">
        <f t="shared" si="3"/>
        <v>0</v>
      </c>
    </row>
    <row r="29" spans="2:33" x14ac:dyDescent="0.3">
      <c r="B29" s="232"/>
      <c r="C29" s="171" t="s">
        <v>333</v>
      </c>
      <c r="D29" s="171" t="str">
        <f>INDEX(Unit_Rates!$C$7:$K$54,MATCH($C29,Unit_Rates!$C$7:$C$54,0),5)</f>
        <v>Subtransmission</v>
      </c>
      <c r="E29" s="171" t="str">
        <f>INDEX(Unit_Rates!$C$7:$K$54,MATCH($C29,Unit_Rates!$C$7:$C$54,0),6)</f>
        <v>Augmentation</v>
      </c>
      <c r="F29" s="171" t="str">
        <f t="shared" si="4"/>
        <v>SubtransmissionAugmentation</v>
      </c>
      <c r="G29" s="268">
        <f>INDEX(Unit_Rates!$C$7:$K$54,MATCH($C29,Unit_Rates!$C$7:$C$54,0),7)</f>
        <v>0</v>
      </c>
      <c r="H29" s="299"/>
      <c r="I29" s="264" t="s">
        <v>292</v>
      </c>
      <c r="J29" s="157"/>
      <c r="K29" s="226">
        <f t="shared" si="8"/>
        <v>0</v>
      </c>
      <c r="L29" s="302">
        <f t="shared" si="2"/>
        <v>0</v>
      </c>
      <c r="M29" s="356"/>
      <c r="N29" s="568"/>
      <c r="O29" s="573"/>
      <c r="P29" s="569"/>
      <c r="Q29" s="336">
        <f>P29-H29*VLOOKUP(C29,Unit_Rates!$C$7:$E$39,3,FALSE)</f>
        <v>0</v>
      </c>
      <c r="R29" s="327">
        <v>0</v>
      </c>
      <c r="S29" s="327">
        <v>0</v>
      </c>
      <c r="T29" s="327">
        <v>0</v>
      </c>
      <c r="U29" s="327">
        <v>0</v>
      </c>
      <c r="V29" s="327">
        <v>0</v>
      </c>
      <c r="W29" s="327">
        <v>0</v>
      </c>
      <c r="X29" s="327">
        <v>0</v>
      </c>
      <c r="Y29" s="14">
        <f t="shared" si="3"/>
        <v>0</v>
      </c>
    </row>
    <row r="30" spans="2:33" x14ac:dyDescent="0.3">
      <c r="B30" s="232"/>
      <c r="C30" s="171" t="s">
        <v>335</v>
      </c>
      <c r="D30" s="171" t="str">
        <f>INDEX(Unit_Rates!$C$7:$K$54,MATCH($C30,Unit_Rates!$C$7:$C$54,0),5)</f>
        <v>Subtransmission</v>
      </c>
      <c r="E30" s="171" t="str">
        <f>INDEX(Unit_Rates!$C$7:$K$54,MATCH($C30,Unit_Rates!$C$7:$C$54,0),6)</f>
        <v>Augmentation</v>
      </c>
      <c r="F30" s="171" t="str">
        <f t="shared" si="4"/>
        <v>SubtransmissionAugmentation</v>
      </c>
      <c r="G30" s="268">
        <f>INDEX(Unit_Rates!$C$7:$K$54,MATCH($C30,Unit_Rates!$C$7:$C$54,0),7)</f>
        <v>0</v>
      </c>
      <c r="H30" s="299">
        <v>6</v>
      </c>
      <c r="I30" s="264" t="s">
        <v>292</v>
      </c>
      <c r="J30" s="157"/>
      <c r="K30" s="226">
        <f t="shared" si="8"/>
        <v>0</v>
      </c>
      <c r="L30" s="302">
        <f t="shared" si="2"/>
        <v>0</v>
      </c>
      <c r="M30" s="356"/>
      <c r="N30" s="568"/>
      <c r="O30" s="573"/>
      <c r="P30" s="569"/>
      <c r="Q30" s="336">
        <f>P30-H30*VLOOKUP(C30,Unit_Rates!$C$7:$E$39,3,FALSE)</f>
        <v>0</v>
      </c>
      <c r="R30" s="327">
        <v>0</v>
      </c>
      <c r="S30" s="327">
        <v>0</v>
      </c>
      <c r="T30" s="327">
        <v>0</v>
      </c>
      <c r="U30" s="327">
        <v>0</v>
      </c>
      <c r="V30" s="327">
        <v>0</v>
      </c>
      <c r="W30" s="327">
        <v>0</v>
      </c>
      <c r="X30" s="327">
        <v>0</v>
      </c>
      <c r="Y30" s="14">
        <f t="shared" si="3"/>
        <v>0</v>
      </c>
    </row>
    <row r="31" spans="2:33" x14ac:dyDescent="0.3">
      <c r="B31" s="232"/>
      <c r="C31" s="236" t="s">
        <v>493</v>
      </c>
      <c r="D31" s="171" t="str">
        <f>INDEX(Unit_Rates!$C$7:$K$54,MATCH($C31,Unit_Rates!$C$7:$C$54,0),5)</f>
        <v>Subtransmission</v>
      </c>
      <c r="E31" s="171" t="str">
        <f>INDEX(Unit_Rates!$C$7:$K$54,MATCH($C31,Unit_Rates!$C$7:$C$54,0),6)</f>
        <v>Augmentation</v>
      </c>
      <c r="F31" s="171" t="str">
        <f t="shared" ref="F31" si="9">D31&amp;E31</f>
        <v>SubtransmissionAugmentation</v>
      </c>
      <c r="G31" s="268">
        <f>INDEX(Unit_Rates!$C$7:$K$54,MATCH($C31,Unit_Rates!$C$7:$C$54,0),7)</f>
        <v>0</v>
      </c>
      <c r="H31" s="299">
        <f ca="1">OFFSET(Feeder_Vols!$C$6,MATCH($B$3,Feeder_Vols!$B$7:$B$15,0),0)</f>
        <v>6</v>
      </c>
      <c r="I31" s="264" t="s">
        <v>292</v>
      </c>
      <c r="J31" s="157"/>
      <c r="K31" s="226">
        <f t="shared" ca="1" si="8"/>
        <v>0</v>
      </c>
      <c r="L31" s="302">
        <f t="shared" si="2"/>
        <v>0</v>
      </c>
      <c r="M31" s="356"/>
      <c r="N31" s="568"/>
      <c r="O31" s="568"/>
      <c r="P31" s="569"/>
      <c r="Q31" s="336">
        <f ca="1">P31-H31*VLOOKUP(C31,Unit_Rates!$C$7:$E$39,3,FALSE)</f>
        <v>0</v>
      </c>
      <c r="R31" s="327">
        <v>0</v>
      </c>
      <c r="S31" s="327">
        <v>0</v>
      </c>
      <c r="T31" s="327">
        <v>0</v>
      </c>
      <c r="U31" s="327">
        <v>0</v>
      </c>
      <c r="V31" s="327">
        <v>0</v>
      </c>
      <c r="W31" s="327">
        <v>0</v>
      </c>
      <c r="X31" s="327">
        <v>0</v>
      </c>
      <c r="Y31" s="14">
        <f t="shared" si="3"/>
        <v>0</v>
      </c>
    </row>
    <row r="32" spans="2:33" x14ac:dyDescent="0.3">
      <c r="B32" s="232"/>
      <c r="C32" s="171" t="s">
        <v>336</v>
      </c>
      <c r="D32" s="171" t="str">
        <f>INDEX(Unit_Rates!$C$7:$K$54,MATCH($C32,Unit_Rates!$C$7:$C$54,0),5)</f>
        <v>Subtransmission</v>
      </c>
      <c r="E32" s="171" t="str">
        <f>INDEX(Unit_Rates!$C$7:$K$54,MATCH($C32,Unit_Rates!$C$7:$C$54,0),6)</f>
        <v>Augmentation</v>
      </c>
      <c r="F32" s="171" t="str">
        <f t="shared" si="4"/>
        <v>SubtransmissionAugmentation</v>
      </c>
      <c r="G32" s="268">
        <f>INDEX(Unit_Rates!$C$7:$K$54,MATCH($C32,Unit_Rates!$C$7:$C$54,0),7)</f>
        <v>0.60844172586161538</v>
      </c>
      <c r="H32" s="299"/>
      <c r="I32" s="264" t="s">
        <v>292</v>
      </c>
      <c r="J32" s="157"/>
      <c r="K32" s="226">
        <f t="shared" si="8"/>
        <v>0</v>
      </c>
      <c r="L32" s="302">
        <f t="shared" si="2"/>
        <v>0</v>
      </c>
      <c r="M32" s="356"/>
      <c r="N32" s="568"/>
      <c r="O32" s="573"/>
      <c r="P32" s="569"/>
      <c r="Q32" s="336">
        <f>P32-H32*VLOOKUP(C32,Unit_Rates!$C$7:$E$39,3,FALSE)</f>
        <v>0</v>
      </c>
      <c r="R32" s="327">
        <v>0</v>
      </c>
      <c r="S32" s="327">
        <v>0</v>
      </c>
      <c r="T32" s="327">
        <v>0</v>
      </c>
      <c r="U32" s="327">
        <v>0</v>
      </c>
      <c r="V32" s="327">
        <v>0</v>
      </c>
      <c r="W32" s="327">
        <v>0</v>
      </c>
      <c r="X32" s="327">
        <v>0</v>
      </c>
      <c r="Y32" s="14">
        <f t="shared" si="3"/>
        <v>0</v>
      </c>
    </row>
    <row r="33" spans="2:53" x14ac:dyDescent="0.3">
      <c r="B33" s="232"/>
      <c r="C33" s="171" t="s">
        <v>495</v>
      </c>
      <c r="D33" s="171" t="str">
        <f>INDEX(Unit_Rates!$C$7:$K$54,MATCH($C33,Unit_Rates!$C$7:$C$54,0),5)</f>
        <v>Subtransmission</v>
      </c>
      <c r="E33" s="171" t="str">
        <f>INDEX(Unit_Rates!$C$7:$K$54,MATCH($C33,Unit_Rates!$C$7:$C$54,0),6)</f>
        <v>Augmentation</v>
      </c>
      <c r="F33" s="171" t="str">
        <f t="shared" si="4"/>
        <v>SubtransmissionAugmentation</v>
      </c>
      <c r="G33" s="268">
        <f>INDEX(Unit_Rates!$C$7:$K$54,MATCH($C33,Unit_Rates!$C$7:$C$54,0),7)</f>
        <v>0</v>
      </c>
      <c r="H33" s="299">
        <v>1</v>
      </c>
      <c r="I33" s="264" t="s">
        <v>292</v>
      </c>
      <c r="J33" s="157"/>
      <c r="K33" s="226">
        <f t="shared" si="8"/>
        <v>0</v>
      </c>
      <c r="L33" s="302">
        <f t="shared" si="2"/>
        <v>0</v>
      </c>
      <c r="M33" s="356"/>
      <c r="N33" s="568"/>
      <c r="O33" s="573"/>
      <c r="P33" s="569"/>
      <c r="Q33" s="336">
        <f>P33-H33*VLOOKUP(C33,Unit_Rates!$C$7:$E$39,3,FALSE)</f>
        <v>0</v>
      </c>
      <c r="R33" s="327">
        <v>0</v>
      </c>
      <c r="S33" s="327">
        <v>0</v>
      </c>
      <c r="T33" s="327">
        <v>0</v>
      </c>
      <c r="U33" s="327">
        <v>0</v>
      </c>
      <c r="V33" s="327">
        <v>0</v>
      </c>
      <c r="W33" s="327">
        <v>0</v>
      </c>
      <c r="X33" s="327">
        <v>0</v>
      </c>
      <c r="Y33" s="14">
        <f t="shared" si="3"/>
        <v>0</v>
      </c>
    </row>
    <row r="34" spans="2:53" ht="15" x14ac:dyDescent="0.25">
      <c r="B34" s="232"/>
      <c r="C34" s="171" t="s">
        <v>209</v>
      </c>
      <c r="D34" s="171" t="str">
        <f>INDEX(Unit_Rates!$C$7:$K$54,MATCH($C34,Unit_Rates!$C$7:$C$54,0),5)</f>
        <v>Subtransmission</v>
      </c>
      <c r="E34" s="171" t="str">
        <f>INDEX(Unit_Rates!$C$7:$K$54,MATCH($C34,Unit_Rates!$C$7:$C$54,0),6)</f>
        <v>Augmentation</v>
      </c>
      <c r="F34" s="171" t="str">
        <f t="shared" si="4"/>
        <v>SubtransmissionAugmentation</v>
      </c>
      <c r="G34" s="268">
        <f>INDEX(Unit_Rates!$C$7:$K$54,MATCH($C34,Unit_Rates!$C$7:$C$54,0),7)</f>
        <v>94.457808471454882</v>
      </c>
      <c r="H34" s="299">
        <v>2</v>
      </c>
      <c r="I34" s="264" t="s">
        <v>292</v>
      </c>
      <c r="J34" s="157"/>
      <c r="K34" s="226">
        <f t="shared" si="5"/>
        <v>188.91561694290976</v>
      </c>
      <c r="L34" s="302">
        <f t="shared" si="2"/>
        <v>0</v>
      </c>
      <c r="M34" s="356"/>
      <c r="N34" s="568"/>
      <c r="O34" s="573"/>
      <c r="P34" s="569"/>
      <c r="Q34" s="336">
        <f>P34-H34*VLOOKUP(C34,Unit_Rates!$C$7:$E$39,3,FALSE)</f>
        <v>0</v>
      </c>
      <c r="R34" s="327">
        <v>0</v>
      </c>
      <c r="S34" s="327">
        <v>0</v>
      </c>
      <c r="T34" s="327">
        <v>0</v>
      </c>
      <c r="U34" s="327">
        <v>0</v>
      </c>
      <c r="V34" s="327">
        <v>0</v>
      </c>
      <c r="W34" s="327">
        <v>0</v>
      </c>
      <c r="X34" s="327">
        <v>0</v>
      </c>
      <c r="Y34" s="14">
        <f t="shared" si="3"/>
        <v>0</v>
      </c>
    </row>
    <row r="35" spans="2:53" x14ac:dyDescent="0.3">
      <c r="B35" s="232"/>
      <c r="C35" s="171" t="s">
        <v>212</v>
      </c>
      <c r="D35" s="171" t="str">
        <f>INDEX(Unit_Rates!$C$7:$K$54,MATCH($C35,Unit_Rates!$C$7:$C$54,0),5)</f>
        <v>Subtransmission</v>
      </c>
      <c r="E35" s="171" t="str">
        <f>INDEX(Unit_Rates!$C$7:$K$54,MATCH($C35,Unit_Rates!$C$7:$C$54,0),6)</f>
        <v>Augmentation</v>
      </c>
      <c r="F35" s="171" t="str">
        <f t="shared" si="4"/>
        <v>SubtransmissionAugmentation</v>
      </c>
      <c r="G35" s="268">
        <f>INDEX(Unit_Rates!$C$7:$K$54,MATCH($C35,Unit_Rates!$C$7:$C$54,0),7)</f>
        <v>0</v>
      </c>
      <c r="H35" s="299">
        <v>2</v>
      </c>
      <c r="I35" s="264" t="s">
        <v>292</v>
      </c>
      <c r="J35" s="157"/>
      <c r="K35" s="226">
        <f t="shared" si="5"/>
        <v>0</v>
      </c>
      <c r="L35" s="302">
        <f t="shared" si="2"/>
        <v>0</v>
      </c>
      <c r="M35" s="356"/>
      <c r="N35" s="568"/>
      <c r="O35" s="573"/>
      <c r="P35" s="569"/>
      <c r="Q35" s="336">
        <f>P35-H35*VLOOKUP(C35,Unit_Rates!$C$7:$E$39,3,FALSE)</f>
        <v>0</v>
      </c>
      <c r="R35" s="327">
        <v>0</v>
      </c>
      <c r="S35" s="327">
        <v>0</v>
      </c>
      <c r="T35" s="327">
        <v>0</v>
      </c>
      <c r="U35" s="327">
        <v>0</v>
      </c>
      <c r="V35" s="327">
        <v>0</v>
      </c>
      <c r="W35" s="327">
        <v>0</v>
      </c>
      <c r="X35" s="327">
        <v>0</v>
      </c>
      <c r="Y35" s="14">
        <f t="shared" si="3"/>
        <v>0</v>
      </c>
    </row>
    <row r="36" spans="2:53" x14ac:dyDescent="0.3">
      <c r="B36" s="232"/>
      <c r="C36" s="171" t="s">
        <v>363</v>
      </c>
      <c r="D36" s="171" t="str">
        <f>INDEX(Unit_Rates!$C$7:$K$54,MATCH($C36,Unit_Rates!$C$7:$C$54,0),5)</f>
        <v>Subtransmission</v>
      </c>
      <c r="E36" s="171" t="str">
        <f>INDEX(Unit_Rates!$C$7:$K$54,MATCH($C36,Unit_Rates!$C$7:$C$54,0),6)</f>
        <v>Augmentation</v>
      </c>
      <c r="F36" s="171" t="str">
        <f t="shared" si="4"/>
        <v>SubtransmissionAugmentation</v>
      </c>
      <c r="G36" s="268">
        <f>INDEX(Unit_Rates!$C$7:$K$54,MATCH($C36,Unit_Rates!$C$7:$C$54,0),7)</f>
        <v>164.69749581395345</v>
      </c>
      <c r="H36" s="299"/>
      <c r="I36" s="264" t="s">
        <v>292</v>
      </c>
      <c r="J36" s="157"/>
      <c r="K36" s="226">
        <f t="shared" si="5"/>
        <v>0</v>
      </c>
      <c r="L36" s="302">
        <f t="shared" si="2"/>
        <v>0</v>
      </c>
      <c r="M36" s="356"/>
      <c r="N36" s="568"/>
      <c r="O36" s="573"/>
      <c r="P36" s="569"/>
      <c r="Q36" s="336">
        <f>P36-H36*VLOOKUP(C36,Unit_Rates!$C$7:$E$39,3,FALSE)</f>
        <v>0</v>
      </c>
      <c r="R36" s="327">
        <v>0</v>
      </c>
      <c r="S36" s="327">
        <v>0</v>
      </c>
      <c r="T36" s="327">
        <v>0</v>
      </c>
      <c r="U36" s="327">
        <v>0</v>
      </c>
      <c r="V36" s="327">
        <v>0</v>
      </c>
      <c r="W36" s="327">
        <v>0</v>
      </c>
      <c r="X36" s="327">
        <v>0</v>
      </c>
      <c r="Y36" s="14">
        <f t="shared" si="3"/>
        <v>0</v>
      </c>
    </row>
    <row r="37" spans="2:53" x14ac:dyDescent="0.3">
      <c r="B37" s="232"/>
      <c r="C37" s="289" t="s">
        <v>273</v>
      </c>
      <c r="D37" s="171" t="str">
        <f>Unit_Rates!G34</f>
        <v>Subtransmission</v>
      </c>
      <c r="E37" s="171" t="str">
        <f>Unit_Rates!H34</f>
        <v>Augmentation</v>
      </c>
      <c r="F37" s="171" t="str">
        <f t="shared" si="4"/>
        <v>SubtransmissionAugmentation</v>
      </c>
      <c r="G37" s="268">
        <f>INDEX(Unit_Rates!$C$7:$K$54,MATCH($C37,Unit_Rates!$C$7:$C$54,0),7)</f>
        <v>362.24270165745855</v>
      </c>
      <c r="H37" s="300"/>
      <c r="I37" s="278" t="s">
        <v>292</v>
      </c>
      <c r="J37" s="279"/>
      <c r="K37" s="301">
        <f t="shared" si="5"/>
        <v>0</v>
      </c>
      <c r="L37" s="316">
        <f t="shared" si="2"/>
        <v>0</v>
      </c>
      <c r="M37" s="357"/>
      <c r="N37" s="570"/>
      <c r="O37" s="570"/>
      <c r="P37" s="572"/>
      <c r="Q37" s="336"/>
      <c r="R37" s="327">
        <v>0</v>
      </c>
      <c r="S37" s="327">
        <v>0</v>
      </c>
      <c r="T37" s="327">
        <v>0</v>
      </c>
      <c r="U37" s="327">
        <v>0</v>
      </c>
      <c r="V37" s="327">
        <v>0</v>
      </c>
      <c r="W37" s="327">
        <v>0</v>
      </c>
      <c r="X37" s="327">
        <v>0</v>
      </c>
      <c r="Y37" s="14">
        <f t="shared" si="3"/>
        <v>0</v>
      </c>
    </row>
    <row r="38" spans="2:53" x14ac:dyDescent="0.3">
      <c r="B38" s="232"/>
      <c r="C38" s="171" t="s">
        <v>303</v>
      </c>
      <c r="D38" s="171" t="s">
        <v>18</v>
      </c>
      <c r="E38" s="171" t="s">
        <v>42</v>
      </c>
      <c r="F38" s="171" t="str">
        <f t="shared" si="4"/>
        <v>SubtransmissionAugmentation</v>
      </c>
      <c r="G38" s="441">
        <v>6.8449526691769014E-2</v>
      </c>
      <c r="H38" s="299">
        <v>785</v>
      </c>
      <c r="I38" s="264" t="s">
        <v>318</v>
      </c>
      <c r="J38" s="157"/>
      <c r="K38" s="226">
        <f t="shared" si="5"/>
        <v>53.732878453038673</v>
      </c>
      <c r="L38" s="302">
        <f t="shared" si="2"/>
        <v>0</v>
      </c>
      <c r="M38" s="356"/>
      <c r="N38" s="568"/>
      <c r="O38" s="573"/>
      <c r="P38" s="569"/>
      <c r="Q38" s="290"/>
      <c r="R38" s="327">
        <v>0</v>
      </c>
      <c r="S38" s="327">
        <v>0</v>
      </c>
      <c r="T38" s="327">
        <v>0</v>
      </c>
      <c r="U38" s="327">
        <v>0</v>
      </c>
      <c r="V38" s="327">
        <v>0</v>
      </c>
      <c r="W38" s="327">
        <v>0</v>
      </c>
      <c r="X38" s="327">
        <v>0</v>
      </c>
      <c r="Y38" s="14">
        <f t="shared" si="3"/>
        <v>0</v>
      </c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</row>
    <row r="39" spans="2:53" x14ac:dyDescent="0.3">
      <c r="B39" s="232"/>
      <c r="C39" s="171" t="s">
        <v>60</v>
      </c>
      <c r="D39" s="171" t="s">
        <v>18</v>
      </c>
      <c r="E39" s="171" t="s">
        <v>42</v>
      </c>
      <c r="F39" s="171" t="str">
        <f t="shared" si="4"/>
        <v>SubtransmissionAugmentation</v>
      </c>
      <c r="G39" s="441">
        <v>2.2576427255985267</v>
      </c>
      <c r="H39" s="299">
        <v>1</v>
      </c>
      <c r="I39" s="264" t="s">
        <v>292</v>
      </c>
      <c r="J39" s="157"/>
      <c r="K39" s="226">
        <f t="shared" si="5"/>
        <v>2.2576427255985267</v>
      </c>
      <c r="L39" s="302">
        <f t="shared" si="2"/>
        <v>0</v>
      </c>
      <c r="M39" s="356"/>
      <c r="N39" s="568"/>
      <c r="O39" s="573"/>
      <c r="P39" s="569"/>
      <c r="Q39" s="290"/>
      <c r="R39" s="327">
        <v>0</v>
      </c>
      <c r="S39" s="327">
        <v>0</v>
      </c>
      <c r="T39" s="327">
        <v>0</v>
      </c>
      <c r="U39" s="327">
        <v>0</v>
      </c>
      <c r="V39" s="327">
        <v>0</v>
      </c>
      <c r="W39" s="327">
        <v>0</v>
      </c>
      <c r="X39" s="327">
        <v>0</v>
      </c>
      <c r="Y39" s="14">
        <f t="shared" si="3"/>
        <v>0</v>
      </c>
      <c r="AO39" s="236"/>
      <c r="AP39" s="318"/>
      <c r="AQ39" s="546"/>
      <c r="AR39" s="318"/>
      <c r="AS39" s="318"/>
      <c r="AT39" s="318"/>
      <c r="AU39" s="318"/>
      <c r="AV39" s="318"/>
      <c r="AW39" s="318"/>
      <c r="AX39" s="547"/>
      <c r="AY39" s="548"/>
      <c r="AZ39" s="318"/>
      <c r="BA39" s="236"/>
    </row>
    <row r="40" spans="2:53" x14ac:dyDescent="0.3">
      <c r="B40" s="232"/>
      <c r="C40" s="171"/>
      <c r="D40" s="171"/>
      <c r="E40" s="171"/>
      <c r="F40" s="171"/>
      <c r="G40" s="268"/>
      <c r="H40" s="232"/>
      <c r="I40" s="224"/>
      <c r="J40" s="157"/>
      <c r="K40" s="225"/>
      <c r="L40" s="224"/>
      <c r="M40" s="224"/>
      <c r="N40" s="225"/>
      <c r="O40" s="225"/>
      <c r="P40" s="224"/>
      <c r="Q40" s="11"/>
      <c r="R40" s="326"/>
      <c r="S40" s="326"/>
      <c r="T40" s="326"/>
      <c r="U40" s="326"/>
      <c r="V40" s="326"/>
      <c r="W40" s="326"/>
      <c r="X40" s="326"/>
      <c r="Y40" s="14"/>
      <c r="AO40" s="236"/>
      <c r="AP40" s="318"/>
      <c r="AQ40" s="274"/>
      <c r="AR40" s="549"/>
      <c r="AS40" s="236"/>
      <c r="AT40" s="549"/>
      <c r="AU40" s="549"/>
      <c r="AV40" s="549"/>
      <c r="AW40" s="415"/>
      <c r="AX40" s="547"/>
      <c r="AY40" s="236"/>
      <c r="AZ40" s="416"/>
      <c r="BA40" s="236"/>
    </row>
    <row r="41" spans="2:53" x14ac:dyDescent="0.3">
      <c r="B41" s="251" t="s">
        <v>307</v>
      </c>
      <c r="C41" s="171"/>
      <c r="D41" s="171"/>
      <c r="E41" s="171"/>
      <c r="F41" s="171"/>
      <c r="G41" s="268"/>
      <c r="H41" s="232"/>
      <c r="I41" s="224"/>
      <c r="J41" s="157"/>
      <c r="K41" s="225"/>
      <c r="L41" s="225"/>
      <c r="M41" s="225"/>
      <c r="N41" s="222"/>
      <c r="O41" s="225"/>
      <c r="P41" s="223"/>
      <c r="Q41" s="47"/>
      <c r="R41" s="326"/>
      <c r="S41" s="326"/>
      <c r="T41" s="326"/>
      <c r="U41" s="326"/>
      <c r="V41" s="326"/>
      <c r="W41" s="326"/>
      <c r="X41" s="326"/>
      <c r="AO41" s="236"/>
      <c r="AP41" s="318"/>
      <c r="AQ41" s="274"/>
      <c r="AR41" s="549"/>
      <c r="AS41" s="549"/>
      <c r="AT41" s="549"/>
      <c r="AU41" s="549"/>
      <c r="AV41" s="549"/>
      <c r="AW41" s="415"/>
      <c r="AX41" s="547"/>
      <c r="AY41" s="236"/>
      <c r="AZ41" s="416"/>
      <c r="BA41" s="236"/>
    </row>
    <row r="42" spans="2:53" x14ac:dyDescent="0.3">
      <c r="B42" s="251"/>
      <c r="C42" s="171" t="s">
        <v>500</v>
      </c>
      <c r="D42" s="171" t="str">
        <f>INDEX(Unit_Rates!$C$7:$K$54,MATCH($C42,Unit_Rates!$C$7:$C$54,0),5)</f>
        <v>SCADA/Network control</v>
      </c>
      <c r="E42" s="171" t="str">
        <f>INDEX(Unit_Rates!$C$7:$K$54,MATCH($C42,Unit_Rates!$C$7:$C$54,0),6)</f>
        <v>Augmentation</v>
      </c>
      <c r="F42" s="171" t="str">
        <f t="shared" ref="F42:F49" si="10">D42&amp;E42</f>
        <v>SCADA/Network controlAugmentation</v>
      </c>
      <c r="G42" s="268">
        <f>INDEX(Unit_Rates!$C$7:$K$54,MATCH($C42,Unit_Rates!$C$7:$C$54,0),7)</f>
        <v>58.317856353591161</v>
      </c>
      <c r="H42" s="299">
        <v>1</v>
      </c>
      <c r="I42" s="264" t="s">
        <v>292</v>
      </c>
      <c r="J42" s="157"/>
      <c r="K42" s="301">
        <f t="shared" ref="K42:K49" si="11">G42*H42</f>
        <v>58.317856353591161</v>
      </c>
      <c r="L42" s="225">
        <f t="shared" ref="L42:L49" si="12">SUMPRODUCT(R$5:X$5,R42:X42)/Thousands</f>
        <v>0</v>
      </c>
      <c r="M42" s="307"/>
      <c r="N42" s="568"/>
      <c r="O42" s="573"/>
      <c r="P42" s="569"/>
      <c r="Q42" s="336">
        <f>P42-H42*VLOOKUP(C42,Unit_Rates!$C$44:$E$54,3,FALSE)</f>
        <v>0</v>
      </c>
      <c r="R42" s="327">
        <v>0</v>
      </c>
      <c r="S42" s="327">
        <v>0</v>
      </c>
      <c r="T42" s="327">
        <v>0</v>
      </c>
      <c r="U42" s="327">
        <v>0</v>
      </c>
      <c r="V42" s="327">
        <v>0</v>
      </c>
      <c r="W42" s="327">
        <v>0</v>
      </c>
      <c r="X42" s="327">
        <v>0</v>
      </c>
      <c r="Y42" s="14">
        <f t="shared" ref="Y42:Y49" si="13">SUM(R42:X42)</f>
        <v>0</v>
      </c>
      <c r="AO42" s="236"/>
      <c r="AP42" s="318"/>
      <c r="AQ42" s="274"/>
      <c r="AR42" s="549"/>
      <c r="AS42" s="549"/>
      <c r="AT42" s="549"/>
      <c r="AU42" s="549"/>
      <c r="AV42" s="549"/>
      <c r="AW42" s="415"/>
      <c r="AX42" s="547"/>
      <c r="AY42" s="236"/>
      <c r="AZ42" s="416"/>
      <c r="BA42" s="236"/>
    </row>
    <row r="43" spans="2:53" x14ac:dyDescent="0.3">
      <c r="B43" s="251"/>
      <c r="C43" s="171" t="s">
        <v>319</v>
      </c>
      <c r="D43" s="171" t="str">
        <f>INDEX(Unit_Rates!$C$7:$K$54,MATCH($C43,Unit_Rates!$C$7:$C$54,0),5)</f>
        <v>SCADA/Network control</v>
      </c>
      <c r="E43" s="171" t="str">
        <f>INDEX(Unit_Rates!$C$7:$K$54,MATCH($C43,Unit_Rates!$C$7:$C$54,0),6)</f>
        <v>Augmentation</v>
      </c>
      <c r="F43" s="171" t="str">
        <f t="shared" si="10"/>
        <v>SCADA/Network controlAugmentation</v>
      </c>
      <c r="G43" s="268">
        <f>INDEX(Unit_Rates!$C$7:$K$54,MATCH($C43,Unit_Rates!$C$7:$C$54,0),7)</f>
        <v>5.88950276243094</v>
      </c>
      <c r="H43" s="299">
        <v>2</v>
      </c>
      <c r="I43" s="264" t="s">
        <v>292</v>
      </c>
      <c r="J43" s="157"/>
      <c r="K43" s="301">
        <f t="shared" si="11"/>
        <v>11.77900552486188</v>
      </c>
      <c r="L43" s="225">
        <f t="shared" si="12"/>
        <v>0</v>
      </c>
      <c r="M43" s="307"/>
      <c r="N43" s="568"/>
      <c r="O43" s="573"/>
      <c r="P43" s="569"/>
      <c r="Q43" s="336">
        <f>P43-H43*VLOOKUP(C43,Unit_Rates!$C$44:$E$54,3,FALSE)</f>
        <v>0</v>
      </c>
      <c r="R43" s="327">
        <v>0</v>
      </c>
      <c r="S43" s="327">
        <v>0</v>
      </c>
      <c r="T43" s="327">
        <v>0</v>
      </c>
      <c r="U43" s="327">
        <v>0</v>
      </c>
      <c r="V43" s="327">
        <v>0</v>
      </c>
      <c r="W43" s="327">
        <v>0</v>
      </c>
      <c r="X43" s="327">
        <v>0</v>
      </c>
      <c r="Y43" s="14">
        <f t="shared" si="13"/>
        <v>0</v>
      </c>
      <c r="AO43" s="236"/>
      <c r="AP43" s="318"/>
      <c r="AQ43" s="274"/>
      <c r="AR43" s="549"/>
      <c r="AS43" s="555"/>
      <c r="AT43" s="550"/>
      <c r="AU43" s="550"/>
      <c r="AV43" s="236"/>
      <c r="AW43" s="415"/>
      <c r="AX43" s="547"/>
      <c r="AY43" s="236"/>
      <c r="AZ43" s="416"/>
      <c r="BA43" s="236"/>
    </row>
    <row r="44" spans="2:53" x14ac:dyDescent="0.3">
      <c r="B44" s="251"/>
      <c r="C44" s="171" t="s">
        <v>321</v>
      </c>
      <c r="D44" s="171" t="str">
        <f>INDEX(Unit_Rates!$C$7:$K$54,MATCH($C44,Unit_Rates!$C$7:$C$54,0),5)</f>
        <v>SCADA/Network control</v>
      </c>
      <c r="E44" s="171" t="str">
        <f>INDEX(Unit_Rates!$C$7:$K$54,MATCH($C44,Unit_Rates!$C$7:$C$54,0),6)</f>
        <v>Augmentation</v>
      </c>
      <c r="F44" s="171" t="str">
        <f t="shared" si="10"/>
        <v>SCADA/Network controlAugmentation</v>
      </c>
      <c r="G44" s="268">
        <f>INDEX(Unit_Rates!$C$7:$K$54,MATCH($C44,Unit_Rates!$C$7:$C$54,0),7)</f>
        <v>8.2030957642725593</v>
      </c>
      <c r="H44" s="299">
        <v>2</v>
      </c>
      <c r="I44" s="264" t="s">
        <v>292</v>
      </c>
      <c r="J44" s="157"/>
      <c r="K44" s="301">
        <f t="shared" ref="K44:K45" si="14">G44*H44</f>
        <v>16.406191528545119</v>
      </c>
      <c r="L44" s="225">
        <f t="shared" si="12"/>
        <v>0</v>
      </c>
      <c r="M44" s="307"/>
      <c r="N44" s="568"/>
      <c r="O44" s="573"/>
      <c r="P44" s="569"/>
      <c r="Q44" s="336">
        <f>P44-H44*VLOOKUP(C44,Unit_Rates!$C$44:$E$54,3,FALSE)</f>
        <v>0</v>
      </c>
      <c r="R44" s="327">
        <v>0</v>
      </c>
      <c r="S44" s="327">
        <v>0</v>
      </c>
      <c r="T44" s="327">
        <v>0</v>
      </c>
      <c r="U44" s="327">
        <v>0</v>
      </c>
      <c r="V44" s="327">
        <v>0</v>
      </c>
      <c r="W44" s="327">
        <v>0</v>
      </c>
      <c r="X44" s="327">
        <v>0</v>
      </c>
      <c r="Y44" s="14">
        <f t="shared" si="13"/>
        <v>0</v>
      </c>
      <c r="AO44" s="236"/>
      <c r="AP44" s="236"/>
      <c r="AQ44" s="236"/>
      <c r="AR44" s="236"/>
      <c r="AS44" s="236"/>
      <c r="AT44" s="236"/>
      <c r="AU44" s="236"/>
      <c r="AV44" s="236"/>
      <c r="AW44" s="415"/>
      <c r="AX44" s="236"/>
      <c r="AY44" s="236"/>
      <c r="AZ44" s="416"/>
      <c r="BA44" s="236"/>
    </row>
    <row r="45" spans="2:53" x14ac:dyDescent="0.3">
      <c r="B45" s="251"/>
      <c r="C45" s="276" t="s">
        <v>520</v>
      </c>
      <c r="D45" s="171" t="str">
        <f>INDEX(Unit_Rates!$C$7:$K$54,MATCH($C45,Unit_Rates!$C$7:$C$54,0),5)</f>
        <v>SCADA/Network control</v>
      </c>
      <c r="E45" s="171" t="str">
        <f>INDEX(Unit_Rates!$C$7:$K$54,MATCH($C45,Unit_Rates!$C$7:$C$54,0),6)</f>
        <v>Augmentation</v>
      </c>
      <c r="F45" s="171" t="str">
        <f t="shared" si="10"/>
        <v>SCADA/Network controlAugmentation</v>
      </c>
      <c r="G45" s="268">
        <f>INDEX(Unit_Rates!$C$7:$K$54,MATCH($C45,Unit_Rates!$C$7:$C$54,0),7)</f>
        <v>92.456849907918979</v>
      </c>
      <c r="H45" s="299">
        <v>2</v>
      </c>
      <c r="I45" s="264" t="s">
        <v>292</v>
      </c>
      <c r="J45" s="157"/>
      <c r="K45" s="301">
        <f t="shared" si="14"/>
        <v>184.91369981583796</v>
      </c>
      <c r="L45" s="225">
        <f t="shared" si="12"/>
        <v>0</v>
      </c>
      <c r="M45" s="307"/>
      <c r="N45" s="568"/>
      <c r="O45" s="573"/>
      <c r="P45" s="569"/>
      <c r="Q45" s="336">
        <f>P45-H45*VLOOKUP(C45,Unit_Rates!$C$44:$E$54,3,FALSE)</f>
        <v>0</v>
      </c>
      <c r="R45" s="327">
        <v>0</v>
      </c>
      <c r="S45" s="327">
        <v>0</v>
      </c>
      <c r="T45" s="327">
        <v>0</v>
      </c>
      <c r="U45" s="327">
        <v>0</v>
      </c>
      <c r="V45" s="327">
        <v>0</v>
      </c>
      <c r="W45" s="327">
        <v>0</v>
      </c>
      <c r="X45" s="327">
        <v>0</v>
      </c>
      <c r="Y45" s="14">
        <f t="shared" si="13"/>
        <v>0</v>
      </c>
      <c r="AO45" s="236"/>
      <c r="AP45" s="236"/>
      <c r="AQ45" s="236"/>
      <c r="AR45" s="236"/>
      <c r="AS45" s="236"/>
      <c r="AT45" s="236"/>
      <c r="AU45" s="236"/>
      <c r="AV45" s="236"/>
      <c r="AW45" s="415"/>
      <c r="AX45" s="236"/>
      <c r="AY45" s="236"/>
      <c r="AZ45" s="416"/>
      <c r="BA45" s="236"/>
    </row>
    <row r="46" spans="2:53" x14ac:dyDescent="0.3">
      <c r="B46" s="251"/>
      <c r="C46" s="276" t="s">
        <v>528</v>
      </c>
      <c r="D46" s="171" t="str">
        <f>INDEX(Unit_Rates!$C$7:$K$54,MATCH($C46,Unit_Rates!$C$7:$C$54,0),5)</f>
        <v>SCADA/Network control</v>
      </c>
      <c r="E46" s="171" t="str">
        <f>INDEX(Unit_Rates!$C$7:$K$54,MATCH($C46,Unit_Rates!$C$7:$C$54,0),6)</f>
        <v>Augmentation</v>
      </c>
      <c r="F46" s="171" t="str">
        <f t="shared" ref="F46" si="15">D46&amp;E46</f>
        <v>SCADA/Network controlAugmentation</v>
      </c>
      <c r="G46" s="268">
        <f>INDEX(Unit_Rates!$C$7:$K$54,MATCH($C46,Unit_Rates!$C$7:$C$54,0),7)</f>
        <v>31.775830570902396</v>
      </c>
      <c r="H46" s="299">
        <v>1</v>
      </c>
      <c r="I46" s="264" t="s">
        <v>292</v>
      </c>
      <c r="J46" s="157"/>
      <c r="K46" s="301">
        <f t="shared" ref="K46" si="16">G46*H46</f>
        <v>31.775830570902396</v>
      </c>
      <c r="L46" s="225">
        <f t="shared" ref="L46" si="17">SUMPRODUCT(R$5:X$5,R46:X46)/Thousands</f>
        <v>0</v>
      </c>
      <c r="M46" s="307"/>
      <c r="N46" s="568"/>
      <c r="O46" s="573"/>
      <c r="P46" s="569"/>
      <c r="Q46" s="336">
        <f>P46-H46*VLOOKUP(C46,Unit_Rates!$C$44:$E$54,3,FALSE)</f>
        <v>0</v>
      </c>
      <c r="R46" s="327"/>
      <c r="S46" s="327"/>
      <c r="T46" s="327"/>
      <c r="U46" s="327"/>
      <c r="V46" s="327"/>
      <c r="W46" s="327"/>
      <c r="X46" s="327"/>
      <c r="Y46" s="14"/>
      <c r="AO46" s="236"/>
      <c r="AP46" s="236"/>
      <c r="AQ46" s="236"/>
      <c r="AR46" s="236"/>
      <c r="AS46" s="236"/>
      <c r="AT46" s="236"/>
      <c r="AU46" s="236"/>
      <c r="AV46" s="236"/>
      <c r="AW46" s="415"/>
      <c r="AX46" s="236"/>
      <c r="AY46" s="236"/>
      <c r="AZ46" s="416"/>
      <c r="BA46" s="236"/>
    </row>
    <row r="47" spans="2:53" x14ac:dyDescent="0.3">
      <c r="B47" s="251"/>
      <c r="C47" s="171" t="s">
        <v>324</v>
      </c>
      <c r="D47" s="171" t="str">
        <f>Unit_Rates!G53</f>
        <v>SCADA/Network control</v>
      </c>
      <c r="E47" s="171" t="str">
        <f>Unit_Rates!H53</f>
        <v>Augmentation</v>
      </c>
      <c r="F47" s="171" t="str">
        <f t="shared" si="10"/>
        <v>SCADA/Network controlAugmentation</v>
      </c>
      <c r="G47" s="441">
        <v>20.593627992633518</v>
      </c>
      <c r="H47" s="299">
        <v>1</v>
      </c>
      <c r="I47" s="264" t="s">
        <v>292</v>
      </c>
      <c r="J47" s="157"/>
      <c r="K47" s="301">
        <f t="shared" si="11"/>
        <v>20.593627992633518</v>
      </c>
      <c r="L47" s="225">
        <f t="shared" si="12"/>
        <v>0</v>
      </c>
      <c r="M47" s="307"/>
      <c r="N47" s="568"/>
      <c r="O47" s="573"/>
      <c r="P47" s="569"/>
      <c r="Q47" s="336"/>
      <c r="R47" s="327">
        <v>0</v>
      </c>
      <c r="S47" s="327">
        <v>0</v>
      </c>
      <c r="T47" s="327">
        <v>0</v>
      </c>
      <c r="U47" s="327">
        <v>0</v>
      </c>
      <c r="V47" s="327">
        <v>0</v>
      </c>
      <c r="W47" s="327">
        <v>0</v>
      </c>
      <c r="X47" s="327">
        <v>0</v>
      </c>
      <c r="Y47" s="14">
        <f t="shared" si="13"/>
        <v>0</v>
      </c>
      <c r="AO47" s="236"/>
      <c r="AP47" s="236"/>
      <c r="AQ47" s="236"/>
      <c r="AR47" s="236"/>
      <c r="AS47" s="236"/>
      <c r="AT47" s="236"/>
      <c r="AU47" s="236"/>
      <c r="AV47" s="236"/>
      <c r="AW47" s="415"/>
      <c r="AX47" s="236"/>
      <c r="AY47" s="236"/>
      <c r="AZ47" s="416"/>
      <c r="BA47" s="236"/>
    </row>
    <row r="48" spans="2:53" x14ac:dyDescent="0.3">
      <c r="B48" s="251"/>
      <c r="C48" s="171" t="s">
        <v>322</v>
      </c>
      <c r="D48" s="171" t="s">
        <v>22</v>
      </c>
      <c r="E48" s="171" t="s">
        <v>42</v>
      </c>
      <c r="F48" s="171" t="str">
        <f t="shared" si="10"/>
        <v>SCADA/Network controlAugmentation</v>
      </c>
      <c r="G48" s="441">
        <v>103.0476482504604</v>
      </c>
      <c r="H48" s="533">
        <v>1</v>
      </c>
      <c r="I48" s="264" t="s">
        <v>292</v>
      </c>
      <c r="J48" s="157"/>
      <c r="K48" s="301">
        <f t="shared" si="11"/>
        <v>103.0476482504604</v>
      </c>
      <c r="L48" s="225">
        <f t="shared" si="12"/>
        <v>0</v>
      </c>
      <c r="M48" s="307"/>
      <c r="N48" s="568"/>
      <c r="O48" s="573"/>
      <c r="P48" s="569"/>
      <c r="Q48" s="290"/>
      <c r="R48" s="327">
        <v>0</v>
      </c>
      <c r="S48" s="327">
        <v>0</v>
      </c>
      <c r="T48" s="327">
        <v>0</v>
      </c>
      <c r="U48" s="327">
        <v>0</v>
      </c>
      <c r="V48" s="327">
        <v>0</v>
      </c>
      <c r="W48" s="327">
        <v>0</v>
      </c>
      <c r="X48" s="327">
        <v>0</v>
      </c>
      <c r="Y48" s="14">
        <f t="shared" si="13"/>
        <v>0</v>
      </c>
      <c r="AO48" s="236"/>
      <c r="AP48" s="236"/>
      <c r="AQ48" s="236"/>
      <c r="AR48" s="236"/>
      <c r="AS48" s="236"/>
      <c r="AT48" s="236"/>
      <c r="AU48" s="236"/>
      <c r="AV48" s="236"/>
      <c r="AW48" s="415"/>
      <c r="AX48" s="236"/>
      <c r="AY48" s="236"/>
      <c r="AZ48" s="416"/>
      <c r="BA48" s="236"/>
    </row>
    <row r="49" spans="2:53" x14ac:dyDescent="0.3">
      <c r="B49" s="251" t="s">
        <v>281</v>
      </c>
      <c r="C49" s="171"/>
      <c r="D49" s="171" t="s">
        <v>18</v>
      </c>
      <c r="E49" s="236" t="s">
        <v>42</v>
      </c>
      <c r="F49" s="171" t="str">
        <f t="shared" si="10"/>
        <v>SubtransmissionAugmentation</v>
      </c>
      <c r="G49" s="441"/>
      <c r="H49" s="299"/>
      <c r="I49" s="264" t="s">
        <v>292</v>
      </c>
      <c r="J49" s="157"/>
      <c r="K49" s="301">
        <f t="shared" si="11"/>
        <v>0</v>
      </c>
      <c r="L49" s="225">
        <f t="shared" si="12"/>
        <v>0</v>
      </c>
      <c r="M49" s="307"/>
      <c r="N49" s="568"/>
      <c r="O49" s="573"/>
      <c r="P49" s="569"/>
      <c r="Q49" s="290"/>
      <c r="R49" s="327">
        <v>0</v>
      </c>
      <c r="S49" s="327">
        <v>0</v>
      </c>
      <c r="T49" s="327">
        <v>0</v>
      </c>
      <c r="U49" s="327">
        <v>0</v>
      </c>
      <c r="V49" s="327">
        <v>0</v>
      </c>
      <c r="W49" s="327">
        <v>0</v>
      </c>
      <c r="X49" s="327">
        <v>0</v>
      </c>
      <c r="Y49" s="14">
        <f t="shared" si="13"/>
        <v>0</v>
      </c>
      <c r="AO49" s="236"/>
      <c r="AP49" s="318"/>
      <c r="AQ49" s="318"/>
      <c r="AR49" s="551"/>
      <c r="AS49" s="551"/>
      <c r="AT49" s="551"/>
      <c r="AU49" s="551"/>
      <c r="AV49" s="551"/>
      <c r="AW49" s="551"/>
      <c r="AX49" s="547"/>
      <c r="AY49" s="236"/>
      <c r="AZ49" s="416"/>
      <c r="BA49" s="236"/>
    </row>
    <row r="50" spans="2:53" x14ac:dyDescent="0.3">
      <c r="B50" s="251" t="s">
        <v>267</v>
      </c>
      <c r="C50" s="171"/>
      <c r="D50" s="171"/>
      <c r="E50" s="171"/>
      <c r="F50" s="276"/>
      <c r="G50" s="265"/>
      <c r="H50" s="232"/>
      <c r="I50" s="224"/>
      <c r="J50" s="171"/>
      <c r="K50" s="225"/>
      <c r="L50" s="225"/>
      <c r="M50" s="225"/>
      <c r="N50" s="222"/>
      <c r="O50" s="225"/>
      <c r="P50" s="223"/>
      <c r="Q50" s="290"/>
      <c r="R50" s="331"/>
      <c r="S50" s="331"/>
      <c r="T50" s="331"/>
      <c r="U50" s="331"/>
      <c r="V50" s="331"/>
      <c r="W50" s="331"/>
      <c r="X50" s="331"/>
      <c r="Y50" s="14"/>
      <c r="AO50" s="236"/>
      <c r="AP50" s="236"/>
      <c r="AQ50" s="558"/>
      <c r="AR50" s="554"/>
      <c r="AS50" s="554"/>
      <c r="AT50" s="554"/>
      <c r="AU50" s="554"/>
      <c r="AV50" s="554"/>
      <c r="AW50" s="554"/>
      <c r="AX50" s="236"/>
      <c r="AY50" s="236"/>
      <c r="AZ50" s="554"/>
      <c r="BA50" s="236"/>
    </row>
    <row r="51" spans="2:53" x14ac:dyDescent="0.3">
      <c r="B51" s="251"/>
      <c r="C51" s="171" t="s">
        <v>311</v>
      </c>
      <c r="D51" s="171" t="s">
        <v>18</v>
      </c>
      <c r="E51" s="171" t="s">
        <v>42</v>
      </c>
      <c r="F51" s="171" t="str">
        <f t="shared" ref="F51:F55" si="18">D51&amp;E51</f>
        <v>SubtransmissionAugmentation</v>
      </c>
      <c r="G51" s="302">
        <v>0</v>
      </c>
      <c r="H51" s="299">
        <v>1</v>
      </c>
      <c r="I51" s="264" t="s">
        <v>292</v>
      </c>
      <c r="J51" s="171"/>
      <c r="K51" s="301">
        <f t="shared" ref="K51:K53" si="19">G51*H51</f>
        <v>0</v>
      </c>
      <c r="L51" s="225">
        <f>SUMPRODUCT(R$5:X$5,R51:X51)/Thousands</f>
        <v>0</v>
      </c>
      <c r="M51" s="307"/>
      <c r="N51" s="568"/>
      <c r="O51" s="573"/>
      <c r="P51" s="569"/>
      <c r="Q51" s="290"/>
      <c r="R51" s="327">
        <v>0</v>
      </c>
      <c r="S51" s="327">
        <v>0</v>
      </c>
      <c r="T51" s="327">
        <v>0</v>
      </c>
      <c r="U51" s="327">
        <v>0</v>
      </c>
      <c r="V51" s="327">
        <v>0</v>
      </c>
      <c r="W51" s="327">
        <v>0</v>
      </c>
      <c r="X51" s="327">
        <v>0</v>
      </c>
      <c r="Y51" s="14">
        <f t="shared" ref="Y51:Y55" si="20">SUM(R51:X51)</f>
        <v>0</v>
      </c>
      <c r="AO51" s="236"/>
      <c r="AP51" s="318"/>
      <c r="AQ51" s="546"/>
      <c r="AR51" s="318"/>
      <c r="AS51" s="318"/>
      <c r="AT51" s="318"/>
      <c r="AU51" s="318"/>
      <c r="AV51" s="318"/>
      <c r="AW51" s="318"/>
      <c r="AX51" s="547"/>
      <c r="AY51" s="236"/>
      <c r="AZ51" s="236"/>
      <c r="BA51" s="236"/>
    </row>
    <row r="52" spans="2:53" x14ac:dyDescent="0.3">
      <c r="B52" s="251"/>
      <c r="C52" s="236" t="s">
        <v>316</v>
      </c>
      <c r="D52" s="236" t="str">
        <f>Unit_Rates!G39</f>
        <v>Subtransmission</v>
      </c>
      <c r="E52" s="236" t="str">
        <f>Unit_Rates!H39</f>
        <v>Augmentation</v>
      </c>
      <c r="F52" s="171" t="str">
        <f t="shared" si="18"/>
        <v>SubtransmissionAugmentation</v>
      </c>
      <c r="G52" s="268">
        <f>Unit_Rates!$I$39</f>
        <v>123.95348837209301</v>
      </c>
      <c r="H52" s="299"/>
      <c r="I52" s="264" t="s">
        <v>292</v>
      </c>
      <c r="J52" s="171"/>
      <c r="K52" s="301">
        <f t="shared" si="19"/>
        <v>0</v>
      </c>
      <c r="L52" s="225">
        <f>SUMPRODUCT(R$5:X$5,R52:X52)/Thousands</f>
        <v>0</v>
      </c>
      <c r="M52" s="307"/>
      <c r="N52" s="568"/>
      <c r="O52" s="568"/>
      <c r="P52" s="569"/>
      <c r="Q52" s="336">
        <f>P52-H52*VLOOKUP("Oil separator",Unit_Rates!$C$7:$E$39,3,FALSE)</f>
        <v>0</v>
      </c>
      <c r="R52" s="327">
        <v>0</v>
      </c>
      <c r="S52" s="327">
        <v>0</v>
      </c>
      <c r="T52" s="327">
        <v>0</v>
      </c>
      <c r="U52" s="327">
        <v>0</v>
      </c>
      <c r="V52" s="327">
        <v>0</v>
      </c>
      <c r="W52" s="327">
        <v>0</v>
      </c>
      <c r="X52" s="327">
        <v>0</v>
      </c>
      <c r="Y52" s="14">
        <f t="shared" si="20"/>
        <v>0</v>
      </c>
      <c r="AO52" s="236"/>
      <c r="AP52" s="318"/>
      <c r="AQ52" s="236"/>
      <c r="AR52" s="274"/>
      <c r="AS52" s="555"/>
      <c r="AT52" s="556"/>
      <c r="AU52" s="274"/>
      <c r="AV52" s="274"/>
      <c r="AW52" s="415"/>
      <c r="AX52" s="547"/>
      <c r="AY52" s="236"/>
      <c r="AZ52" s="236"/>
      <c r="BA52" s="236"/>
    </row>
    <row r="53" spans="2:53" x14ac:dyDescent="0.3">
      <c r="B53" s="251"/>
      <c r="C53" s="296" t="s">
        <v>317</v>
      </c>
      <c r="D53" s="372" t="s">
        <v>18</v>
      </c>
      <c r="E53" s="372" t="s">
        <v>42</v>
      </c>
      <c r="F53" s="171" t="str">
        <f t="shared" si="18"/>
        <v>SubtransmissionAugmentation</v>
      </c>
      <c r="G53" s="441"/>
      <c r="H53" s="299">
        <v>1</v>
      </c>
      <c r="I53" s="264" t="s">
        <v>292</v>
      </c>
      <c r="J53" s="171"/>
      <c r="K53" s="301">
        <f t="shared" si="19"/>
        <v>0</v>
      </c>
      <c r="L53" s="225">
        <f>SUMPRODUCT(R$5:X$5,R53:X53)/Thousands</f>
        <v>0</v>
      </c>
      <c r="M53" s="307"/>
      <c r="N53" s="568"/>
      <c r="O53" s="573"/>
      <c r="P53" s="569"/>
      <c r="Q53" s="290"/>
      <c r="R53" s="327">
        <v>0</v>
      </c>
      <c r="S53" s="327">
        <v>0</v>
      </c>
      <c r="T53" s="327">
        <v>0</v>
      </c>
      <c r="U53" s="327">
        <v>0</v>
      </c>
      <c r="V53" s="327">
        <v>0</v>
      </c>
      <c r="W53" s="327">
        <v>0</v>
      </c>
      <c r="X53" s="327">
        <v>0</v>
      </c>
      <c r="Y53" s="14">
        <f t="shared" si="20"/>
        <v>0</v>
      </c>
      <c r="AO53" s="236"/>
      <c r="AP53" s="318"/>
      <c r="AQ53" s="236"/>
      <c r="AR53" s="274"/>
      <c r="AS53" s="555"/>
      <c r="AT53" s="274"/>
      <c r="AU53" s="274"/>
      <c r="AV53" s="274"/>
      <c r="AW53" s="415"/>
      <c r="AX53" s="236"/>
      <c r="AY53" s="236"/>
      <c r="AZ53" s="236"/>
      <c r="BA53" s="236"/>
    </row>
    <row r="54" spans="2:53" x14ac:dyDescent="0.3">
      <c r="B54" s="313" t="s">
        <v>284</v>
      </c>
      <c r="C54" s="236"/>
      <c r="D54" s="236" t="s">
        <v>18</v>
      </c>
      <c r="E54" s="236" t="s">
        <v>42</v>
      </c>
      <c r="F54" s="171" t="str">
        <f t="shared" si="18"/>
        <v>SubtransmissionAugmentation</v>
      </c>
      <c r="G54" s="302">
        <v>0</v>
      </c>
      <c r="H54" s="299">
        <v>1</v>
      </c>
      <c r="I54" s="264" t="s">
        <v>292</v>
      </c>
      <c r="J54" s="236"/>
      <c r="K54" s="226">
        <v>0</v>
      </c>
      <c r="L54" s="268">
        <f>SUMPRODUCT(R$5:X$5,R54:X54)/Thousands</f>
        <v>0</v>
      </c>
      <c r="M54" s="312"/>
      <c r="N54" s="568"/>
      <c r="O54" s="566"/>
      <c r="P54" s="569"/>
      <c r="Q54" s="290"/>
      <c r="R54" s="327">
        <v>0</v>
      </c>
      <c r="S54" s="327">
        <v>0</v>
      </c>
      <c r="T54" s="327">
        <v>0</v>
      </c>
      <c r="U54" s="327">
        <v>0</v>
      </c>
      <c r="V54" s="327">
        <v>0</v>
      </c>
      <c r="W54" s="327">
        <v>0</v>
      </c>
      <c r="X54" s="327">
        <v>0</v>
      </c>
      <c r="Y54" s="14">
        <f t="shared" si="20"/>
        <v>0</v>
      </c>
      <c r="AO54" s="236"/>
      <c r="AP54" s="318"/>
      <c r="AQ54" s="236"/>
      <c r="AR54" s="274"/>
      <c r="AS54" s="274"/>
      <c r="AT54" s="274"/>
      <c r="AU54" s="274"/>
      <c r="AV54" s="274"/>
      <c r="AW54" s="415"/>
      <c r="AX54" s="236"/>
      <c r="AY54" s="236"/>
      <c r="AZ54" s="236"/>
      <c r="BA54" s="236"/>
    </row>
    <row r="55" spans="2:53" x14ac:dyDescent="0.3">
      <c r="B55" s="251" t="s">
        <v>268</v>
      </c>
      <c r="C55" s="171"/>
      <c r="D55" s="171" t="s">
        <v>195</v>
      </c>
      <c r="E55" s="171" t="s">
        <v>66</v>
      </c>
      <c r="F55" s="171" t="str">
        <f t="shared" si="18"/>
        <v>LandNon-Network</v>
      </c>
      <c r="G55" s="227">
        <v>0</v>
      </c>
      <c r="H55" s="299"/>
      <c r="I55" s="264" t="s">
        <v>292</v>
      </c>
      <c r="J55" s="171"/>
      <c r="K55" s="228">
        <v>0</v>
      </c>
      <c r="L55" s="228">
        <f>SUMPRODUCT(R$5:X$5,R55:X55)/Thousands</f>
        <v>0</v>
      </c>
      <c r="M55" s="312"/>
      <c r="N55" s="568"/>
      <c r="O55" s="566"/>
      <c r="P55" s="569"/>
      <c r="Q55" s="336"/>
      <c r="R55" s="327">
        <v>0</v>
      </c>
      <c r="S55" s="327">
        <v>0</v>
      </c>
      <c r="T55" s="327">
        <v>0</v>
      </c>
      <c r="U55" s="327">
        <v>0</v>
      </c>
      <c r="V55" s="327">
        <v>0</v>
      </c>
      <c r="W55" s="327">
        <v>0</v>
      </c>
      <c r="X55" s="327">
        <v>0</v>
      </c>
      <c r="Y55" s="14">
        <f t="shared" si="20"/>
        <v>0</v>
      </c>
      <c r="AO55" s="236"/>
      <c r="AP55" s="236"/>
      <c r="AQ55" s="236"/>
      <c r="AR55" s="415"/>
      <c r="AS55" s="415"/>
      <c r="AT55" s="415"/>
      <c r="AU55" s="415"/>
      <c r="AV55" s="415"/>
      <c r="AW55" s="415"/>
      <c r="AX55" s="236"/>
      <c r="AY55" s="236"/>
      <c r="AZ55" s="236"/>
      <c r="BA55" s="236"/>
    </row>
    <row r="56" spans="2:53" x14ac:dyDescent="0.3">
      <c r="B56" s="232"/>
      <c r="C56" s="171"/>
      <c r="D56" s="171"/>
      <c r="E56" s="171"/>
      <c r="F56" s="171"/>
      <c r="G56" s="224"/>
      <c r="H56" s="232"/>
      <c r="I56" s="224"/>
      <c r="J56" s="171"/>
      <c r="K56" s="229"/>
      <c r="L56" s="229"/>
      <c r="M56" s="229"/>
      <c r="N56" s="229"/>
      <c r="O56" s="229"/>
      <c r="P56" s="229"/>
      <c r="R56" s="326"/>
      <c r="S56" s="326"/>
      <c r="T56" s="326"/>
      <c r="U56" s="326"/>
      <c r="V56" s="326"/>
      <c r="W56" s="326"/>
      <c r="X56" s="326"/>
      <c r="AO56" s="236"/>
      <c r="AP56" s="236"/>
      <c r="AQ56" s="558"/>
      <c r="AR56" s="560"/>
      <c r="AS56" s="560"/>
      <c r="AT56" s="560"/>
      <c r="AU56" s="560"/>
      <c r="AV56" s="560"/>
      <c r="AW56" s="560"/>
      <c r="AX56" s="236"/>
      <c r="AY56" s="236"/>
      <c r="AZ56" s="236"/>
      <c r="BA56" s="236"/>
    </row>
    <row r="57" spans="2:53" x14ac:dyDescent="0.3">
      <c r="B57" s="251" t="s">
        <v>282</v>
      </c>
      <c r="C57" s="171"/>
      <c r="D57" s="171"/>
      <c r="E57" s="171"/>
      <c r="F57" s="171"/>
      <c r="G57" s="224"/>
      <c r="H57" s="232"/>
      <c r="I57" s="224"/>
      <c r="J57" s="171"/>
      <c r="K57" s="319">
        <v>3455.0321018299146</v>
      </c>
      <c r="L57" s="319">
        <v>833.0804999999998</v>
      </c>
      <c r="M57" s="319">
        <v>594.9767441860464</v>
      </c>
      <c r="N57" s="319">
        <v>1804.6871265664481</v>
      </c>
      <c r="O57" s="319">
        <v>259.70364986423402</v>
      </c>
      <c r="P57" s="319">
        <v>6947.4801224466419</v>
      </c>
      <c r="Q57" s="178"/>
      <c r="R57" s="326"/>
      <c r="S57" s="326"/>
      <c r="T57" s="326"/>
      <c r="U57" s="326"/>
      <c r="V57" s="326"/>
      <c r="W57" s="326"/>
      <c r="X57" s="326"/>
    </row>
    <row r="58" spans="2:53" x14ac:dyDescent="0.3">
      <c r="B58" s="259" t="s">
        <v>55</v>
      </c>
      <c r="C58" s="260"/>
      <c r="D58" s="260"/>
      <c r="E58" s="260"/>
      <c r="F58" s="260"/>
      <c r="G58" s="267"/>
      <c r="H58" s="259"/>
      <c r="I58" s="267"/>
      <c r="J58" s="260"/>
      <c r="K58" s="269">
        <f>K57-Direct_Capex_Totals!Q8</f>
        <v>0</v>
      </c>
      <c r="L58" s="270">
        <f>L57-Direct_Capex_Totals!R8</f>
        <v>0</v>
      </c>
      <c r="M58" s="270">
        <f>M57-Direct_Capex_Totals!S8</f>
        <v>0</v>
      </c>
      <c r="N58" s="270">
        <f>N57-Direct_Capex_Totals!T8</f>
        <v>0</v>
      </c>
      <c r="O58" s="270">
        <f>O57-Direct_Capex_Totals!U8</f>
        <v>0</v>
      </c>
      <c r="P58" s="262">
        <f>SUM(K58:O58)</f>
        <v>0</v>
      </c>
      <c r="R58" s="326"/>
      <c r="S58" s="326"/>
      <c r="T58" s="326"/>
      <c r="U58" s="326"/>
      <c r="V58" s="326"/>
      <c r="W58" s="326"/>
      <c r="X58" s="326"/>
    </row>
    <row r="59" spans="2:53" ht="39.6" customHeight="1" x14ac:dyDescent="0.3">
      <c r="B59" s="237" t="s">
        <v>262</v>
      </c>
      <c r="C59" s="238"/>
      <c r="D59" s="292"/>
      <c r="E59" s="292"/>
      <c r="F59" s="292"/>
      <c r="G59" s="273" t="s">
        <v>302</v>
      </c>
      <c r="H59" s="272" t="s">
        <v>265</v>
      </c>
      <c r="I59" s="18" t="s">
        <v>293</v>
      </c>
      <c r="J59" s="260"/>
      <c r="K59" s="18" t="s">
        <v>135</v>
      </c>
      <c r="L59" s="18" t="s">
        <v>290</v>
      </c>
      <c r="M59" s="273" t="s">
        <v>136</v>
      </c>
      <c r="N59" s="273" t="s">
        <v>137</v>
      </c>
      <c r="O59" s="18" t="s">
        <v>60</v>
      </c>
      <c r="P59" s="18" t="s">
        <v>291</v>
      </c>
      <c r="R59" s="326"/>
      <c r="S59" s="326"/>
      <c r="T59" s="326"/>
      <c r="U59" s="326"/>
      <c r="V59" s="326"/>
      <c r="W59" s="326"/>
      <c r="X59" s="326"/>
    </row>
    <row r="60" spans="2:53" x14ac:dyDescent="0.3">
      <c r="B60" s="232"/>
      <c r="C60" s="171"/>
      <c r="D60" s="171"/>
      <c r="E60" s="171"/>
      <c r="F60" s="171"/>
      <c r="G60" s="224"/>
      <c r="H60" s="232"/>
      <c r="I60" s="224"/>
      <c r="J60" s="171"/>
      <c r="K60" s="235"/>
      <c r="L60" s="235"/>
      <c r="M60" s="235"/>
      <c r="N60" s="235"/>
      <c r="O60" s="235"/>
      <c r="P60" s="224"/>
      <c r="R60" s="326"/>
      <c r="S60" s="326"/>
      <c r="T60" s="326"/>
      <c r="U60" s="326"/>
      <c r="V60" s="326"/>
      <c r="W60" s="326"/>
      <c r="X60" s="326"/>
    </row>
    <row r="61" spans="2:53" x14ac:dyDescent="0.3">
      <c r="B61" s="251" t="s">
        <v>17</v>
      </c>
      <c r="C61" s="171"/>
      <c r="D61" s="171"/>
      <c r="E61" s="171"/>
      <c r="F61" s="171"/>
      <c r="G61" s="224"/>
      <c r="H61" s="232"/>
      <c r="I61" s="224"/>
      <c r="J61" s="171"/>
      <c r="K61" s="235"/>
      <c r="L61" s="235"/>
      <c r="M61" s="235"/>
      <c r="N61" s="235"/>
      <c r="O61" s="235"/>
      <c r="P61" s="224"/>
      <c r="R61" s="326"/>
      <c r="S61" s="326"/>
      <c r="T61" s="326"/>
      <c r="U61" s="326"/>
      <c r="V61" s="326"/>
      <c r="W61" s="326"/>
      <c r="X61" s="326"/>
      <c r="AI61" t="s">
        <v>486</v>
      </c>
    </row>
    <row r="62" spans="2:53" x14ac:dyDescent="0.3">
      <c r="B62" s="232"/>
      <c r="C62" s="282" t="s">
        <v>328</v>
      </c>
      <c r="D62" s="282" t="str">
        <f>IF($B$3="WYK2",Unit_Rates!G60,Unit_Rates!G61)</f>
        <v>Distribution system assets</v>
      </c>
      <c r="E62" s="282" t="str">
        <f>IF($B$3="WYK2",Unit_Rates!H60,Unit_Rates!H61)</f>
        <v>Augmentation</v>
      </c>
      <c r="F62" s="171" t="str">
        <f t="shared" ref="F62:F69" si="21">D62&amp;E62</f>
        <v>Distribution system assetsAugmentation</v>
      </c>
      <c r="G62" s="268">
        <v>0</v>
      </c>
      <c r="H62" s="455">
        <f>INDEX(Feeder_Vols!$E$7:$O$16,MATCH($B$3,Feeder_Vols!$B$7:$B$15,0),MATCH(1,Feeder_Vols!$E$6:$O$6,0))</f>
        <v>6</v>
      </c>
      <c r="I62" s="224" t="s">
        <v>297</v>
      </c>
      <c r="J62" s="171"/>
      <c r="K62" s="268"/>
      <c r="L62" s="268">
        <f t="shared" ref="L62:L69" si="22">SUMPRODUCT(R$5:X$5,R62:X62)/Thousands</f>
        <v>49.257624692211088</v>
      </c>
      <c r="M62" s="283">
        <f>$H62*IF($B$3="WYK2",Unit_Rates!K60,Unit_Rates!K61)</f>
        <v>108.79149767441859</v>
      </c>
      <c r="N62" s="283">
        <f>$H62*IF($B$3="WYK2",Unit_Rates!L60,Unit_Rates!L61)</f>
        <v>0</v>
      </c>
      <c r="O62" s="283">
        <f>$H62*IF($B$3="WYK2",Unit_Rates!M60,Unit_Rates!M61)</f>
        <v>0</v>
      </c>
      <c r="P62" s="228">
        <f t="shared" ref="P62:P69" si="23">SUM(K62:O62)</f>
        <v>158.04912236662969</v>
      </c>
      <c r="R62" s="327">
        <f>$AI62*Z62*$H62</f>
        <v>88.815789473684191</v>
      </c>
      <c r="S62" s="327">
        <f t="shared" ref="S62:X67" si="24">$AI62*AA62*$H62</f>
        <v>237.67605633802816</v>
      </c>
      <c r="T62" s="327">
        <f t="shared" si="24"/>
        <v>0</v>
      </c>
      <c r="U62" s="327">
        <f t="shared" si="24"/>
        <v>0</v>
      </c>
      <c r="V62" s="327">
        <f t="shared" si="24"/>
        <v>0</v>
      </c>
      <c r="W62" s="327">
        <f t="shared" si="24"/>
        <v>0</v>
      </c>
      <c r="X62" s="327">
        <f t="shared" si="24"/>
        <v>0</v>
      </c>
      <c r="Y62" s="14">
        <f t="shared" ref="Y62:Y86" si="25">SUM(R62:X62)</f>
        <v>326.49184581171232</v>
      </c>
      <c r="Z62" s="15">
        <v>0.27203065134099613</v>
      </c>
      <c r="AA62" s="15">
        <v>0.72796934865900376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6">
        <f>SUM(Z62:AF62)</f>
        <v>0.99999999999999989</v>
      </c>
      <c r="AH62" t="b">
        <f>AG62=1</f>
        <v>1</v>
      </c>
      <c r="AI62" s="390">
        <v>54.415307635285394</v>
      </c>
    </row>
    <row r="63" spans="2:53" x14ac:dyDescent="0.3">
      <c r="B63" s="232"/>
      <c r="C63" s="171" t="s">
        <v>231</v>
      </c>
      <c r="D63" s="171" t="str">
        <f>Unit_Rates!G62</f>
        <v>Distribution system assets</v>
      </c>
      <c r="E63" s="171" t="str">
        <f>Unit_Rates!H62</f>
        <v>Augmentation</v>
      </c>
      <c r="F63" s="171" t="str">
        <f t="shared" si="21"/>
        <v>Distribution system assetsAugmentation</v>
      </c>
      <c r="G63" s="565">
        <f>Unit_Rates!I62</f>
        <v>0</v>
      </c>
      <c r="H63" s="455">
        <f>INDEX(Feeder_Vols!$E$7:$O$16,MATCH($B$3,Feeder_Vols!$B$7:$B$15,0),MATCH(2,Feeder_Vols!$E$6:$O$6,0))</f>
        <v>1</v>
      </c>
      <c r="I63" s="224" t="s">
        <v>298</v>
      </c>
      <c r="J63" s="171"/>
      <c r="K63" s="566"/>
      <c r="L63" s="566"/>
      <c r="M63" s="566"/>
      <c r="N63" s="566"/>
      <c r="O63" s="566"/>
      <c r="P63" s="566"/>
      <c r="Q63" s="28">
        <f>P63-H63*Unit_Rates!$E$62</f>
        <v>0</v>
      </c>
      <c r="R63" s="563"/>
      <c r="S63" s="563"/>
      <c r="T63" s="563"/>
      <c r="U63" s="563"/>
      <c r="V63" s="563"/>
      <c r="W63" s="563"/>
      <c r="X63" s="563"/>
      <c r="Y63" s="564">
        <f t="shared" si="25"/>
        <v>0</v>
      </c>
      <c r="Z63" s="15">
        <v>0</v>
      </c>
      <c r="AA63" s="15">
        <v>0.14071351127025331</v>
      </c>
      <c r="AB63" s="15">
        <v>0.24322448098123187</v>
      </c>
      <c r="AC63" s="15">
        <v>0</v>
      </c>
      <c r="AD63" s="15">
        <v>0.1760177164995757</v>
      </c>
      <c r="AE63" s="15">
        <v>0.44004429124893918</v>
      </c>
      <c r="AF63" s="15">
        <v>0</v>
      </c>
      <c r="AG63" s="16">
        <f t="shared" ref="AG63:AG67" si="26">SUM(Z63:AF63)</f>
        <v>1</v>
      </c>
      <c r="AH63" t="b">
        <f t="shared" ref="AH63:AH67" si="27">AG63=1</f>
        <v>1</v>
      </c>
      <c r="AI63" s="562"/>
    </row>
    <row r="64" spans="2:53" x14ac:dyDescent="0.3">
      <c r="B64" s="232"/>
      <c r="C64" s="171" t="s">
        <v>235</v>
      </c>
      <c r="D64" s="171" t="str">
        <f>Unit_Rates!G63</f>
        <v>Distribution system assets</v>
      </c>
      <c r="E64" s="171" t="str">
        <f>Unit_Rates!H63</f>
        <v>Augmentation</v>
      </c>
      <c r="F64" s="171" t="str">
        <f t="shared" si="21"/>
        <v>Distribution system assetsAugmentation</v>
      </c>
      <c r="G64" s="565">
        <f>Unit_Rates!I63</f>
        <v>0</v>
      </c>
      <c r="H64" s="455">
        <f>INDEX(Feeder_Vols!$E$7:$O$16,MATCH($B$3,Feeder_Vols!$B$7:$B$15,0),MATCH(3,Feeder_Vols!$E$6:$O$6,0))</f>
        <v>0</v>
      </c>
      <c r="I64" s="224" t="s">
        <v>294</v>
      </c>
      <c r="J64" s="171"/>
      <c r="K64" s="566"/>
      <c r="L64" s="566"/>
      <c r="M64" s="566"/>
      <c r="N64" s="566"/>
      <c r="O64" s="566"/>
      <c r="P64" s="566"/>
      <c r="Q64" s="28">
        <f>P64-H64*Unit_Rates!$E$63</f>
        <v>0</v>
      </c>
      <c r="R64" s="563"/>
      <c r="S64" s="563"/>
      <c r="T64" s="563"/>
      <c r="U64" s="563"/>
      <c r="V64" s="563"/>
      <c r="W64" s="563"/>
      <c r="X64" s="563"/>
      <c r="Y64" s="564">
        <f t="shared" si="25"/>
        <v>0</v>
      </c>
      <c r="Z64" s="15">
        <v>0</v>
      </c>
      <c r="AA64" s="15">
        <v>0.11317869701862385</v>
      </c>
      <c r="AB64" s="15">
        <v>0.25101832039696309</v>
      </c>
      <c r="AC64" s="15">
        <v>0</v>
      </c>
      <c r="AD64" s="15">
        <v>0.18165799502411806</v>
      </c>
      <c r="AE64" s="15">
        <v>0.45414498756029509</v>
      </c>
      <c r="AF64" s="15">
        <v>0</v>
      </c>
      <c r="AG64" s="16">
        <f t="shared" si="26"/>
        <v>1</v>
      </c>
      <c r="AH64" t="b">
        <f t="shared" si="27"/>
        <v>1</v>
      </c>
      <c r="AI64" s="562"/>
    </row>
    <row r="65" spans="2:35" x14ac:dyDescent="0.3">
      <c r="B65" s="232"/>
      <c r="C65" s="171" t="s">
        <v>237</v>
      </c>
      <c r="D65" s="171" t="str">
        <f>Unit_Rates!G64</f>
        <v>Distribution system assets</v>
      </c>
      <c r="E65" s="171" t="str">
        <f>Unit_Rates!H64</f>
        <v>Augmentation</v>
      </c>
      <c r="F65" s="171" t="str">
        <f t="shared" si="21"/>
        <v>Distribution system assetsAugmentation</v>
      </c>
      <c r="G65" s="565">
        <f>Unit_Rates!I64</f>
        <v>0</v>
      </c>
      <c r="H65" s="455">
        <f>INDEX(Feeder_Vols!$E$7:$O$16,MATCH($B$3,Feeder_Vols!$B$7:$B$15,0),MATCH(4,Feeder_Vols!$E$6:$O$6,0))</f>
        <v>191</v>
      </c>
      <c r="I65" s="265" t="s">
        <v>299</v>
      </c>
      <c r="J65" s="171"/>
      <c r="K65" s="566"/>
      <c r="L65" s="566"/>
      <c r="M65" s="566"/>
      <c r="N65" s="566"/>
      <c r="O65" s="566"/>
      <c r="P65" s="566"/>
      <c r="Q65" s="28">
        <f>P65-H65*Unit_Rates!$E$64</f>
        <v>0</v>
      </c>
      <c r="R65" s="563"/>
      <c r="S65" s="563"/>
      <c r="T65" s="563"/>
      <c r="U65" s="563"/>
      <c r="V65" s="563"/>
      <c r="W65" s="563"/>
      <c r="X65" s="563"/>
      <c r="Y65" s="564">
        <f t="shared" si="25"/>
        <v>0</v>
      </c>
      <c r="Z65" s="15">
        <v>0</v>
      </c>
      <c r="AA65" s="15">
        <v>0.17737095137749856</v>
      </c>
      <c r="AB65" s="15">
        <v>0.23284844579258887</v>
      </c>
      <c r="AC65" s="15">
        <v>0</v>
      </c>
      <c r="AD65" s="15">
        <v>0.16850874366568935</v>
      </c>
      <c r="AE65" s="15">
        <v>0.42127185916422333</v>
      </c>
      <c r="AF65" s="15">
        <v>0</v>
      </c>
      <c r="AG65" s="16">
        <f t="shared" si="26"/>
        <v>1</v>
      </c>
      <c r="AH65" t="b">
        <f t="shared" si="27"/>
        <v>1</v>
      </c>
      <c r="AI65" s="562"/>
    </row>
    <row r="66" spans="2:35" x14ac:dyDescent="0.3">
      <c r="B66" s="232"/>
      <c r="C66" s="171" t="s">
        <v>233</v>
      </c>
      <c r="D66" s="171" t="str">
        <f>Unit_Rates!G65</f>
        <v>Distribution system assets</v>
      </c>
      <c r="E66" s="171" t="str">
        <f>Unit_Rates!H65</f>
        <v>Augmentation</v>
      </c>
      <c r="F66" s="171" t="str">
        <f t="shared" si="21"/>
        <v>Distribution system assetsAugmentation</v>
      </c>
      <c r="G66" s="283">
        <f>Unit_Rates!I65</f>
        <v>17.106573023255812</v>
      </c>
      <c r="H66" s="455">
        <f>INDEX(Feeder_Vols!$E$7:$O$16,MATCH($B$3,Feeder_Vols!$B$7:$B$15,0),MATCH(5,Feeder_Vols!$E$6:$O$6,0))</f>
        <v>36</v>
      </c>
      <c r="I66" s="265" t="s">
        <v>300</v>
      </c>
      <c r="J66" s="171"/>
      <c r="K66" s="268">
        <f t="shared" ref="K66" si="28">G66*H66</f>
        <v>615.83662883720922</v>
      </c>
      <c r="L66" s="268">
        <f t="shared" si="22"/>
        <v>117.41472243283488</v>
      </c>
      <c r="M66" s="268">
        <f>$H66*Unit_Rates!K65</f>
        <v>0</v>
      </c>
      <c r="N66" s="268">
        <f>$H66*Unit_Rates!L65</f>
        <v>1087.3379526769438</v>
      </c>
      <c r="O66" s="268">
        <f>$H66*Unit_Rates!M65</f>
        <v>137.88362712029544</v>
      </c>
      <c r="P66" s="228">
        <f t="shared" si="23"/>
        <v>1958.4729310672833</v>
      </c>
      <c r="Q66" s="28">
        <f>P66-H66*Unit_Rates!$E$65</f>
        <v>2.8297625967832118</v>
      </c>
      <c r="R66" s="327">
        <f t="shared" ref="R66:R67" si="29">$AI66*Z66*$H66</f>
        <v>0</v>
      </c>
      <c r="S66" s="327">
        <f t="shared" si="24"/>
        <v>50.399999999999991</v>
      </c>
      <c r="T66" s="327">
        <f t="shared" si="24"/>
        <v>191.76795467125268</v>
      </c>
      <c r="U66" s="327">
        <f t="shared" si="24"/>
        <v>0</v>
      </c>
      <c r="V66" s="327">
        <f t="shared" si="24"/>
        <v>138.77944088051183</v>
      </c>
      <c r="W66" s="327">
        <f t="shared" si="24"/>
        <v>346.94860220127947</v>
      </c>
      <c r="X66" s="327">
        <f t="shared" si="24"/>
        <v>0</v>
      </c>
      <c r="Y66" s="14">
        <f t="shared" si="25"/>
        <v>727.89599775304396</v>
      </c>
      <c r="Z66" s="15">
        <v>0</v>
      </c>
      <c r="AA66" s="15">
        <v>6.9240660967474346E-2</v>
      </c>
      <c r="AB66" s="15">
        <v>0.26345515741702774</v>
      </c>
      <c r="AC66" s="15">
        <v>0</v>
      </c>
      <c r="AD66" s="15">
        <v>0.19065833760442799</v>
      </c>
      <c r="AE66" s="15">
        <v>0.47664584401106991</v>
      </c>
      <c r="AF66" s="15">
        <v>0</v>
      </c>
      <c r="AG66" s="16">
        <f t="shared" si="26"/>
        <v>1</v>
      </c>
      <c r="AH66" t="b">
        <f t="shared" si="27"/>
        <v>1</v>
      </c>
      <c r="AI66" s="5">
        <v>20.21933327091789</v>
      </c>
    </row>
    <row r="67" spans="2:35" x14ac:dyDescent="0.3">
      <c r="B67" s="232"/>
      <c r="C67" s="282" t="s">
        <v>344</v>
      </c>
      <c r="D67" s="171" t="str">
        <f>Unit_Rates!G66</f>
        <v>Distribution system assets</v>
      </c>
      <c r="E67" s="171" t="str">
        <f>Unit_Rates!H66</f>
        <v>Augmentation</v>
      </c>
      <c r="F67" s="171" t="str">
        <f t="shared" si="21"/>
        <v>Distribution system assetsAugmentation</v>
      </c>
      <c r="G67" s="268">
        <f>Unit_Rates!I66</f>
        <v>0</v>
      </c>
      <c r="H67" s="455">
        <f>INDEX(Feeder_Vols!$E$7:$O$16,MATCH($B$3,Feeder_Vols!$B$7:$B$15,0),MATCH(1,Feeder_Vols!$E$6:$O$6,0))</f>
        <v>6</v>
      </c>
      <c r="I67" s="224" t="s">
        <v>297</v>
      </c>
      <c r="J67" s="171"/>
      <c r="K67" s="268"/>
      <c r="L67" s="283">
        <f t="shared" si="22"/>
        <v>36.277173913043519</v>
      </c>
      <c r="M67" s="283">
        <f>$H67*Unit_Rates!K66</f>
        <v>0</v>
      </c>
      <c r="N67" s="283">
        <f>$H67*Unit_Rates!L66</f>
        <v>46.69274014155711</v>
      </c>
      <c r="O67" s="283">
        <f>$H67*Unit_Rates!M66</f>
        <v>0</v>
      </c>
      <c r="P67" s="228">
        <f t="shared" si="23"/>
        <v>82.969914054600622</v>
      </c>
      <c r="Q67" s="28">
        <f>P67-H67*Unit_Rates!$E$66</f>
        <v>-0.10048028311422286</v>
      </c>
      <c r="R67" s="327">
        <f t="shared" si="29"/>
        <v>0</v>
      </c>
      <c r="S67" s="327">
        <f t="shared" si="24"/>
        <v>0</v>
      </c>
      <c r="T67" s="327">
        <f t="shared" si="24"/>
        <v>0</v>
      </c>
      <c r="U67" s="327">
        <f t="shared" si="24"/>
        <v>0</v>
      </c>
      <c r="V67" s="327">
        <f t="shared" si="24"/>
        <v>0</v>
      </c>
      <c r="W67" s="327">
        <f t="shared" si="24"/>
        <v>0</v>
      </c>
      <c r="X67" s="327">
        <f t="shared" si="24"/>
        <v>278.38881441838578</v>
      </c>
      <c r="Y67" s="14">
        <f t="shared" si="25"/>
        <v>278.38881441838578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1</v>
      </c>
      <c r="AG67" s="16">
        <f t="shared" si="26"/>
        <v>1</v>
      </c>
      <c r="AH67" t="b">
        <f t="shared" si="27"/>
        <v>1</v>
      </c>
      <c r="AI67" s="5">
        <v>46.398135736397627</v>
      </c>
    </row>
    <row r="68" spans="2:35" x14ac:dyDescent="0.3">
      <c r="B68" s="232"/>
      <c r="C68" s="348" t="s">
        <v>342</v>
      </c>
      <c r="D68" s="171" t="str">
        <f>Unit_Rates!G67</f>
        <v>Distribution system assets</v>
      </c>
      <c r="E68" s="171" t="str">
        <f>Unit_Rates!H67</f>
        <v>Replacement</v>
      </c>
      <c r="F68" s="171" t="str">
        <f t="shared" si="21"/>
        <v>Distribution system assetsReplacement</v>
      </c>
      <c r="G68" s="268">
        <f>Unit_Rates!I67</f>
        <v>0</v>
      </c>
      <c r="H68" s="455">
        <f>INDEX(Feeder_Vols!$E$7:$O$16,MATCH($B$3,Feeder_Vols!$B$7:$B$15,0),MATCH(1,Feeder_Vols!$E$6:$N$6,0))+INDEX(Feeder_Vols!$E$7:$N$16,MATCH($B$3,Feeder_Vols!$B$7:$B$15,0),MATCH(6,Feeder_Vols!$E$6:$O$6,0))</f>
        <v>42</v>
      </c>
      <c r="I68" s="224" t="s">
        <v>346</v>
      </c>
      <c r="J68" s="171"/>
      <c r="K68" s="268"/>
      <c r="L68" s="283">
        <f t="shared" si="22"/>
        <v>0</v>
      </c>
      <c r="M68" s="283">
        <f>$H68*Unit_Rates!K67</f>
        <v>0</v>
      </c>
      <c r="N68" s="283">
        <f>$H68*Unit_Rates!L67</f>
        <v>21.865395348837207</v>
      </c>
      <c r="O68" s="283">
        <f>$H68*Unit_Rates!M67</f>
        <v>0</v>
      </c>
      <c r="P68" s="228">
        <f t="shared" si="23"/>
        <v>21.865395348837207</v>
      </c>
      <c r="Q68" s="28">
        <f>P68-H68*Unit_Rates!$E$67</f>
        <v>0</v>
      </c>
      <c r="R68" s="330"/>
      <c r="S68" s="330"/>
      <c r="T68" s="330"/>
      <c r="U68" s="330"/>
      <c r="V68" s="330"/>
      <c r="W68" s="330"/>
      <c r="X68" s="330"/>
      <c r="Y68" s="14">
        <f t="shared" si="25"/>
        <v>0</v>
      </c>
      <c r="Z68" s="15"/>
      <c r="AA68" s="15"/>
      <c r="AB68" s="15"/>
      <c r="AC68" s="15"/>
      <c r="AD68" s="15"/>
      <c r="AE68" s="15"/>
      <c r="AF68" s="15"/>
      <c r="AI68" s="5">
        <v>0</v>
      </c>
    </row>
    <row r="69" spans="2:35" x14ac:dyDescent="0.3">
      <c r="B69" s="232"/>
      <c r="C69" s="348" t="s">
        <v>418</v>
      </c>
      <c r="D69" s="171" t="str">
        <f>Unit_Rates!G68</f>
        <v>Distribution system assets</v>
      </c>
      <c r="E69" s="171" t="str">
        <f>Unit_Rates!H68</f>
        <v>Replacement</v>
      </c>
      <c r="F69" s="171" t="str">
        <f t="shared" si="21"/>
        <v>Distribution system assetsReplacement</v>
      </c>
      <c r="G69" s="268">
        <f>Unit_Rates!I68</f>
        <v>0</v>
      </c>
      <c r="H69" s="455">
        <f>INDEX(Feeder_Vols!$E$7:$O$16,MATCH($B$3,Feeder_Vols!$B$7:$B$15,0),MATCH(7,Feeder_Vols!$E$6:$O$6,0))</f>
        <v>45</v>
      </c>
      <c r="I69" s="224" t="s">
        <v>343</v>
      </c>
      <c r="J69" s="171"/>
      <c r="K69" s="352"/>
      <c r="L69" s="342">
        <f t="shared" si="22"/>
        <v>7.0772449270418232</v>
      </c>
      <c r="M69" s="342">
        <f>$H69*Unit_Rates!K68</f>
        <v>0</v>
      </c>
      <c r="N69" s="342">
        <f>$H69*Unit_Rates!L68</f>
        <v>131.43021404651159</v>
      </c>
      <c r="O69" s="342">
        <f>$H69*Unit_Rates!M68</f>
        <v>0</v>
      </c>
      <c r="P69" s="229">
        <f t="shared" si="23"/>
        <v>138.50745897355341</v>
      </c>
      <c r="Q69" s="28">
        <f>P69-H69*Unit_Rates!$E$68</f>
        <v>0.34528823097124928</v>
      </c>
      <c r="R69" s="327">
        <f t="shared" ref="R69:X69" si="30">$AI69*Z69*$H69</f>
        <v>0</v>
      </c>
      <c r="S69" s="327">
        <f t="shared" si="30"/>
        <v>0</v>
      </c>
      <c r="T69" s="327">
        <f t="shared" si="30"/>
        <v>0</v>
      </c>
      <c r="U69" s="327">
        <f t="shared" si="30"/>
        <v>0</v>
      </c>
      <c r="V69" s="327">
        <f t="shared" si="30"/>
        <v>0</v>
      </c>
      <c r="W69" s="327">
        <f t="shared" si="30"/>
        <v>0</v>
      </c>
      <c r="X69" s="327">
        <f t="shared" si="30"/>
        <v>54.310344827586206</v>
      </c>
      <c r="Y69" s="14">
        <f t="shared" si="25"/>
        <v>54.310344827586206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1</v>
      </c>
      <c r="AG69" s="16">
        <f>SUM(Z69:AF69)</f>
        <v>1</v>
      </c>
      <c r="AH69" t="b">
        <f>AG69=1</f>
        <v>1</v>
      </c>
      <c r="AI69" s="5">
        <v>1.2068965517241379</v>
      </c>
    </row>
    <row r="70" spans="2:35" x14ac:dyDescent="0.3">
      <c r="B70" s="232"/>
      <c r="C70" s="236" t="s">
        <v>301</v>
      </c>
      <c r="D70" s="236"/>
      <c r="E70" s="236"/>
      <c r="F70" s="236"/>
      <c r="G70" s="268"/>
      <c r="H70" s="231"/>
      <c r="I70" s="224"/>
      <c r="J70" s="171"/>
      <c r="K70" s="268">
        <v>635.96667534883716</v>
      </c>
      <c r="L70" s="268">
        <v>262.3225845992734</v>
      </c>
      <c r="M70" s="268">
        <v>108.79149767441859</v>
      </c>
      <c r="N70" s="268">
        <v>1940.8069626007389</v>
      </c>
      <c r="O70" s="268">
        <v>192.71497888417798</v>
      </c>
      <c r="P70" s="268">
        <v>3140.6026991074459</v>
      </c>
      <c r="Q70" s="28"/>
      <c r="R70" s="326"/>
      <c r="S70" s="326"/>
      <c r="T70" s="326"/>
      <c r="U70" s="326"/>
      <c r="V70" s="326"/>
      <c r="W70" s="326"/>
      <c r="X70" s="326"/>
      <c r="Y70" s="14"/>
      <c r="AI70" s="5"/>
    </row>
    <row r="71" spans="2:35" x14ac:dyDescent="0.3">
      <c r="B71" s="251" t="s">
        <v>295</v>
      </c>
      <c r="C71" s="171"/>
      <c r="D71" s="171"/>
      <c r="E71" s="171"/>
      <c r="F71" s="171"/>
      <c r="G71" s="228"/>
      <c r="H71" s="231"/>
      <c r="I71" s="224"/>
      <c r="J71" s="171"/>
      <c r="K71" s="268"/>
      <c r="L71" s="268"/>
      <c r="M71" s="268"/>
      <c r="N71" s="268"/>
      <c r="O71" s="268"/>
      <c r="P71" s="228"/>
      <c r="Q71" s="28"/>
      <c r="R71" s="326"/>
      <c r="S71" s="326"/>
      <c r="T71" s="326"/>
      <c r="U71" s="326"/>
      <c r="V71" s="326"/>
      <c r="W71" s="326"/>
      <c r="X71" s="326"/>
      <c r="Y71" s="14"/>
      <c r="AI71" s="5"/>
    </row>
    <row r="72" spans="2:35" x14ac:dyDescent="0.3">
      <c r="B72" s="232"/>
      <c r="C72" s="171" t="s">
        <v>264</v>
      </c>
      <c r="D72" s="171" t="str">
        <f>Unit_Rates!G76</f>
        <v>Distribution system assets</v>
      </c>
      <c r="E72" s="171" t="str">
        <f>Unit_Rates!H76</f>
        <v>Replacement</v>
      </c>
      <c r="F72" s="171" t="str">
        <f>D72&amp;E72</f>
        <v>Distribution system assetsReplacement</v>
      </c>
      <c r="G72" s="228">
        <f>Unit_Rates!I76</f>
        <v>0.27269767441860471</v>
      </c>
      <c r="H72" s="456">
        <f>INDEX(Feeder_Vols!$B$21:$D$29,MATCH($B$3,Feeder_Vols!$B$21:$B$29,0),3)</f>
        <v>2191.150128681727</v>
      </c>
      <c r="I72" s="266" t="s">
        <v>292</v>
      </c>
      <c r="J72" s="171"/>
      <c r="K72" s="268">
        <f>G72*H72</f>
        <v>597.52154439353342</v>
      </c>
      <c r="L72" s="268">
        <f>SUMPRODUCT(R$5:X$5,R72:X72)/Thousands</f>
        <v>298.31692387290963</v>
      </c>
      <c r="M72" s="268">
        <f>$H72*Unit_Rates!K76</f>
        <v>0</v>
      </c>
      <c r="N72" s="268">
        <f>$H72*Unit_Rates!L76</f>
        <v>1144.7799442925668</v>
      </c>
      <c r="O72" s="268">
        <f>$H72*Unit_Rates!M76</f>
        <v>0</v>
      </c>
      <c r="P72" s="228">
        <f>SUM(K72:O72)</f>
        <v>2040.6184125590098</v>
      </c>
      <c r="Q72" s="28">
        <f>P72-H72*Unit_Rates!$E$76</f>
        <v>-0.8262762981596552</v>
      </c>
      <c r="R72" s="327">
        <f t="shared" ref="R72:X72" si="31">$AI72*Z72*$H72</f>
        <v>53.141137779527376</v>
      </c>
      <c r="S72" s="327">
        <f t="shared" si="31"/>
        <v>0</v>
      </c>
      <c r="T72" s="327">
        <f t="shared" si="31"/>
        <v>663.35480152782884</v>
      </c>
      <c r="U72" s="327">
        <f t="shared" si="31"/>
        <v>0</v>
      </c>
      <c r="V72" s="327">
        <f t="shared" si="31"/>
        <v>0</v>
      </c>
      <c r="W72" s="327">
        <f t="shared" si="31"/>
        <v>0</v>
      </c>
      <c r="X72" s="327">
        <f t="shared" si="31"/>
        <v>1349.0178714706424</v>
      </c>
      <c r="Y72" s="14">
        <f t="shared" si="25"/>
        <v>2065.5138107779985</v>
      </c>
      <c r="Z72" s="15">
        <v>2.5727805595989302E-2</v>
      </c>
      <c r="AA72" s="15">
        <v>0</v>
      </c>
      <c r="AB72" s="15">
        <v>0.32115728206047139</v>
      </c>
      <c r="AC72" s="15">
        <v>0</v>
      </c>
      <c r="AD72" s="15">
        <v>0</v>
      </c>
      <c r="AE72" s="15">
        <v>0</v>
      </c>
      <c r="AF72" s="15">
        <v>0.65311491234353936</v>
      </c>
      <c r="AG72" s="16">
        <f>SUM(Z72:AF72)</f>
        <v>1</v>
      </c>
      <c r="AH72" t="b">
        <f>AG72=1</f>
        <v>1</v>
      </c>
      <c r="AI72" s="5">
        <v>0.94266193070973381</v>
      </c>
    </row>
    <row r="73" spans="2:35" x14ac:dyDescent="0.3">
      <c r="B73" s="232"/>
      <c r="C73" s="171" t="s">
        <v>511</v>
      </c>
      <c r="D73" s="171" t="str">
        <f>Unit_Rates!G77</f>
        <v>Distribution system assets</v>
      </c>
      <c r="E73" s="171" t="str">
        <f>Unit_Rates!H77</f>
        <v>Replacement</v>
      </c>
      <c r="F73" s="171" t="str">
        <f t="shared" ref="F73:F76" si="32">D73&amp;E73</f>
        <v>Distribution system assetsReplacement</v>
      </c>
      <c r="G73" s="268">
        <f>INDEX(Unit_Rates!$C$75:$K$80,MATCH($C73,Unit_Rates!$D$75:$D$80,0),7)</f>
        <v>0</v>
      </c>
      <c r="H73" s="456">
        <f>INDEX(Feeder_Vols!$H$21:$H$29,MATCH($B$3,Feeder_Vols!$G$21:$G$29,0),1)</f>
        <v>105</v>
      </c>
      <c r="I73" s="266" t="s">
        <v>292</v>
      </c>
      <c r="J73" s="171"/>
      <c r="K73" s="268">
        <f>G73*H73</f>
        <v>0</v>
      </c>
      <c r="L73" s="268">
        <f>SUMPRODUCT(R$5:X$5,R73:X73)/Thousands</f>
        <v>30.751371115173704</v>
      </c>
      <c r="M73" s="268">
        <f>$H73*Unit_Rates!K76</f>
        <v>0</v>
      </c>
      <c r="N73" s="268">
        <f>$H73*Unit_Rates!$L$77</f>
        <v>0</v>
      </c>
      <c r="O73" s="268">
        <f>$H73*Unit_Rates!M76</f>
        <v>0</v>
      </c>
      <c r="P73" s="228">
        <f>SUM(K73:O73)</f>
        <v>30.751371115173704</v>
      </c>
      <c r="Q73" s="28">
        <f>P73-H73*Unit_Rates!$E$77</f>
        <v>-0.16851838758872617</v>
      </c>
      <c r="R73" s="327">
        <f t="shared" ref="R73" si="33">$AI73*Z73*$H73</f>
        <v>0</v>
      </c>
      <c r="S73" s="327">
        <f t="shared" ref="S73" si="34">$AI73*AA73*$H73</f>
        <v>0</v>
      </c>
      <c r="T73" s="327">
        <f t="shared" ref="T73" si="35">$AI73*AB73*$H73</f>
        <v>0</v>
      </c>
      <c r="U73" s="327">
        <f t="shared" ref="U73" si="36">$AI73*AC73*$H73</f>
        <v>0</v>
      </c>
      <c r="V73" s="327">
        <f t="shared" ref="V73" si="37">$AI73*AD73*$H73</f>
        <v>194.06590594257716</v>
      </c>
      <c r="W73" s="327">
        <f t="shared" ref="W73" si="38">$AI73*AE73*$H73</f>
        <v>0</v>
      </c>
      <c r="X73" s="327">
        <f t="shared" ref="X73" si="39">$AI73*AF73*$H73</f>
        <v>0</v>
      </c>
      <c r="Y73" s="14">
        <f t="shared" si="25"/>
        <v>194.06590594257716</v>
      </c>
      <c r="Z73" s="15"/>
      <c r="AA73" s="15"/>
      <c r="AB73" s="15"/>
      <c r="AC73" s="15"/>
      <c r="AD73" s="15">
        <v>1</v>
      </c>
      <c r="AE73" s="15"/>
      <c r="AF73" s="15"/>
      <c r="AG73" s="16">
        <f>SUM(Z73:AF73)</f>
        <v>1</v>
      </c>
      <c r="AH73" t="b">
        <f>AG73=1</f>
        <v>1</v>
      </c>
      <c r="AI73" s="46">
        <v>1.8482467232626396</v>
      </c>
    </row>
    <row r="74" spans="2:35" x14ac:dyDescent="0.3">
      <c r="B74" s="232"/>
      <c r="C74" s="171" t="s">
        <v>512</v>
      </c>
      <c r="D74" s="171" t="str">
        <f>Unit_Rates!G78</f>
        <v>Distribution system assets</v>
      </c>
      <c r="E74" s="171" t="str">
        <f>Unit_Rates!H78</f>
        <v>Replacement</v>
      </c>
      <c r="F74" s="171" t="str">
        <f t="shared" si="32"/>
        <v>Distribution system assetsReplacement</v>
      </c>
      <c r="G74" s="268">
        <f>INDEX(Unit_Rates!$C$75:$K$80,MATCH($C74,Unit_Rates!$D$75:$D$80,0),7)</f>
        <v>0</v>
      </c>
      <c r="H74" s="456">
        <f>INDEX(Feeder_Vols!$I$21:$I$29,MATCH($B$3,Feeder_Vols!$G$21:$G$29,0),1)</f>
        <v>70</v>
      </c>
      <c r="I74" s="266" t="s">
        <v>292</v>
      </c>
      <c r="J74" s="171"/>
      <c r="K74" s="268">
        <f t="shared" ref="K74:K76" si="40">G74*H74</f>
        <v>0</v>
      </c>
      <c r="L74" s="268">
        <f>SUMPRODUCT(R$5:X$5,R74:X74)/Thousands</f>
        <v>683.36380255941481</v>
      </c>
      <c r="M74" s="268"/>
      <c r="N74" s="268">
        <f>$H74*Unit_Rates!$L$78</f>
        <v>0</v>
      </c>
      <c r="O74" s="268"/>
      <c r="P74" s="228">
        <f t="shared" ref="P74:P76" si="41">SUM(K74:O74)</f>
        <v>683.36380255941481</v>
      </c>
      <c r="Q74" s="28">
        <f>P74-H74*Unit_Rates!$E$78</f>
        <v>-3.7448530575280756</v>
      </c>
      <c r="R74" s="327">
        <f t="shared" ref="R74" si="42">$AI74*Z74*$H74</f>
        <v>0</v>
      </c>
      <c r="S74" s="327">
        <f t="shared" ref="S74" si="43">$AI74*AA74*$H74</f>
        <v>0</v>
      </c>
      <c r="T74" s="327">
        <f t="shared" ref="T74" si="44">$AI74*AB74*$H74</f>
        <v>0</v>
      </c>
      <c r="U74" s="327">
        <f t="shared" ref="U74" si="45">$AI74*AC74*$H74</f>
        <v>0</v>
      </c>
      <c r="V74" s="327">
        <f t="shared" ref="V74" si="46">$AI74*AD74*$H74</f>
        <v>4312.5756876128207</v>
      </c>
      <c r="W74" s="327">
        <f t="shared" ref="W74" si="47">$AI74*AE74*$H74</f>
        <v>0</v>
      </c>
      <c r="X74" s="327">
        <f t="shared" ref="X74" si="48">$AI74*AF74*$H74</f>
        <v>0</v>
      </c>
      <c r="Y74" s="14">
        <f t="shared" si="25"/>
        <v>4312.5756876128207</v>
      </c>
      <c r="Z74" s="15"/>
      <c r="AA74" s="15"/>
      <c r="AB74" s="15"/>
      <c r="AC74" s="15"/>
      <c r="AD74" s="15">
        <v>1</v>
      </c>
      <c r="AE74" s="15"/>
      <c r="AF74" s="15"/>
      <c r="AG74" s="16">
        <f>SUM(Z74:AF74)</f>
        <v>1</v>
      </c>
      <c r="AH74" t="b">
        <f>AG74=1</f>
        <v>1</v>
      </c>
      <c r="AI74" s="46">
        <v>61.608224108754577</v>
      </c>
    </row>
    <row r="75" spans="2:35" x14ac:dyDescent="0.3">
      <c r="B75" s="232"/>
      <c r="C75" s="171" t="s">
        <v>513</v>
      </c>
      <c r="D75" s="171" t="str">
        <f>Unit_Rates!G79</f>
        <v>Distribution system assets</v>
      </c>
      <c r="E75" s="171" t="str">
        <f>Unit_Rates!H79</f>
        <v>Replacement</v>
      </c>
      <c r="F75" s="171" t="str">
        <f t="shared" si="32"/>
        <v>Distribution system assetsReplacement</v>
      </c>
      <c r="G75" s="268">
        <f>INDEX(Unit_Rates!$C$75:$K$80,MATCH($C75,Unit_Rates!$D$75:$D$80,0),7)</f>
        <v>4.9079189686924494</v>
      </c>
      <c r="H75" s="456">
        <f>INDEX(Feeder_Vols!$J$21:$J$29,MATCH($B$3,Feeder_Vols!$G$21:$G$29,0),1)</f>
        <v>28</v>
      </c>
      <c r="I75" s="266" t="s">
        <v>292</v>
      </c>
      <c r="J75" s="171"/>
      <c r="K75" s="268">
        <f t="shared" si="40"/>
        <v>137.42173112338858</v>
      </c>
      <c r="L75" s="268">
        <f>SUMPRODUCT(R$5:X$5,R75:X75)/Thousands</f>
        <v>0</v>
      </c>
      <c r="M75" s="268"/>
      <c r="N75" s="268">
        <f>$H75*Unit_Rates!$L$79</f>
        <v>446.62062615101291</v>
      </c>
      <c r="O75" s="268"/>
      <c r="P75" s="228">
        <f t="shared" si="41"/>
        <v>584.04235727440152</v>
      </c>
      <c r="Q75" s="28">
        <f>P75-H75*Unit_Rates!$E$79</f>
        <v>0</v>
      </c>
      <c r="R75" s="330"/>
      <c r="S75" s="330"/>
      <c r="T75" s="330"/>
      <c r="U75" s="330"/>
      <c r="V75" s="330"/>
      <c r="W75" s="330"/>
      <c r="X75" s="330"/>
      <c r="Y75" s="14">
        <f t="shared" si="25"/>
        <v>0</v>
      </c>
      <c r="Z75" s="15"/>
      <c r="AA75" s="15"/>
      <c r="AB75" s="15"/>
      <c r="AC75" s="15"/>
      <c r="AD75" s="15"/>
      <c r="AE75" s="15"/>
      <c r="AF75" s="15"/>
      <c r="AG75" s="16"/>
      <c r="AI75" s="5"/>
    </row>
    <row r="76" spans="2:35" x14ac:dyDescent="0.3">
      <c r="B76" s="232"/>
      <c r="C76" s="171" t="s">
        <v>539</v>
      </c>
      <c r="D76" s="171" t="str">
        <f>Unit_Rates!G80</f>
        <v>Distribution system assets</v>
      </c>
      <c r="E76" s="171" t="str">
        <f>Unit_Rates!H80</f>
        <v>Replacement</v>
      </c>
      <c r="F76" s="171" t="str">
        <f t="shared" si="32"/>
        <v>Distribution system assetsReplacement</v>
      </c>
      <c r="G76" s="268">
        <f>INDEX(Unit_Rates!$C$75:$K$80,MATCH($C76,Unit_Rates!$D$75:$D$80,0),7)</f>
        <v>9.8158379373848997E-2</v>
      </c>
      <c r="H76" s="456">
        <f>INDEX(Feeder_Vols!$K$21:$K$29,MATCH($B$3,Feeder_Vols!$G$21:$G$29,0),1)</f>
        <v>2598.88</v>
      </c>
      <c r="I76" s="266" t="s">
        <v>510</v>
      </c>
      <c r="J76" s="171"/>
      <c r="K76" s="268">
        <f t="shared" si="40"/>
        <v>255.1018489871087</v>
      </c>
      <c r="L76" s="268">
        <f>SUMPRODUCT(R$5:X$5,R76:X76)/Thousands</f>
        <v>0</v>
      </c>
      <c r="M76" s="268"/>
      <c r="N76" s="268">
        <f>$H76*Unit_Rates!$L$80</f>
        <v>369.54053844272556</v>
      </c>
      <c r="O76" s="268"/>
      <c r="P76" s="228">
        <f t="shared" si="41"/>
        <v>624.64238742983423</v>
      </c>
      <c r="Q76" s="28">
        <f>P76-H76*Unit_Rates!$E$80</f>
        <v>0</v>
      </c>
      <c r="R76" s="330"/>
      <c r="S76" s="330"/>
      <c r="T76" s="330"/>
      <c r="U76" s="330"/>
      <c r="V76" s="330"/>
      <c r="W76" s="330"/>
      <c r="X76" s="330"/>
      <c r="Y76" s="14">
        <f t="shared" si="25"/>
        <v>0</v>
      </c>
      <c r="Z76" s="15"/>
      <c r="AA76" s="15"/>
      <c r="AB76" s="15"/>
      <c r="AC76" s="15"/>
      <c r="AD76" s="15"/>
      <c r="AE76" s="15"/>
      <c r="AF76" s="15"/>
      <c r="AG76" s="16"/>
      <c r="AI76" s="5"/>
    </row>
    <row r="77" spans="2:35" x14ac:dyDescent="0.3">
      <c r="B77" s="251" t="s">
        <v>46</v>
      </c>
      <c r="C77" s="171"/>
      <c r="D77" s="171"/>
      <c r="E77" s="171"/>
      <c r="F77" s="171"/>
      <c r="G77" s="228"/>
      <c r="H77" s="231"/>
      <c r="I77" s="224"/>
      <c r="J77" s="171"/>
      <c r="K77" s="268"/>
      <c r="L77" s="268"/>
      <c r="M77" s="268"/>
      <c r="N77" s="268"/>
      <c r="O77" s="268"/>
      <c r="P77" s="228"/>
      <c r="Q77" s="28"/>
      <c r="R77" s="329"/>
      <c r="S77" s="326"/>
      <c r="T77" s="326"/>
      <c r="U77" s="326"/>
      <c r="V77" s="326"/>
      <c r="W77" s="326"/>
      <c r="X77" s="326"/>
      <c r="Y77" s="14"/>
      <c r="Z77" s="15"/>
      <c r="AA77" s="15"/>
      <c r="AB77" s="15"/>
      <c r="AC77" s="15"/>
      <c r="AD77" s="15"/>
      <c r="AE77" s="15"/>
      <c r="AF77" s="15"/>
      <c r="AI77" s="5"/>
    </row>
    <row r="78" spans="2:35" x14ac:dyDescent="0.3">
      <c r="B78" s="232"/>
      <c r="C78" s="171" t="s">
        <v>221</v>
      </c>
      <c r="D78" s="171" t="str">
        <f>Unit_Rates!G86</f>
        <v>Distribution system assets</v>
      </c>
      <c r="E78" s="171" t="str">
        <f>Unit_Rates!H86</f>
        <v>Replacement</v>
      </c>
      <c r="F78" s="171" t="str">
        <f t="shared" ref="F78:F86" si="49">D78&amp;E78</f>
        <v>Distribution system assetsReplacement</v>
      </c>
      <c r="G78" s="228">
        <f>Unit_Rates!I86</f>
        <v>22.447723472706969</v>
      </c>
      <c r="H78" s="457">
        <f>INDEX(Feeder_Vols!$C$35:$F$43,MATCH($B$3,Feeder_Vols!$B$35:$B$43,0),1)</f>
        <v>2</v>
      </c>
      <c r="I78" s="264" t="s">
        <v>292</v>
      </c>
      <c r="J78" s="171"/>
      <c r="K78" s="268">
        <f>G78*H78</f>
        <v>44.895446945413937</v>
      </c>
      <c r="L78" s="268">
        <f>SUMPRODUCT(R$5:X$5,R78:X78)/Thousands</f>
        <v>12.802817523728059</v>
      </c>
      <c r="M78" s="268">
        <f>$H78*Unit_Rates!K86</f>
        <v>0</v>
      </c>
      <c r="N78" s="268">
        <f>$H78*Unit_Rates!L86</f>
        <v>21.159270734110706</v>
      </c>
      <c r="O78" s="268">
        <f>$H78*Unit_Rates!M86</f>
        <v>4.6548432741150579E-2</v>
      </c>
      <c r="P78" s="228">
        <f>SUM(K78:O78)</f>
        <v>78.904083635993842</v>
      </c>
      <c r="Q78" s="28">
        <f>P78-(H78*Unit_Rates!$E$86)</f>
        <v>-3.5461161680586883E-2</v>
      </c>
      <c r="R78" s="327">
        <f t="shared" ref="R78:X81" si="50">$AI78*Z78*$H78</f>
        <v>24.238825371924438</v>
      </c>
      <c r="S78" s="327">
        <f t="shared" si="50"/>
        <v>25.945784905158551</v>
      </c>
      <c r="T78" s="327">
        <f t="shared" si="50"/>
        <v>29.772132982080926</v>
      </c>
      <c r="U78" s="327">
        <f t="shared" si="50"/>
        <v>0</v>
      </c>
      <c r="V78" s="327">
        <f t="shared" si="50"/>
        <v>0</v>
      </c>
      <c r="W78" s="327">
        <f t="shared" si="50"/>
        <v>0</v>
      </c>
      <c r="X78" s="327">
        <f t="shared" si="50"/>
        <v>0</v>
      </c>
      <c r="Y78" s="14">
        <f t="shared" si="25"/>
        <v>79.956743259163915</v>
      </c>
      <c r="Z78" s="15">
        <v>0.30314923274650013</v>
      </c>
      <c r="AA78" s="15">
        <v>0.32449777026385929</v>
      </c>
      <c r="AB78" s="15">
        <v>0.37235299698964058</v>
      </c>
      <c r="AC78" s="15">
        <v>0</v>
      </c>
      <c r="AD78" s="15">
        <v>0</v>
      </c>
      <c r="AE78" s="15">
        <v>0</v>
      </c>
      <c r="AF78" s="15">
        <v>0</v>
      </c>
      <c r="AG78" s="16">
        <f t="shared" ref="AG78:AG81" si="51">SUM(Z78:AF78)</f>
        <v>1</v>
      </c>
      <c r="AH78" t="b">
        <f t="shared" ref="AH78:AH86" si="52">AG78=1</f>
        <v>1</v>
      </c>
      <c r="AI78" s="5">
        <v>39.978371629581957</v>
      </c>
    </row>
    <row r="79" spans="2:35" x14ac:dyDescent="0.3">
      <c r="B79" s="232"/>
      <c r="C79" s="171" t="s">
        <v>223</v>
      </c>
      <c r="D79" s="171" t="str">
        <f>Unit_Rates!G87</f>
        <v>Distribution system assets</v>
      </c>
      <c r="E79" s="171" t="str">
        <f>Unit_Rates!H87</f>
        <v>Replacement</v>
      </c>
      <c r="F79" s="171" t="str">
        <f t="shared" si="49"/>
        <v>Distribution system assetsReplacement</v>
      </c>
      <c r="G79" s="228">
        <f>Unit_Rates!I87</f>
        <v>21.323700104130506</v>
      </c>
      <c r="H79" s="457">
        <f>INDEX(Feeder_Vols!$C$35:$F$43,MATCH($B$3,Feeder_Vols!$B$35:$B$43,0),2)</f>
        <v>15</v>
      </c>
      <c r="I79" s="264" t="s">
        <v>292</v>
      </c>
      <c r="J79" s="171"/>
      <c r="K79" s="268">
        <f>G79*H79</f>
        <v>319.85550156195757</v>
      </c>
      <c r="L79" s="268">
        <f>SUMPRODUCT(R$5:X$5,R79:X79)/Thousands</f>
        <v>103.19682835820937</v>
      </c>
      <c r="M79" s="268">
        <f>$H79*Unit_Rates!K87</f>
        <v>65.852603262755977</v>
      </c>
      <c r="N79" s="268">
        <f>$H79*Unit_Rates!L87</f>
        <v>357.48556056924667</v>
      </c>
      <c r="O79" s="268">
        <f>$H79*Unit_Rates!M87</f>
        <v>94.075147518222806</v>
      </c>
      <c r="P79" s="228">
        <f>SUM(K79:O79)</f>
        <v>940.46564127039233</v>
      </c>
      <c r="Q79" s="28">
        <f>P79-(H79*Unit_Rates!$E$87)</f>
        <v>-0.28583391183576623</v>
      </c>
      <c r="R79" s="327">
        <f t="shared" si="50"/>
        <v>195.3765174638466</v>
      </c>
      <c r="S79" s="327">
        <f t="shared" si="50"/>
        <v>209.13542714439916</v>
      </c>
      <c r="T79" s="327">
        <f t="shared" si="50"/>
        <v>239.97762145054293</v>
      </c>
      <c r="U79" s="327">
        <f t="shared" si="50"/>
        <v>0</v>
      </c>
      <c r="V79" s="327">
        <f t="shared" si="50"/>
        <v>0</v>
      </c>
      <c r="W79" s="327">
        <f t="shared" si="50"/>
        <v>0</v>
      </c>
      <c r="X79" s="327">
        <f t="shared" si="50"/>
        <v>0</v>
      </c>
      <c r="Y79" s="14">
        <f t="shared" si="25"/>
        <v>644.48956605878868</v>
      </c>
      <c r="Z79" s="15">
        <v>0.30314923274650013</v>
      </c>
      <c r="AA79" s="15">
        <v>0.32449777026385929</v>
      </c>
      <c r="AB79" s="15">
        <v>0.37235299698964064</v>
      </c>
      <c r="AC79" s="15">
        <v>0</v>
      </c>
      <c r="AD79" s="15">
        <v>0</v>
      </c>
      <c r="AE79" s="15">
        <v>0</v>
      </c>
      <c r="AF79" s="15">
        <v>0</v>
      </c>
      <c r="AG79" s="16">
        <f t="shared" si="51"/>
        <v>1</v>
      </c>
      <c r="AH79" t="b">
        <f t="shared" si="52"/>
        <v>1</v>
      </c>
      <c r="AI79" s="5">
        <v>42.965971070585908</v>
      </c>
    </row>
    <row r="80" spans="2:35" x14ac:dyDescent="0.3">
      <c r="B80" s="232"/>
      <c r="C80" s="171" t="s">
        <v>225</v>
      </c>
      <c r="D80" s="171" t="str">
        <f>Unit_Rates!G88</f>
        <v>Distribution system assets</v>
      </c>
      <c r="E80" s="171" t="str">
        <f>Unit_Rates!H88</f>
        <v>Replacement</v>
      </c>
      <c r="F80" s="171" t="str">
        <f t="shared" si="49"/>
        <v>Distribution system assetsReplacement</v>
      </c>
      <c r="G80" s="228">
        <f>Unit_Rates!I88</f>
        <v>14.297621705426357</v>
      </c>
      <c r="H80" s="457">
        <f>INDEX(Feeder_Vols!$C$35:$F$43,MATCH($B$3,Feeder_Vols!$B$35:$B$43,0),3)</f>
        <v>0</v>
      </c>
      <c r="I80" s="264" t="s">
        <v>292</v>
      </c>
      <c r="J80" s="171"/>
      <c r="K80" s="268">
        <f>G80*H80</f>
        <v>0</v>
      </c>
      <c r="L80" s="268">
        <f>SUMPRODUCT(R$5:X$5,R80:X80)/Thousands</f>
        <v>0</v>
      </c>
      <c r="M80" s="268">
        <f>$H80*Unit_Rates!K88</f>
        <v>0</v>
      </c>
      <c r="N80" s="268">
        <f>$H80*Unit_Rates!L88</f>
        <v>0</v>
      </c>
      <c r="O80" s="268">
        <f>$H80*Unit_Rates!M88</f>
        <v>0</v>
      </c>
      <c r="P80" s="228">
        <f>SUM(K80:O80)</f>
        <v>0</v>
      </c>
      <c r="Q80" s="28">
        <f>P80-(H80*Unit_Rates!$E$88)</f>
        <v>0</v>
      </c>
      <c r="R80" s="327">
        <f t="shared" si="50"/>
        <v>0</v>
      </c>
      <c r="S80" s="327">
        <f t="shared" si="50"/>
        <v>0</v>
      </c>
      <c r="T80" s="327">
        <f t="shared" si="50"/>
        <v>0</v>
      </c>
      <c r="U80" s="327">
        <f t="shared" si="50"/>
        <v>0</v>
      </c>
      <c r="V80" s="327">
        <f t="shared" si="50"/>
        <v>0</v>
      </c>
      <c r="W80" s="327">
        <f t="shared" si="50"/>
        <v>0</v>
      </c>
      <c r="X80" s="327">
        <f t="shared" si="50"/>
        <v>0</v>
      </c>
      <c r="Y80" s="14">
        <f t="shared" si="25"/>
        <v>0</v>
      </c>
      <c r="Z80" s="15">
        <v>0.11818857666880556</v>
      </c>
      <c r="AA80" s="15">
        <v>0.49778875974979209</v>
      </c>
      <c r="AB80" s="15">
        <v>0.3840226635814023</v>
      </c>
      <c r="AC80" s="15">
        <v>0</v>
      </c>
      <c r="AD80" s="15">
        <v>0</v>
      </c>
      <c r="AE80" s="15">
        <v>0</v>
      </c>
      <c r="AF80" s="15">
        <v>0</v>
      </c>
      <c r="AG80" s="16">
        <f t="shared" si="51"/>
        <v>1</v>
      </c>
      <c r="AH80" t="b">
        <f t="shared" si="52"/>
        <v>1</v>
      </c>
      <c r="AI80" s="5">
        <v>144.70421211980818</v>
      </c>
    </row>
    <row r="81" spans="2:35" x14ac:dyDescent="0.3">
      <c r="B81" s="232"/>
      <c r="C81" s="171" t="s">
        <v>227</v>
      </c>
      <c r="D81" s="171" t="str">
        <f>Unit_Rates!G89</f>
        <v>Distribution system assets</v>
      </c>
      <c r="E81" s="171" t="str">
        <f>Unit_Rates!H89</f>
        <v>Replacement</v>
      </c>
      <c r="F81" s="171" t="str">
        <f t="shared" si="49"/>
        <v>Distribution system assetsReplacement</v>
      </c>
      <c r="G81" s="228">
        <f>Unit_Rates!I89</f>
        <v>182.28643631627907</v>
      </c>
      <c r="H81" s="457">
        <f>INDEX(Feeder_Vols!$C$35:$F$43,MATCH($B$3,Feeder_Vols!$B$35:$B$43,0),4)</f>
        <v>0</v>
      </c>
      <c r="I81" s="264" t="s">
        <v>292</v>
      </c>
      <c r="J81" s="171"/>
      <c r="K81" s="268">
        <f>G81*H81</f>
        <v>0</v>
      </c>
      <c r="L81" s="268">
        <f>SUMPRODUCT(R$5:X$5,R81:X81)/Thousands</f>
        <v>0</v>
      </c>
      <c r="M81" s="268">
        <f>$H81*Unit_Rates!K89</f>
        <v>0</v>
      </c>
      <c r="N81" s="268">
        <f>$H81*Unit_Rates!L89</f>
        <v>0</v>
      </c>
      <c r="O81" s="268">
        <f>$H81*Unit_Rates!M89</f>
        <v>0</v>
      </c>
      <c r="P81" s="228">
        <f>SUM(K81:O81)</f>
        <v>0</v>
      </c>
      <c r="Q81" s="28">
        <f>P81-(H81*Unit_Rates!$E$89)</f>
        <v>0</v>
      </c>
      <c r="R81" s="327">
        <f t="shared" si="50"/>
        <v>0</v>
      </c>
      <c r="S81" s="327">
        <f t="shared" si="50"/>
        <v>0</v>
      </c>
      <c r="T81" s="327">
        <f t="shared" si="50"/>
        <v>0</v>
      </c>
      <c r="U81" s="327">
        <f t="shared" si="50"/>
        <v>0</v>
      </c>
      <c r="V81" s="327">
        <f t="shared" si="50"/>
        <v>0</v>
      </c>
      <c r="W81" s="327">
        <f t="shared" si="50"/>
        <v>0</v>
      </c>
      <c r="X81" s="327">
        <f t="shared" si="50"/>
        <v>0</v>
      </c>
      <c r="Y81" s="14">
        <f t="shared" si="25"/>
        <v>0</v>
      </c>
      <c r="Z81" s="15">
        <v>0.69942688247564233</v>
      </c>
      <c r="AA81" s="15">
        <v>4.8454943655496512E-2</v>
      </c>
      <c r="AB81" s="15">
        <v>0.25211817386886121</v>
      </c>
      <c r="AC81" s="15">
        <v>0</v>
      </c>
      <c r="AD81" s="15">
        <v>0</v>
      </c>
      <c r="AE81" s="15">
        <v>0</v>
      </c>
      <c r="AF81" s="15">
        <v>0</v>
      </c>
      <c r="AG81" s="16">
        <f t="shared" si="51"/>
        <v>1</v>
      </c>
      <c r="AH81" t="b">
        <f t="shared" si="52"/>
        <v>1</v>
      </c>
      <c r="AI81" s="5">
        <v>220.41130997006761</v>
      </c>
    </row>
    <row r="82" spans="2:35" x14ac:dyDescent="0.3">
      <c r="B82" s="251" t="s">
        <v>296</v>
      </c>
      <c r="C82" s="171"/>
      <c r="D82" s="171"/>
      <c r="E82" s="171"/>
      <c r="F82" s="171"/>
      <c r="G82" s="228"/>
      <c r="H82" s="231"/>
      <c r="I82" s="264"/>
      <c r="J82" s="171"/>
      <c r="K82" s="268"/>
      <c r="L82" s="268"/>
      <c r="M82" s="268"/>
      <c r="N82" s="268"/>
      <c r="O82" s="268"/>
      <c r="P82" s="228"/>
      <c r="Q82" s="28"/>
      <c r="R82" s="326"/>
      <c r="S82" s="326"/>
      <c r="T82" s="326"/>
      <c r="U82" s="326"/>
      <c r="V82" s="326"/>
      <c r="W82" s="326"/>
      <c r="X82" s="326"/>
      <c r="Y82" s="14"/>
    </row>
    <row r="83" spans="2:35" x14ac:dyDescent="0.3">
      <c r="B83" s="232"/>
      <c r="C83" s="171" t="s">
        <v>553</v>
      </c>
      <c r="D83" s="171" t="str">
        <f>Unit_Rates!G95</f>
        <v>Distribution system assets</v>
      </c>
      <c r="E83" s="171" t="str">
        <f>Unit_Rates!H95</f>
        <v>Augmentation</v>
      </c>
      <c r="F83" s="171" t="str">
        <f t="shared" si="49"/>
        <v>Distribution system assetsAugmentation</v>
      </c>
      <c r="G83" s="228">
        <f>Unit_Rates!I95</f>
        <v>490.33390034070919</v>
      </c>
      <c r="H83" s="456">
        <f>INDEX(Feeder_Vols!$C$48:$F$56,MATCH($B$3,Feeder_Vols!$B$48:$B$56,0),1)</f>
        <v>5</v>
      </c>
      <c r="I83" s="264" t="s">
        <v>292</v>
      </c>
      <c r="J83" s="171"/>
      <c r="K83" s="268">
        <f>G83*H83</f>
        <v>2451.6695017035458</v>
      </c>
      <c r="L83" s="268">
        <f>SUMPRODUCT(R$5:X$5,R83:X83)/Thousands</f>
        <v>386.17141593135534</v>
      </c>
      <c r="M83" s="268">
        <f>$H83*Unit_Rates!K95</f>
        <v>0</v>
      </c>
      <c r="N83" s="268">
        <f>$H83*Unit_Rates!L95</f>
        <v>644.6660986671493</v>
      </c>
      <c r="O83" s="268">
        <f>$H83*Unit_Rates!M95</f>
        <v>193.40121102749913</v>
      </c>
      <c r="P83" s="228">
        <f>SUM(K83:O83)</f>
        <v>3675.9082273295498</v>
      </c>
      <c r="Q83" s="28">
        <f>P83-H83*Unit_Rates!$E95</f>
        <v>-0.62824326893405669</v>
      </c>
      <c r="R83" s="327">
        <f t="shared" ref="R83" si="53">$AI83*Z83*$H83</f>
        <v>425.43950184416104</v>
      </c>
      <c r="S83" s="327">
        <f t="shared" ref="S83" si="54">$AI83*AA83*$H83</f>
        <v>504.48197028692778</v>
      </c>
      <c r="T83" s="327">
        <f t="shared" ref="T83" si="55">$AI83*AB83*$H83</f>
        <v>1418.9620308165991</v>
      </c>
      <c r="U83" s="327">
        <f t="shared" ref="U83" si="56">$AI83*AC83*$H83</f>
        <v>0</v>
      </c>
      <c r="V83" s="327">
        <f t="shared" ref="V83" si="57">$AI83*AD83*$H83</f>
        <v>0</v>
      </c>
      <c r="W83" s="327">
        <f t="shared" ref="W83" si="58">$AI83*AE83*$H83</f>
        <v>0</v>
      </c>
      <c r="X83" s="327">
        <f t="shared" ref="X83" si="59">$AI83*AF83*$H83</f>
        <v>0</v>
      </c>
      <c r="Y83" s="14">
        <f t="shared" si="25"/>
        <v>2348.8835029476877</v>
      </c>
      <c r="Z83" s="15">
        <v>0.18112413889844414</v>
      </c>
      <c r="AA83" s="15">
        <v>0.21477521965386426</v>
      </c>
      <c r="AB83" s="15">
        <v>0.6041006414476916</v>
      </c>
      <c r="AC83" s="15">
        <v>0</v>
      </c>
      <c r="AD83" s="15">
        <v>0</v>
      </c>
      <c r="AE83" s="15">
        <v>0</v>
      </c>
      <c r="AF83" s="15">
        <v>0</v>
      </c>
      <c r="AG83" s="16">
        <f t="shared" ref="AG83:AG86" si="60">SUM(Z83:AF83)</f>
        <v>1</v>
      </c>
      <c r="AH83" t="b">
        <f t="shared" si="52"/>
        <v>1</v>
      </c>
      <c r="AI83" s="5">
        <v>469.77670058953754</v>
      </c>
    </row>
    <row r="84" spans="2:35" x14ac:dyDescent="0.3">
      <c r="B84" s="232"/>
      <c r="C84" s="171" t="s">
        <v>481</v>
      </c>
      <c r="D84" s="171" t="str">
        <f>Unit_Rates!G96</f>
        <v>Distribution system assets</v>
      </c>
      <c r="E84" s="171" t="str">
        <f>Unit_Rates!H96</f>
        <v>Augmentation</v>
      </c>
      <c r="F84" s="171" t="str">
        <f t="shared" si="49"/>
        <v>Distribution system assetsAugmentation</v>
      </c>
      <c r="G84" s="228">
        <f>Unit_Rates!I96</f>
        <v>440.92036005674521</v>
      </c>
      <c r="H84" s="456">
        <f>INDEX(Feeder_Vols!$C$48:$F$56,MATCH($B$3,Feeder_Vols!$B$48:$B$56,0),2)</f>
        <v>0</v>
      </c>
      <c r="I84" s="264" t="s">
        <v>292</v>
      </c>
      <c r="J84" s="171"/>
      <c r="K84" s="268">
        <f t="shared" ref="K84:K86" si="61">G84*H84</f>
        <v>0</v>
      </c>
      <c r="L84" s="268">
        <f>SUMPRODUCT(R$5:X$5,R84:X84)/Thousands</f>
        <v>0</v>
      </c>
      <c r="M84" s="268">
        <f>$H84*Unit_Rates!K96</f>
        <v>0</v>
      </c>
      <c r="N84" s="268">
        <f>$H84*Unit_Rates!L96</f>
        <v>0</v>
      </c>
      <c r="O84" s="268">
        <f>$H84*Unit_Rates!M96</f>
        <v>0</v>
      </c>
      <c r="P84" s="228">
        <f t="shared" ref="P84:P86" si="62">SUM(K84:O84)</f>
        <v>0</v>
      </c>
      <c r="Q84" s="28">
        <f>P84-H84*Unit_Rates!$E96</f>
        <v>0</v>
      </c>
      <c r="R84" s="327">
        <f t="shared" ref="R84:X86" si="63">$AI84*Z84*$H84</f>
        <v>0</v>
      </c>
      <c r="S84" s="327">
        <f t="shared" si="63"/>
        <v>0</v>
      </c>
      <c r="T84" s="327">
        <f t="shared" si="63"/>
        <v>0</v>
      </c>
      <c r="U84" s="327">
        <f t="shared" si="63"/>
        <v>0</v>
      </c>
      <c r="V84" s="327">
        <f t="shared" si="63"/>
        <v>0</v>
      </c>
      <c r="W84" s="327">
        <f t="shared" si="63"/>
        <v>0</v>
      </c>
      <c r="X84" s="327">
        <f t="shared" si="63"/>
        <v>0</v>
      </c>
      <c r="Y84" s="14">
        <f t="shared" si="25"/>
        <v>0</v>
      </c>
      <c r="Z84" s="15">
        <v>0.18112413889844414</v>
      </c>
      <c r="AA84" s="15">
        <v>0.42955043930772852</v>
      </c>
      <c r="AB84" s="15">
        <v>0.3893254217938274</v>
      </c>
      <c r="AC84" s="15">
        <v>0</v>
      </c>
      <c r="AD84" s="15">
        <v>0</v>
      </c>
      <c r="AE84" s="15">
        <v>0</v>
      </c>
      <c r="AF84" s="15">
        <v>0</v>
      </c>
      <c r="AG84" s="16">
        <f t="shared" si="60"/>
        <v>1</v>
      </c>
      <c r="AH84" t="b">
        <f t="shared" si="52"/>
        <v>1</v>
      </c>
      <c r="AI84" s="5">
        <v>500.15046310508262</v>
      </c>
    </row>
    <row r="85" spans="2:35" x14ac:dyDescent="0.3">
      <c r="B85" s="232"/>
      <c r="C85" s="171" t="s">
        <v>480</v>
      </c>
      <c r="D85" s="171" t="str">
        <f>Unit_Rates!G97</f>
        <v>Distribution system assets</v>
      </c>
      <c r="E85" s="171" t="str">
        <f>Unit_Rates!H97</f>
        <v>Augmentation</v>
      </c>
      <c r="F85" s="171" t="str">
        <f t="shared" si="49"/>
        <v>Distribution system assetsAugmentation</v>
      </c>
      <c r="G85" s="228">
        <f>Unit_Rates!I97</f>
        <v>464.96470387554706</v>
      </c>
      <c r="H85" s="456">
        <f>INDEX(Feeder_Vols!$C$48:$F$56,MATCH($B$3,Feeder_Vols!$B$48:$B$56,0),3)</f>
        <v>0</v>
      </c>
      <c r="I85" s="264" t="s">
        <v>292</v>
      </c>
      <c r="J85" s="171"/>
      <c r="K85" s="268">
        <f t="shared" si="61"/>
        <v>0</v>
      </c>
      <c r="L85" s="268">
        <f>SUMPRODUCT(R$5:X$5,R85:X85)/Thousands</f>
        <v>0</v>
      </c>
      <c r="M85" s="268">
        <f>$H85*Unit_Rates!K97</f>
        <v>0</v>
      </c>
      <c r="N85" s="268">
        <f>$H85*Unit_Rates!L97</f>
        <v>0</v>
      </c>
      <c r="O85" s="268">
        <f>$H85*Unit_Rates!M97</f>
        <v>0</v>
      </c>
      <c r="P85" s="228">
        <f t="shared" si="62"/>
        <v>0</v>
      </c>
      <c r="Q85" s="28">
        <f>P85-H85*Unit_Rates!$E97</f>
        <v>0</v>
      </c>
      <c r="R85" s="327">
        <f t="shared" si="63"/>
        <v>0</v>
      </c>
      <c r="S85" s="327">
        <f t="shared" si="63"/>
        <v>0</v>
      </c>
      <c r="T85" s="327">
        <f t="shared" si="63"/>
        <v>0</v>
      </c>
      <c r="U85" s="327">
        <f t="shared" si="63"/>
        <v>0</v>
      </c>
      <c r="V85" s="327">
        <f t="shared" si="63"/>
        <v>0</v>
      </c>
      <c r="W85" s="327">
        <f t="shared" si="63"/>
        <v>0</v>
      </c>
      <c r="X85" s="327">
        <f t="shared" si="63"/>
        <v>0</v>
      </c>
      <c r="Y85" s="14">
        <f t="shared" si="25"/>
        <v>0</v>
      </c>
      <c r="Z85" s="15">
        <v>0.18112413889844414</v>
      </c>
      <c r="AA85" s="15">
        <v>0.42955043930772852</v>
      </c>
      <c r="AB85" s="15">
        <v>0.3893254217938274</v>
      </c>
      <c r="AC85" s="15">
        <v>0</v>
      </c>
      <c r="AD85" s="15">
        <v>0</v>
      </c>
      <c r="AE85" s="15">
        <v>0</v>
      </c>
      <c r="AF85" s="15">
        <v>0</v>
      </c>
      <c r="AG85" s="16">
        <f t="shared" si="60"/>
        <v>1</v>
      </c>
      <c r="AH85" t="b">
        <f t="shared" si="52"/>
        <v>1</v>
      </c>
      <c r="AI85" s="5">
        <v>416.11120533381393</v>
      </c>
    </row>
    <row r="86" spans="2:35" x14ac:dyDescent="0.3">
      <c r="B86" s="232"/>
      <c r="C86" s="171" t="s">
        <v>295</v>
      </c>
      <c r="D86" s="171" t="str">
        <f>Unit_Rates!G98</f>
        <v>Distribution system assets</v>
      </c>
      <c r="E86" s="171" t="str">
        <f>Unit_Rates!H98</f>
        <v>Replacement</v>
      </c>
      <c r="F86" s="171" t="str">
        <f t="shared" si="49"/>
        <v>Distribution system assetsReplacement</v>
      </c>
      <c r="G86" s="228">
        <f>Unit_Rates!I98</f>
        <v>26.699079189686927</v>
      </c>
      <c r="H86" s="456">
        <f>INDEX(Feeder_Vols!$C$48:$I$56,MATCH($B$3,Feeder_Vols!$B$48:$B$56,0),7)</f>
        <v>0</v>
      </c>
      <c r="I86" s="264" t="s">
        <v>292</v>
      </c>
      <c r="J86" s="171"/>
      <c r="K86" s="268">
        <f t="shared" si="61"/>
        <v>0</v>
      </c>
      <c r="L86" s="268">
        <f>SUMPRODUCT(R$5:X$5,R86:X86)/Thousands</f>
        <v>0</v>
      </c>
      <c r="M86" s="268">
        <f>$H86*Unit_Rates!K98</f>
        <v>0</v>
      </c>
      <c r="N86" s="268">
        <f>$H86*Unit_Rates!L98</f>
        <v>0</v>
      </c>
      <c r="O86" s="268">
        <f>$H86*Unit_Rates!M98</f>
        <v>0</v>
      </c>
      <c r="P86" s="228">
        <f t="shared" si="62"/>
        <v>0</v>
      </c>
      <c r="Q86" s="28">
        <f>P86-H86*Unit_Rates!$E98</f>
        <v>0</v>
      </c>
      <c r="R86" s="327">
        <f t="shared" si="63"/>
        <v>0</v>
      </c>
      <c r="S86" s="327">
        <f t="shared" si="63"/>
        <v>0</v>
      </c>
      <c r="T86" s="327">
        <f t="shared" si="63"/>
        <v>0</v>
      </c>
      <c r="U86" s="327">
        <f t="shared" si="63"/>
        <v>0</v>
      </c>
      <c r="V86" s="327">
        <f t="shared" si="63"/>
        <v>0</v>
      </c>
      <c r="W86" s="327">
        <f t="shared" si="63"/>
        <v>0</v>
      </c>
      <c r="X86" s="327">
        <f t="shared" si="63"/>
        <v>0</v>
      </c>
      <c r="Y86" s="14">
        <f t="shared" si="25"/>
        <v>0</v>
      </c>
      <c r="Z86" s="15">
        <v>0.30314923274650013</v>
      </c>
      <c r="AA86" s="15">
        <v>0.32449777026385929</v>
      </c>
      <c r="AB86" s="15">
        <v>0.37235299698964064</v>
      </c>
      <c r="AC86" s="15">
        <v>0</v>
      </c>
      <c r="AD86" s="15">
        <v>0</v>
      </c>
      <c r="AE86" s="15">
        <v>0</v>
      </c>
      <c r="AF86" s="15">
        <v>0</v>
      </c>
      <c r="AG86" s="16">
        <f t="shared" si="60"/>
        <v>1</v>
      </c>
      <c r="AH86" t="b">
        <f t="shared" si="52"/>
        <v>1</v>
      </c>
      <c r="AI86" s="5">
        <v>53.863654268137608</v>
      </c>
    </row>
    <row r="87" spans="2:35" x14ac:dyDescent="0.3">
      <c r="B87" s="232"/>
      <c r="C87" s="171"/>
      <c r="D87" s="171"/>
      <c r="E87" s="171"/>
      <c r="F87" s="171"/>
      <c r="G87" s="224"/>
      <c r="H87" s="232"/>
      <c r="I87" s="224"/>
      <c r="J87" s="171"/>
      <c r="K87" s="235"/>
      <c r="L87" s="235"/>
      <c r="M87" s="235"/>
      <c r="N87" s="235"/>
      <c r="O87" s="235"/>
      <c r="P87" s="224"/>
    </row>
    <row r="88" spans="2:35" x14ac:dyDescent="0.3">
      <c r="B88" s="251" t="s">
        <v>283</v>
      </c>
      <c r="C88" s="171"/>
      <c r="D88" s="171"/>
      <c r="E88" s="171"/>
      <c r="F88" s="171"/>
      <c r="G88" s="224"/>
      <c r="H88" s="232"/>
      <c r="I88" s="224"/>
      <c r="J88" s="171"/>
      <c r="K88" s="319">
        <f>SUM(K70:K86)</f>
        <v>4442.4322500637854</v>
      </c>
      <c r="L88" s="319">
        <f t="shared" ref="L88:P88" si="64">SUM(L70:L86)</f>
        <v>1776.9257439600642</v>
      </c>
      <c r="M88" s="319">
        <f t="shared" si="64"/>
        <v>174.64410093717458</v>
      </c>
      <c r="N88" s="319">
        <f t="shared" si="64"/>
        <v>4925.0590014575509</v>
      </c>
      <c r="O88" s="319">
        <f t="shared" si="64"/>
        <v>480.23788586264106</v>
      </c>
      <c r="P88" s="319">
        <f t="shared" si="64"/>
        <v>11799.298982281216</v>
      </c>
    </row>
    <row r="89" spans="2:35" x14ac:dyDescent="0.3">
      <c r="B89" s="259" t="s">
        <v>55</v>
      </c>
      <c r="C89" s="260"/>
      <c r="D89" s="260"/>
      <c r="E89" s="260"/>
      <c r="F89" s="260"/>
      <c r="G89" s="260"/>
      <c r="H89" s="260"/>
      <c r="I89" s="260"/>
      <c r="J89" s="260"/>
      <c r="K89" s="207">
        <f>K88-SUMIF(Direct_Capex_Totals!$B$19:$B$109,$B$3,Direct_Capex_Totals!Q$19:Q$109)</f>
        <v>0</v>
      </c>
      <c r="L89" s="207">
        <f>L88-SUMIF(Direct_Capex_Totals!$B$19:$B$109,$B$3,Direct_Capex_Totals!R$19:R$109)</f>
        <v>0</v>
      </c>
      <c r="M89" s="207">
        <f>M88-SUMIF(Direct_Capex_Totals!$B$19:$B$109,$B$3,Direct_Capex_Totals!S$19:S$109)</f>
        <v>0</v>
      </c>
      <c r="N89" s="207">
        <f>N88-SUMIF(Direct_Capex_Totals!$B$19:$B$109,$B$3,Direct_Capex_Totals!T$19:T$109)</f>
        <v>0</v>
      </c>
      <c r="O89" s="207">
        <f>O88-SUMIF(Direct_Capex_Totals!$B$19:$B$109,$B$3,Direct_Capex_Totals!U$19:U$109)</f>
        <v>0</v>
      </c>
      <c r="P89" s="261">
        <f>SUM(K89:O89)</f>
        <v>0</v>
      </c>
      <c r="Q89" s="11"/>
    </row>
    <row r="90" spans="2:35" x14ac:dyDescent="0.3">
      <c r="B90" s="232"/>
      <c r="C90" s="171"/>
      <c r="D90" s="171"/>
      <c r="E90" s="171"/>
      <c r="F90" s="171"/>
      <c r="G90" s="171"/>
      <c r="H90" s="171"/>
      <c r="I90" s="171"/>
      <c r="J90" s="171"/>
      <c r="K90" s="157"/>
      <c r="L90" s="157"/>
      <c r="M90" s="157"/>
      <c r="N90" s="157"/>
      <c r="O90" s="157"/>
      <c r="P90" s="233"/>
    </row>
    <row r="91" spans="2:35" x14ac:dyDescent="0.3">
      <c r="B91" s="251" t="s">
        <v>103</v>
      </c>
      <c r="C91" s="252"/>
      <c r="D91" s="252"/>
      <c r="E91" s="252"/>
      <c r="F91" s="252"/>
      <c r="G91" s="252"/>
      <c r="H91" s="252"/>
      <c r="I91" s="252"/>
      <c r="J91" s="252"/>
      <c r="K91" s="26">
        <f t="shared" ref="K91:P91" si="65">K57+K88</f>
        <v>7897.4643518937</v>
      </c>
      <c r="L91" s="26">
        <f t="shared" si="65"/>
        <v>2610.0062439600642</v>
      </c>
      <c r="M91" s="26">
        <f t="shared" si="65"/>
        <v>769.62084512322099</v>
      </c>
      <c r="N91" s="26">
        <f t="shared" si="65"/>
        <v>6729.7461280239986</v>
      </c>
      <c r="O91" s="26">
        <f t="shared" si="65"/>
        <v>739.94153572687514</v>
      </c>
      <c r="P91" s="253">
        <f t="shared" si="65"/>
        <v>18746.779104727859</v>
      </c>
    </row>
    <row r="92" spans="2:35" x14ac:dyDescent="0.3">
      <c r="B92" s="258" t="s">
        <v>55</v>
      </c>
      <c r="C92" s="254"/>
      <c r="D92" s="254"/>
      <c r="E92" s="254"/>
      <c r="F92" s="254"/>
      <c r="G92" s="254"/>
      <c r="H92" s="254"/>
      <c r="I92" s="254"/>
      <c r="J92" s="254"/>
      <c r="K92" s="255">
        <f>K91-Direct_Capex_Totals!Q135</f>
        <v>0</v>
      </c>
      <c r="L92" s="255">
        <f>L91-Direct_Capex_Totals!R135</f>
        <v>0</v>
      </c>
      <c r="M92" s="255">
        <f>M91-Direct_Capex_Totals!S135</f>
        <v>0</v>
      </c>
      <c r="N92" s="255">
        <f>N91-Direct_Capex_Totals!T135</f>
        <v>0</v>
      </c>
      <c r="O92" s="255">
        <f>O91-Direct_Capex_Totals!U135</f>
        <v>0</v>
      </c>
      <c r="P92" s="343">
        <f>SUM(K92:O92)</f>
        <v>0</v>
      </c>
    </row>
    <row r="95" spans="2:35" hidden="1" outlineLevel="1" x14ac:dyDescent="0.3">
      <c r="C95" t="s">
        <v>261</v>
      </c>
      <c r="D95" t="s">
        <v>18</v>
      </c>
      <c r="E95" t="s">
        <v>42</v>
      </c>
      <c r="F95" s="171" t="str">
        <f t="shared" ref="F95:F115" si="66">D95&amp;E95</f>
        <v>SubtransmissionAugmentation</v>
      </c>
      <c r="K95" s="6">
        <v>858.64268623752616</v>
      </c>
      <c r="L95" s="6">
        <v>0</v>
      </c>
      <c r="M95" s="6">
        <v>0</v>
      </c>
      <c r="N95" s="6">
        <v>1449.3528116493212</v>
      </c>
      <c r="O95" s="6">
        <v>255.27670695447344</v>
      </c>
      <c r="P95" s="6">
        <v>2563.2722048413207</v>
      </c>
    </row>
    <row r="96" spans="2:35" hidden="1" outlineLevel="1" x14ac:dyDescent="0.3">
      <c r="D96" t="s">
        <v>18</v>
      </c>
      <c r="E96" t="s">
        <v>44</v>
      </c>
      <c r="F96" s="171" t="str">
        <f t="shared" si="66"/>
        <v>SubtransmissionReplacement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3:16" hidden="1" outlineLevel="1" x14ac:dyDescent="0.3">
      <c r="D97" t="s">
        <v>22</v>
      </c>
      <c r="E97" t="s">
        <v>42</v>
      </c>
      <c r="F97" s="171" t="str">
        <f t="shared" si="66"/>
        <v>SCADA/Network controlAugmentation</v>
      </c>
      <c r="K97" s="6">
        <v>2596.3894155923886</v>
      </c>
      <c r="L97" s="6">
        <v>0</v>
      </c>
      <c r="M97" s="6">
        <v>0</v>
      </c>
      <c r="N97" s="6">
        <v>355.33431491712713</v>
      </c>
      <c r="O97" s="6">
        <v>4.426942909760589</v>
      </c>
      <c r="P97" s="6">
        <v>2956.1506734192767</v>
      </c>
    </row>
    <row r="98" spans="3:16" hidden="1" outlineLevel="1" x14ac:dyDescent="0.3">
      <c r="D98" t="s">
        <v>22</v>
      </c>
      <c r="E98" t="s">
        <v>44</v>
      </c>
      <c r="F98" s="171" t="str">
        <f t="shared" si="66"/>
        <v>SCADA/Network controlReplacement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</row>
    <row r="99" spans="3:16" hidden="1" outlineLevel="1" x14ac:dyDescent="0.3">
      <c r="D99" t="s">
        <v>195</v>
      </c>
      <c r="E99" t="s">
        <v>66</v>
      </c>
      <c r="F99" s="171" t="str">
        <f t="shared" si="66"/>
        <v>LandNon-Network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</row>
    <row r="100" spans="3:16" hidden="1" outlineLevel="1" x14ac:dyDescent="0.3">
      <c r="F100" s="171"/>
      <c r="K100" s="6">
        <v>3455.0321018299146</v>
      </c>
      <c r="L100" s="6">
        <v>0</v>
      </c>
      <c r="M100" s="6">
        <v>0</v>
      </c>
      <c r="N100" s="6">
        <v>1804.6871265664483</v>
      </c>
      <c r="O100" s="6">
        <v>259.70364986423402</v>
      </c>
      <c r="P100" s="6">
        <v>5519.4228782605969</v>
      </c>
    </row>
    <row r="101" spans="3:16" hidden="1" outlineLevel="1" x14ac:dyDescent="0.3">
      <c r="C101" t="s">
        <v>368</v>
      </c>
      <c r="D101" t="s">
        <v>18</v>
      </c>
      <c r="E101" t="s">
        <v>42</v>
      </c>
      <c r="F101" s="171" t="str">
        <f t="shared" ref="F101:F105" si="67">D101&amp;E101</f>
        <v>SubtransmissionAugmentation</v>
      </c>
      <c r="K101" s="6"/>
      <c r="L101" s="6">
        <v>386.89046611305633</v>
      </c>
      <c r="M101" s="6">
        <v>276.31282917385323</v>
      </c>
      <c r="N101" s="6">
        <v>0</v>
      </c>
      <c r="O101" s="6"/>
      <c r="P101" s="6">
        <v>663.20329528690957</v>
      </c>
    </row>
    <row r="102" spans="3:16" hidden="1" outlineLevel="1" x14ac:dyDescent="0.3">
      <c r="D102" t="s">
        <v>18</v>
      </c>
      <c r="E102" t="s">
        <v>44</v>
      </c>
      <c r="F102" s="171" t="str">
        <f t="shared" si="67"/>
        <v>SubtransmissionReplacement</v>
      </c>
      <c r="K102" s="6"/>
      <c r="L102" s="6">
        <v>0</v>
      </c>
      <c r="M102" s="6">
        <v>0</v>
      </c>
      <c r="N102" s="6">
        <v>0</v>
      </c>
      <c r="O102" s="6"/>
      <c r="P102" s="6">
        <v>0</v>
      </c>
    </row>
    <row r="103" spans="3:16" hidden="1" outlineLevel="1" x14ac:dyDescent="0.3">
      <c r="D103" t="s">
        <v>22</v>
      </c>
      <c r="E103" t="s">
        <v>42</v>
      </c>
      <c r="F103" s="171" t="str">
        <f t="shared" si="67"/>
        <v>SCADA/Network controlAugmentation</v>
      </c>
      <c r="K103" s="6"/>
      <c r="L103" s="6">
        <v>446.19003388694358</v>
      </c>
      <c r="M103" s="6">
        <v>318.66391501219323</v>
      </c>
      <c r="N103" s="6">
        <v>0</v>
      </c>
      <c r="O103" s="6"/>
      <c r="P103" s="6">
        <v>764.85394889913687</v>
      </c>
    </row>
    <row r="104" spans="3:16" hidden="1" outlineLevel="1" x14ac:dyDescent="0.3">
      <c r="D104" t="s">
        <v>22</v>
      </c>
      <c r="E104" t="s">
        <v>44</v>
      </c>
      <c r="F104" s="171" t="str">
        <f t="shared" si="67"/>
        <v>SCADA/Network controlReplacement</v>
      </c>
      <c r="K104" s="6"/>
      <c r="L104" s="6">
        <v>0</v>
      </c>
      <c r="M104" s="6">
        <v>0</v>
      </c>
      <c r="N104" s="6">
        <v>0</v>
      </c>
      <c r="O104" s="6"/>
      <c r="P104" s="6">
        <v>0</v>
      </c>
    </row>
    <row r="105" spans="3:16" hidden="1" outlineLevel="1" x14ac:dyDescent="0.3">
      <c r="D105" t="s">
        <v>195</v>
      </c>
      <c r="E105" t="s">
        <v>66</v>
      </c>
      <c r="F105" s="171" t="str">
        <f t="shared" si="67"/>
        <v>LandNon-Network</v>
      </c>
      <c r="K105" s="39"/>
      <c r="L105" s="39">
        <v>0</v>
      </c>
      <c r="M105" s="39">
        <v>0</v>
      </c>
      <c r="N105" s="39">
        <v>0</v>
      </c>
      <c r="O105" s="39"/>
      <c r="P105" s="39">
        <v>0</v>
      </c>
    </row>
    <row r="106" spans="3:16" hidden="1" outlineLevel="1" x14ac:dyDescent="0.3">
      <c r="F106" s="171"/>
      <c r="K106" s="6">
        <v>0</v>
      </c>
      <c r="L106" s="6">
        <v>833.08049999999992</v>
      </c>
      <c r="M106" s="6">
        <v>594.97674418604652</v>
      </c>
      <c r="N106" s="6">
        <v>0</v>
      </c>
      <c r="O106" s="6">
        <v>0</v>
      </c>
      <c r="P106" s="6">
        <v>1428.0572441860463</v>
      </c>
    </row>
    <row r="107" spans="3:16" hidden="1" outlineLevel="1" x14ac:dyDescent="0.3">
      <c r="C107" t="s">
        <v>377</v>
      </c>
      <c r="D107" t="s">
        <v>18</v>
      </c>
      <c r="E107" t="s">
        <v>42</v>
      </c>
      <c r="F107" s="171" t="str">
        <f t="shared" ref="F107:F111" si="68">D107&amp;E107</f>
        <v>SubtransmissionAugmentation</v>
      </c>
      <c r="K107" s="6">
        <v>858.64268623752616</v>
      </c>
      <c r="L107" s="6">
        <v>386.89046611305633</v>
      </c>
      <c r="M107" s="6">
        <v>276.31282917385323</v>
      </c>
      <c r="N107" s="6">
        <v>1449.3528116493212</v>
      </c>
      <c r="O107" s="6">
        <v>255.27670695447344</v>
      </c>
      <c r="P107" s="6">
        <v>3226.4755001282301</v>
      </c>
    </row>
    <row r="108" spans="3:16" hidden="1" outlineLevel="1" x14ac:dyDescent="0.3">
      <c r="D108" t="s">
        <v>18</v>
      </c>
      <c r="E108" t="s">
        <v>44</v>
      </c>
      <c r="F108" s="171" t="str">
        <f t="shared" si="68"/>
        <v>SubtransmissionReplacement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</row>
    <row r="109" spans="3:16" hidden="1" outlineLevel="1" x14ac:dyDescent="0.3">
      <c r="D109" t="s">
        <v>22</v>
      </c>
      <c r="E109" t="s">
        <v>42</v>
      </c>
      <c r="F109" s="171" t="str">
        <f t="shared" si="68"/>
        <v>SCADA/Network controlAugmentation</v>
      </c>
      <c r="K109" s="6">
        <v>2596.3894155923886</v>
      </c>
      <c r="L109" s="6">
        <v>446.19003388694358</v>
      </c>
      <c r="M109" s="6">
        <v>318.66391501219323</v>
      </c>
      <c r="N109" s="6">
        <v>355.33431491712713</v>
      </c>
      <c r="O109" s="6">
        <v>4.426942909760589</v>
      </c>
      <c r="P109" s="6">
        <v>3721.0046223184136</v>
      </c>
    </row>
    <row r="110" spans="3:16" hidden="1" outlineLevel="1" x14ac:dyDescent="0.3">
      <c r="D110" t="s">
        <v>22</v>
      </c>
      <c r="E110" t="s">
        <v>44</v>
      </c>
      <c r="F110" s="171" t="str">
        <f t="shared" si="68"/>
        <v>SCADA/Network controlReplacement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3:16" hidden="1" outlineLevel="1" x14ac:dyDescent="0.3">
      <c r="D111" t="s">
        <v>195</v>
      </c>
      <c r="E111" t="s">
        <v>66</v>
      </c>
      <c r="F111" s="171" t="str">
        <f t="shared" si="68"/>
        <v>LandNon-Network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</row>
    <row r="112" spans="3:16" hidden="1" outlineLevel="1" x14ac:dyDescent="0.3">
      <c r="F112" s="171"/>
      <c r="K112" s="6">
        <v>3455.0321018299146</v>
      </c>
      <c r="L112" s="6">
        <v>833.08049999999992</v>
      </c>
      <c r="M112" s="6">
        <v>594.97674418604652</v>
      </c>
      <c r="N112" s="6">
        <v>1804.6871265664483</v>
      </c>
      <c r="O112" s="6">
        <v>259.70364986423402</v>
      </c>
      <c r="P112" s="6">
        <v>6947.4801224466437</v>
      </c>
    </row>
    <row r="113" spans="3:16" hidden="1" outlineLevel="1" x14ac:dyDescent="0.3">
      <c r="F113" s="171"/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</row>
    <row r="114" spans="3:16" hidden="1" outlineLevel="1" x14ac:dyDescent="0.3">
      <c r="C114" t="s">
        <v>17</v>
      </c>
      <c r="D114" t="s">
        <v>19</v>
      </c>
      <c r="E114" t="s">
        <v>42</v>
      </c>
      <c r="F114" s="171" t="str">
        <f t="shared" si="66"/>
        <v>Distribution system assetsAugmentation</v>
      </c>
      <c r="K114" s="6">
        <v>635.96667534883716</v>
      </c>
      <c r="L114" s="6">
        <v>255.24533967223158</v>
      </c>
      <c r="M114" s="6">
        <v>108.79149767441859</v>
      </c>
      <c r="N114" s="6">
        <v>1787.5113532053902</v>
      </c>
      <c r="O114" s="6">
        <v>192.71497888417798</v>
      </c>
      <c r="P114" s="6">
        <v>2980.2298447850553</v>
      </c>
    </row>
    <row r="115" spans="3:16" hidden="1" outlineLevel="1" x14ac:dyDescent="0.3">
      <c r="D115" t="s">
        <v>19</v>
      </c>
      <c r="E115" t="s">
        <v>44</v>
      </c>
      <c r="F115" s="171" t="str">
        <f t="shared" si="66"/>
        <v>Distribution system assetsReplacement</v>
      </c>
      <c r="K115" s="39">
        <v>0</v>
      </c>
      <c r="L115" s="39">
        <v>7.0772449270418232</v>
      </c>
      <c r="M115" s="39">
        <v>0</v>
      </c>
      <c r="N115" s="39">
        <v>153.29560939534881</v>
      </c>
      <c r="O115" s="39">
        <v>0</v>
      </c>
      <c r="P115" s="39">
        <v>160.37285432239062</v>
      </c>
    </row>
    <row r="116" spans="3:16" hidden="1" outlineLevel="1" x14ac:dyDescent="0.3">
      <c r="K116" s="14">
        <v>635.96667534883716</v>
      </c>
      <c r="L116" s="14">
        <v>262.3225845992734</v>
      </c>
      <c r="M116" s="14">
        <v>108.79149767441859</v>
      </c>
      <c r="N116" s="14">
        <v>1940.8069626007389</v>
      </c>
      <c r="O116" s="14">
        <v>192.71497888417798</v>
      </c>
      <c r="P116" s="14">
        <v>3140.6026991074459</v>
      </c>
    </row>
    <row r="117" spans="3:16" hidden="1" outlineLevel="1" x14ac:dyDescent="0.3">
      <c r="K117" s="19">
        <f>K116-K70</f>
        <v>0</v>
      </c>
      <c r="L117" s="19">
        <f t="shared" ref="L117:P117" si="69">L116-L70</f>
        <v>0</v>
      </c>
      <c r="M117" s="19">
        <f t="shared" si="69"/>
        <v>0</v>
      </c>
      <c r="N117" s="19">
        <f t="shared" si="69"/>
        <v>0</v>
      </c>
      <c r="O117" s="19">
        <f t="shared" si="69"/>
        <v>0</v>
      </c>
      <c r="P117" s="19">
        <f t="shared" si="69"/>
        <v>0</v>
      </c>
    </row>
    <row r="118" spans="3:16" collapsed="1" x14ac:dyDescent="0.3"/>
  </sheetData>
  <mergeCells count="3">
    <mergeCell ref="G3:I3"/>
    <mergeCell ref="K3:P3"/>
    <mergeCell ref="R3:X3"/>
  </mergeCells>
  <pageMargins left="0.25" right="0.25" top="0.75" bottom="0.75" header="0.3" footer="0.3"/>
  <pageSetup paperSize="9" scale="73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B1:BA122"/>
  <sheetViews>
    <sheetView zoomScale="85" zoomScaleNormal="85" workbookViewId="0">
      <pane xSplit="3" ySplit="4" topLeftCell="G5" activePane="bottomRight" state="frozen"/>
      <selection activeCell="N1" sqref="N1"/>
      <selection pane="topRight" activeCell="N1" sqref="N1"/>
      <selection pane="bottomLeft" activeCell="N1" sqref="N1"/>
      <selection pane="bottomRight" activeCell="C5" sqref="C5"/>
    </sheetView>
  </sheetViews>
  <sheetFormatPr defaultRowHeight="14.4" outlineLevelRow="1" outlineLevelCol="1" x14ac:dyDescent="0.3"/>
  <cols>
    <col min="1" max="1" width="2.33203125" customWidth="1"/>
    <col min="2" max="2" width="3" customWidth="1"/>
    <col min="3" max="3" width="52" customWidth="1"/>
    <col min="4" max="5" width="21.33203125" hidden="1" customWidth="1" outlineLevel="1"/>
    <col min="6" max="6" width="32.88671875" hidden="1" customWidth="1" outlineLevel="1"/>
    <col min="7" max="7" width="9.33203125" customWidth="1" collapsed="1"/>
    <col min="8" max="8" width="8.6640625" customWidth="1"/>
    <col min="9" max="9" width="10.6640625" customWidth="1"/>
    <col min="10" max="10" width="2.33203125" customWidth="1"/>
    <col min="11" max="11" width="10.5546875" customWidth="1"/>
    <col min="12" max="12" width="9.44140625" bestFit="1" customWidth="1"/>
    <col min="13" max="13" width="9.44140625" customWidth="1"/>
    <col min="14" max="14" width="12.33203125" customWidth="1"/>
    <col min="15" max="15" width="9.109375" bestFit="1" customWidth="1"/>
    <col min="16" max="16" width="10.33203125" customWidth="1"/>
    <col min="17" max="18" width="9.33203125" bestFit="1" customWidth="1"/>
    <col min="19" max="19" width="10.33203125" customWidth="1"/>
    <col min="20" max="20" width="9.5546875" bestFit="1" customWidth="1"/>
    <col min="26" max="35" width="8.88671875" hidden="1" customWidth="1" outlineLevel="1"/>
    <col min="36" max="36" width="8.88671875" collapsed="1"/>
  </cols>
  <sheetData>
    <row r="1" spans="2:33" x14ac:dyDescent="0.3">
      <c r="N1" s="567" t="s">
        <v>425</v>
      </c>
    </row>
    <row r="2" spans="2:33" x14ac:dyDescent="0.3">
      <c r="B2" s="22" t="str">
        <f>STN_5&amp;" Volumes &amp; Unit Rates"</f>
        <v>MOE Volumes &amp; Unit Rates</v>
      </c>
      <c r="R2" s="176"/>
      <c r="S2" s="176"/>
      <c r="T2" s="176"/>
      <c r="U2" s="176"/>
      <c r="V2" s="176"/>
      <c r="W2" s="176"/>
      <c r="X2" s="176"/>
    </row>
    <row r="3" spans="2:33" x14ac:dyDescent="0.3">
      <c r="B3" t="str">
        <f>STN_5</f>
        <v>MOE</v>
      </c>
      <c r="G3" s="596" t="s">
        <v>135</v>
      </c>
      <c r="H3" s="597"/>
      <c r="I3" s="598"/>
      <c r="K3" s="596" t="s">
        <v>633</v>
      </c>
      <c r="L3" s="597"/>
      <c r="M3" s="597"/>
      <c r="N3" s="597"/>
      <c r="O3" s="597"/>
      <c r="P3" s="598"/>
      <c r="R3" s="596" t="s">
        <v>352</v>
      </c>
      <c r="S3" s="597"/>
      <c r="T3" s="597"/>
      <c r="U3" s="597"/>
      <c r="V3" s="597"/>
      <c r="W3" s="597"/>
      <c r="X3" s="598"/>
    </row>
    <row r="4" spans="2:33" ht="45" customHeight="1" x14ac:dyDescent="0.3">
      <c r="D4" t="s">
        <v>362</v>
      </c>
      <c r="E4" t="s">
        <v>84</v>
      </c>
      <c r="G4" s="221" t="s">
        <v>634</v>
      </c>
      <c r="H4" s="230" t="s">
        <v>265</v>
      </c>
      <c r="I4" s="220" t="s">
        <v>293</v>
      </c>
      <c r="K4" s="220" t="s">
        <v>135</v>
      </c>
      <c r="L4" s="220" t="s">
        <v>290</v>
      </c>
      <c r="M4" s="295" t="s">
        <v>136</v>
      </c>
      <c r="N4" s="221" t="s">
        <v>137</v>
      </c>
      <c r="O4" s="220" t="s">
        <v>60</v>
      </c>
      <c r="P4" s="220" t="s">
        <v>291</v>
      </c>
      <c r="Q4" s="266" t="s">
        <v>114</v>
      </c>
      <c r="R4" s="298" t="s">
        <v>285</v>
      </c>
      <c r="S4" s="298" t="s">
        <v>289</v>
      </c>
      <c r="T4" s="298" t="s">
        <v>256</v>
      </c>
      <c r="U4" s="298" t="s">
        <v>286</v>
      </c>
      <c r="V4" s="298" t="s">
        <v>287</v>
      </c>
      <c r="W4" s="298" t="s">
        <v>288</v>
      </c>
      <c r="X4" s="298" t="s">
        <v>345</v>
      </c>
      <c r="Y4" s="460" t="s">
        <v>485</v>
      </c>
    </row>
    <row r="5" spans="2:33" x14ac:dyDescent="0.3">
      <c r="B5" s="248" t="s">
        <v>314</v>
      </c>
      <c r="C5" s="292"/>
      <c r="D5" s="292"/>
      <c r="E5" s="292"/>
      <c r="F5" s="292"/>
      <c r="G5" s="221"/>
      <c r="H5" s="293"/>
      <c r="I5" s="294"/>
      <c r="J5" s="292"/>
      <c r="K5" s="294"/>
      <c r="L5" s="294"/>
      <c r="M5" s="294"/>
      <c r="N5" s="295"/>
      <c r="O5" s="294"/>
      <c r="P5" s="294"/>
      <c r="R5" s="325">
        <f>Lab_Rates!$C$6*(1+Escalators!C5)*(1+Escalators!C15)</f>
        <v>158.45839054425579</v>
      </c>
      <c r="S5" s="325">
        <f>Lab_Rates!$C$7*(1+Escalators!C5)*(1+Escalators!C15)</f>
        <v>148.03349642950209</v>
      </c>
      <c r="T5" s="325">
        <f>Lab_Rates!$C$8*(1+Escalators!C5)*(1+Escalators!C15)</f>
        <v>172.01075289343555</v>
      </c>
      <c r="U5" s="325">
        <f>Lab_Rates!$C$9*(1+Escalators!C5)*(1+Escalators!C15)</f>
        <v>224.1352234672039</v>
      </c>
      <c r="V5" s="325">
        <f>Lab_Rates!$C$6*(1+Escalators!C5)*(1+Escalators!C15)</f>
        <v>158.45839054425579</v>
      </c>
      <c r="W5" s="325">
        <f>Lab_Rates!$C$10*(1+Escalators!C5)*(1+Escalators!C15)</f>
        <v>158.45839054425579</v>
      </c>
      <c r="X5" s="325">
        <f>Lab_Rates!$C$5*(1+Escalators!C5)*(1+Escalators!C15)</f>
        <v>130.31117643442087</v>
      </c>
    </row>
    <row r="6" spans="2:33" x14ac:dyDescent="0.3">
      <c r="B6" s="251"/>
      <c r="C6" s="171"/>
      <c r="D6" s="171"/>
      <c r="E6" s="171"/>
      <c r="F6" s="171"/>
      <c r="G6" s="271"/>
      <c r="H6" s="231"/>
      <c r="I6" s="264"/>
      <c r="K6" s="271"/>
      <c r="L6" s="271"/>
      <c r="M6" s="271"/>
      <c r="N6" s="222"/>
      <c r="O6" s="271"/>
      <c r="P6" s="223"/>
      <c r="R6" s="326"/>
      <c r="S6" s="326"/>
      <c r="T6" s="326"/>
      <c r="U6" s="326"/>
      <c r="V6" s="326"/>
      <c r="W6" s="326"/>
      <c r="X6" s="326"/>
    </row>
    <row r="7" spans="2:33" x14ac:dyDescent="0.3">
      <c r="B7" s="232" t="s">
        <v>315</v>
      </c>
      <c r="D7" t="s">
        <v>365</v>
      </c>
      <c r="E7" t="s">
        <v>365</v>
      </c>
      <c r="G7" s="309"/>
      <c r="H7" s="314"/>
      <c r="I7" s="315"/>
      <c r="K7" s="309"/>
      <c r="L7" s="271">
        <f>SUMPRODUCT(R$5:X$5,R7:X7)/Thousands</f>
        <v>0</v>
      </c>
      <c r="M7" s="447">
        <v>644.55813953488359</v>
      </c>
      <c r="N7" s="447"/>
      <c r="O7" s="309"/>
      <c r="P7" s="223">
        <f t="shared" ref="P7" si="0">SUM(K7:O7)</f>
        <v>644.55813953488359</v>
      </c>
      <c r="Q7" s="19"/>
      <c r="R7" s="327">
        <v>0</v>
      </c>
      <c r="S7" s="328"/>
      <c r="T7" s="328"/>
      <c r="U7" s="328"/>
      <c r="V7" s="328"/>
      <c r="W7" s="328"/>
      <c r="X7" s="328"/>
    </row>
    <row r="8" spans="2:33" x14ac:dyDescent="0.3">
      <c r="B8" s="234"/>
      <c r="C8" s="42"/>
      <c r="D8" s="42"/>
      <c r="E8" s="42"/>
      <c r="F8" s="42"/>
      <c r="G8" s="241"/>
      <c r="H8" s="284"/>
      <c r="I8" s="263"/>
      <c r="K8" s="241"/>
      <c r="L8" s="241"/>
      <c r="M8" s="241"/>
      <c r="N8" s="310"/>
      <c r="O8" s="310"/>
      <c r="P8" s="242"/>
      <c r="R8" s="326"/>
      <c r="S8" s="326"/>
      <c r="T8" s="326"/>
      <c r="U8" s="326"/>
      <c r="V8" s="326"/>
      <c r="W8" s="326"/>
      <c r="X8" s="326"/>
    </row>
    <row r="9" spans="2:33" x14ac:dyDescent="0.3">
      <c r="B9" s="237" t="s">
        <v>269</v>
      </c>
      <c r="C9" s="238"/>
      <c r="D9" s="292"/>
      <c r="E9" s="292"/>
      <c r="F9" s="292"/>
      <c r="G9" s="239"/>
      <c r="H9" s="285"/>
      <c r="I9" s="220"/>
      <c r="K9" s="239"/>
      <c r="L9" s="239"/>
      <c r="M9" s="354"/>
      <c r="N9" s="311"/>
      <c r="O9" s="311"/>
      <c r="P9" s="243"/>
      <c r="R9" s="326"/>
      <c r="S9" s="326"/>
      <c r="T9" s="326"/>
      <c r="U9" s="326"/>
      <c r="V9" s="326"/>
      <c r="W9" s="326"/>
      <c r="X9" s="326"/>
    </row>
    <row r="10" spans="2:33" x14ac:dyDescent="0.3">
      <c r="B10" s="232"/>
      <c r="C10" s="171" t="s">
        <v>270</v>
      </c>
      <c r="D10" s="171" t="s">
        <v>365</v>
      </c>
      <c r="E10" s="171" t="s">
        <v>365</v>
      </c>
      <c r="F10" s="171"/>
      <c r="G10" s="309"/>
      <c r="H10" s="314"/>
      <c r="I10" s="315"/>
      <c r="K10" s="307"/>
      <c r="L10" s="225">
        <f>SUMPRODUCT(R$5:X$5,R10:X10)/Thousands</f>
        <v>48.694000000000003</v>
      </c>
      <c r="M10" s="306"/>
      <c r="N10" s="306">
        <v>0</v>
      </c>
      <c r="O10" s="307"/>
      <c r="P10" s="223">
        <f>SUM(K10:O10)</f>
        <v>48.694000000000003</v>
      </c>
      <c r="Q10" s="19"/>
      <c r="R10" s="327">
        <v>207.21403142993009</v>
      </c>
      <c r="S10" s="327">
        <v>77.473237968352223</v>
      </c>
      <c r="T10" s="327">
        <v>15.400463648641693</v>
      </c>
      <c r="U10" s="327">
        <v>7.7699453535485565</v>
      </c>
      <c r="V10" s="327">
        <v>0</v>
      </c>
      <c r="W10" s="327">
        <v>0</v>
      </c>
      <c r="X10" s="327">
        <v>0</v>
      </c>
      <c r="Y10" s="14">
        <f>SUM(R10:X10)</f>
        <v>307.85767840047254</v>
      </c>
      <c r="AA10" s="15"/>
      <c r="AB10" s="15"/>
      <c r="AC10" s="15"/>
      <c r="AD10" s="15"/>
      <c r="AE10" s="15"/>
      <c r="AF10" s="15"/>
      <c r="AG10" s="15"/>
    </row>
    <row r="11" spans="2:33" x14ac:dyDescent="0.3">
      <c r="B11" s="232"/>
      <c r="C11" s="171" t="s">
        <v>271</v>
      </c>
      <c r="D11" s="171" t="s">
        <v>365</v>
      </c>
      <c r="E11" s="171" t="s">
        <v>365</v>
      </c>
      <c r="F11" s="171"/>
      <c r="G11" s="309"/>
      <c r="H11" s="314"/>
      <c r="I11" s="315"/>
      <c r="K11" s="307"/>
      <c r="L11" s="225">
        <f>SUMPRODUCT(R$5:X$5,R11:X11)/Thousands</f>
        <v>438.20600000000002</v>
      </c>
      <c r="M11" s="306"/>
      <c r="N11" s="447">
        <v>0</v>
      </c>
      <c r="O11" s="307"/>
      <c r="P11" s="223">
        <f>SUM(K11:O11)</f>
        <v>438.20600000000002</v>
      </c>
      <c r="Q11" s="19"/>
      <c r="R11" s="327">
        <v>287.37673010609427</v>
      </c>
      <c r="S11" s="327">
        <v>0</v>
      </c>
      <c r="T11" s="327">
        <v>634.41683968168445</v>
      </c>
      <c r="U11" s="327">
        <v>79.560675411509436</v>
      </c>
      <c r="V11" s="327">
        <v>814.71302985077727</v>
      </c>
      <c r="W11" s="327">
        <v>862.13019031828287</v>
      </c>
      <c r="X11" s="327">
        <v>0</v>
      </c>
      <c r="Y11" s="14">
        <f t="shared" ref="Y11:Y13" si="1">SUM(R11:X11)</f>
        <v>2678.1974653683483</v>
      </c>
      <c r="AA11" s="15"/>
      <c r="AB11" s="15"/>
      <c r="AC11" s="15"/>
      <c r="AD11" s="15"/>
      <c r="AE11" s="15"/>
      <c r="AF11" s="15"/>
      <c r="AG11" s="15"/>
    </row>
    <row r="12" spans="2:33" x14ac:dyDescent="0.3">
      <c r="B12" s="232"/>
      <c r="C12" s="171" t="s">
        <v>304</v>
      </c>
      <c r="D12" s="171" t="s">
        <v>365</v>
      </c>
      <c r="E12" s="171" t="s">
        <v>365</v>
      </c>
      <c r="F12" s="171"/>
      <c r="G12" s="309"/>
      <c r="H12" s="314"/>
      <c r="I12" s="315"/>
      <c r="K12" s="307"/>
      <c r="L12" s="225">
        <f>SUMPRODUCT(R$5:X$5,R12:X12)/Thousands</f>
        <v>234.15000000000003</v>
      </c>
      <c r="M12" s="306"/>
      <c r="N12" s="306">
        <v>0</v>
      </c>
      <c r="O12" s="307"/>
      <c r="P12" s="223">
        <f>SUM(K12:O12)</f>
        <v>234.15000000000003</v>
      </c>
      <c r="Q12" s="19"/>
      <c r="R12" s="327">
        <v>0</v>
      </c>
      <c r="S12" s="327">
        <v>0</v>
      </c>
      <c r="T12" s="327">
        <v>301.04328725272808</v>
      </c>
      <c r="U12" s="327">
        <v>0</v>
      </c>
      <c r="V12" s="327">
        <v>428.03608650749743</v>
      </c>
      <c r="W12" s="327">
        <v>134.66303845179695</v>
      </c>
      <c r="X12" s="327">
        <v>715.23350762884866</v>
      </c>
      <c r="Y12" s="14">
        <f t="shared" si="1"/>
        <v>1578.975919840871</v>
      </c>
      <c r="AA12" s="15"/>
      <c r="AB12" s="15"/>
      <c r="AC12" s="15"/>
      <c r="AD12" s="15"/>
      <c r="AE12" s="15"/>
      <c r="AF12" s="15"/>
      <c r="AG12" s="15"/>
    </row>
    <row r="13" spans="2:33" x14ac:dyDescent="0.3">
      <c r="B13" s="232"/>
      <c r="C13" s="171" t="s">
        <v>272</v>
      </c>
      <c r="D13" s="171" t="s">
        <v>365</v>
      </c>
      <c r="E13" s="171" t="s">
        <v>365</v>
      </c>
      <c r="F13" s="171"/>
      <c r="G13" s="309"/>
      <c r="H13" s="314"/>
      <c r="I13" s="315"/>
      <c r="K13" s="307"/>
      <c r="L13" s="225">
        <f>SUMPRODUCT(R$5:X$5,R13:X13)/Thousands</f>
        <v>124.9875</v>
      </c>
      <c r="M13" s="306"/>
      <c r="N13" s="306">
        <v>0</v>
      </c>
      <c r="O13" s="307"/>
      <c r="P13" s="223">
        <f>SUM(K13:O13)</f>
        <v>124.9875</v>
      </c>
      <c r="Q13" s="19"/>
      <c r="R13" s="327">
        <v>0</v>
      </c>
      <c r="S13" s="327">
        <v>0</v>
      </c>
      <c r="T13" s="327">
        <v>726.62608527405553</v>
      </c>
      <c r="U13" s="327">
        <v>0</v>
      </c>
      <c r="V13" s="327">
        <v>0</v>
      </c>
      <c r="W13" s="327">
        <v>0</v>
      </c>
      <c r="X13" s="327">
        <v>0</v>
      </c>
      <c r="Y13" s="14">
        <f t="shared" si="1"/>
        <v>726.62608527405553</v>
      </c>
      <c r="AA13" s="15"/>
      <c r="AB13" s="15"/>
      <c r="AC13" s="15"/>
      <c r="AD13" s="15"/>
      <c r="AE13" s="15"/>
      <c r="AF13" s="15"/>
      <c r="AG13" s="15"/>
    </row>
    <row r="14" spans="2:33" x14ac:dyDescent="0.3">
      <c r="B14" s="234"/>
      <c r="C14" s="42"/>
      <c r="D14" s="42"/>
      <c r="E14" s="42"/>
      <c r="F14" s="42"/>
      <c r="G14" s="241"/>
      <c r="H14" s="240"/>
      <c r="I14" s="263"/>
      <c r="K14" s="244"/>
      <c r="L14" s="245"/>
      <c r="M14" s="245"/>
      <c r="N14" s="246"/>
      <c r="O14" s="244"/>
      <c r="P14" s="247"/>
      <c r="R14" s="326"/>
      <c r="S14" s="326"/>
      <c r="T14" s="326"/>
      <c r="U14" s="326"/>
      <c r="V14" s="326"/>
      <c r="W14" s="326"/>
      <c r="X14" s="326"/>
    </row>
    <row r="15" spans="2:33" x14ac:dyDescent="0.3">
      <c r="B15" s="237" t="s">
        <v>261</v>
      </c>
      <c r="C15" s="238"/>
      <c r="D15" s="292"/>
      <c r="E15" s="292"/>
      <c r="F15" s="292"/>
      <c r="G15" s="297"/>
      <c r="H15" s="248"/>
      <c r="I15" s="243"/>
      <c r="K15" s="249"/>
      <c r="L15" s="249"/>
      <c r="M15" s="355"/>
      <c r="N15" s="249"/>
      <c r="O15" s="249"/>
      <c r="P15" s="250"/>
      <c r="Q15" s="11"/>
      <c r="R15" s="329"/>
      <c r="S15" s="326"/>
      <c r="T15" s="326"/>
      <c r="U15" s="326"/>
      <c r="V15" s="326"/>
      <c r="W15" s="326"/>
      <c r="X15" s="326"/>
      <c r="AA15" s="28"/>
      <c r="AB15" s="28"/>
      <c r="AC15" s="28"/>
      <c r="AD15" s="28"/>
      <c r="AE15" s="28"/>
      <c r="AF15" s="28"/>
      <c r="AG15" s="28"/>
    </row>
    <row r="16" spans="2:33" x14ac:dyDescent="0.3">
      <c r="B16" s="251" t="s">
        <v>263</v>
      </c>
      <c r="C16" s="171"/>
      <c r="D16" s="171"/>
      <c r="E16" s="171"/>
      <c r="F16" s="171"/>
      <c r="G16" s="228"/>
      <c r="H16" s="232"/>
      <c r="I16" s="224"/>
      <c r="J16" s="157"/>
      <c r="K16" s="225"/>
      <c r="L16" s="225"/>
      <c r="M16" s="225"/>
      <c r="N16" s="225"/>
      <c r="O16" s="225"/>
      <c r="P16" s="224"/>
      <c r="R16" s="326"/>
      <c r="S16" s="326"/>
      <c r="T16" s="326"/>
      <c r="U16" s="326"/>
      <c r="V16" s="326"/>
      <c r="W16" s="326"/>
      <c r="X16" s="326"/>
      <c r="AA16" s="28"/>
      <c r="AB16" s="28"/>
      <c r="AC16" s="28"/>
      <c r="AD16" s="28"/>
      <c r="AE16" s="28"/>
      <c r="AF16" s="28"/>
      <c r="AG16" s="28"/>
    </row>
    <row r="17" spans="2:33" x14ac:dyDescent="0.3">
      <c r="B17" s="232"/>
      <c r="C17" s="171" t="s">
        <v>306</v>
      </c>
      <c r="D17" s="171" t="str">
        <f>INDEX(Unit_Rates!$C$7:$K$54,MATCH($C17,Unit_Rates!$C$7:$C$54,0),5)</f>
        <v>Subtransmission</v>
      </c>
      <c r="E17" s="171" t="str">
        <f>INDEX(Unit_Rates!$C$7:$K$54,MATCH($C17,Unit_Rates!$C$7:$C$54,0),6)</f>
        <v>Augmentation</v>
      </c>
      <c r="F17" s="171" t="str">
        <f>D17&amp;E17</f>
        <v>SubtransmissionAugmentation</v>
      </c>
      <c r="G17" s="268">
        <f>INDEX(Unit_Rates!$C$7:$K$54,MATCH($C17,Unit_Rates!$C$7:$C$54,0),7)</f>
        <v>78.838847145488032</v>
      </c>
      <c r="H17" s="299"/>
      <c r="I17" s="264" t="s">
        <v>292</v>
      </c>
      <c r="J17" s="157"/>
      <c r="K17" s="226">
        <f>G17*$H17</f>
        <v>0</v>
      </c>
      <c r="L17" s="302">
        <f t="shared" ref="L17:L39" si="2">SUMPRODUCT(R$5:X$5,R17:X17)/Thousands</f>
        <v>0</v>
      </c>
      <c r="M17" s="356"/>
      <c r="N17" s="568"/>
      <c r="O17" s="573"/>
      <c r="P17" s="569"/>
      <c r="Q17" s="336">
        <f>P17-H17*VLOOKUP(C17,Unit_Rates!$C$7:$E$39,3,FALSE)</f>
        <v>0</v>
      </c>
      <c r="R17" s="327">
        <v>0</v>
      </c>
      <c r="S17" s="327">
        <v>0</v>
      </c>
      <c r="T17" s="327">
        <v>0</v>
      </c>
      <c r="U17" s="327">
        <v>0</v>
      </c>
      <c r="V17" s="327">
        <v>0</v>
      </c>
      <c r="W17" s="327">
        <v>0</v>
      </c>
      <c r="X17" s="327">
        <v>0</v>
      </c>
      <c r="Y17" s="14">
        <f t="shared" ref="Y17:Y40" si="3">SUM(R17:X17)</f>
        <v>0</v>
      </c>
      <c r="AA17" s="28"/>
      <c r="AB17" s="28"/>
      <c r="AC17" s="28"/>
      <c r="AD17" s="28"/>
      <c r="AE17" s="28"/>
      <c r="AF17" s="28"/>
      <c r="AG17" s="28"/>
    </row>
    <row r="18" spans="2:33" x14ac:dyDescent="0.3">
      <c r="B18" s="232"/>
      <c r="C18" s="171" t="s">
        <v>329</v>
      </c>
      <c r="D18" s="171" t="str">
        <f>INDEX(Unit_Rates!$C$7:$K$54,MATCH($C18,Unit_Rates!$C$7:$C$54,0),5)</f>
        <v>Subtransmission</v>
      </c>
      <c r="E18" s="171" t="str">
        <f>INDEX(Unit_Rates!$C$7:$K$54,MATCH($C18,Unit_Rates!$C$7:$C$54,0),6)</f>
        <v>Augmentation</v>
      </c>
      <c r="F18" s="171" t="str">
        <f t="shared" ref="F18:F39" si="4">D18&amp;E18</f>
        <v>SubtransmissionAugmentation</v>
      </c>
      <c r="G18" s="268">
        <f>INDEX(Unit_Rates!$C$7:$K$54,MATCH($C18,Unit_Rates!$C$7:$C$54,0),7)</f>
        <v>90.745458563535905</v>
      </c>
      <c r="H18" s="299">
        <v>2</v>
      </c>
      <c r="I18" s="264" t="s">
        <v>292</v>
      </c>
      <c r="J18" s="157"/>
      <c r="K18" s="226">
        <f>G18*$H18</f>
        <v>181.49091712707181</v>
      </c>
      <c r="L18" s="302">
        <f t="shared" si="2"/>
        <v>0</v>
      </c>
      <c r="M18" s="356"/>
      <c r="N18" s="568"/>
      <c r="O18" s="573"/>
      <c r="P18" s="569"/>
      <c r="Q18" s="336">
        <f>P18-H18*VLOOKUP(C18,Unit_Rates!$C$7:$E$39,3,FALSE)</f>
        <v>0</v>
      </c>
      <c r="R18" s="327">
        <v>0</v>
      </c>
      <c r="S18" s="327">
        <v>0</v>
      </c>
      <c r="T18" s="327">
        <v>0</v>
      </c>
      <c r="U18" s="327">
        <v>0</v>
      </c>
      <c r="V18" s="327">
        <v>0</v>
      </c>
      <c r="W18" s="327">
        <v>0</v>
      </c>
      <c r="X18" s="327">
        <v>0</v>
      </c>
      <c r="Y18" s="14">
        <f t="shared" si="3"/>
        <v>0</v>
      </c>
      <c r="AA18" s="28"/>
      <c r="AB18" s="28"/>
      <c r="AC18" s="28"/>
      <c r="AD18" s="28"/>
      <c r="AE18" s="28"/>
      <c r="AF18" s="28"/>
      <c r="AG18" s="28"/>
    </row>
    <row r="19" spans="2:33" x14ac:dyDescent="0.3">
      <c r="B19" s="232"/>
      <c r="C19" s="171" t="s">
        <v>502</v>
      </c>
      <c r="D19" s="171" t="str">
        <f>INDEX(Unit_Rates!$C$7:$K$54,MATCH($C19,Unit_Rates!$C$7:$C$54,0),5)</f>
        <v>Subtransmission</v>
      </c>
      <c r="E19" s="171" t="str">
        <f>INDEX(Unit_Rates!$C$7:$K$54,MATCH($C19,Unit_Rates!$C$7:$C$54,0),6)</f>
        <v>Augmentation</v>
      </c>
      <c r="F19" s="171" t="str">
        <f t="shared" si="4"/>
        <v>SubtransmissionAugmentation</v>
      </c>
      <c r="G19" s="268">
        <f>INDEX(Unit_Rates!$C$7:$K$54,MATCH($C19,Unit_Rates!$C$7:$C$54,0),7)</f>
        <v>25.236519337016578</v>
      </c>
      <c r="H19" s="299">
        <v>1</v>
      </c>
      <c r="I19" s="264" t="s">
        <v>292</v>
      </c>
      <c r="J19" s="157"/>
      <c r="K19" s="226">
        <f>G19*H19</f>
        <v>25.236519337016578</v>
      </c>
      <c r="L19" s="302">
        <f t="shared" si="2"/>
        <v>0</v>
      </c>
      <c r="M19" s="356"/>
      <c r="N19" s="568"/>
      <c r="O19" s="573"/>
      <c r="P19" s="569"/>
      <c r="Q19" s="336">
        <f>P19-H19*VLOOKUP(C19,Unit_Rates!$C$7:$E$39,3,FALSE)</f>
        <v>0</v>
      </c>
      <c r="R19" s="327">
        <v>0</v>
      </c>
      <c r="S19" s="327">
        <v>0</v>
      </c>
      <c r="T19" s="327">
        <v>0</v>
      </c>
      <c r="U19" s="327">
        <v>0</v>
      </c>
      <c r="V19" s="327">
        <v>0</v>
      </c>
      <c r="W19" s="327">
        <v>0</v>
      </c>
      <c r="X19" s="327">
        <v>0</v>
      </c>
      <c r="Y19" s="14">
        <f t="shared" si="3"/>
        <v>0</v>
      </c>
    </row>
    <row r="20" spans="2:33" x14ac:dyDescent="0.3">
      <c r="B20" s="232"/>
      <c r="C20" s="171" t="s">
        <v>503</v>
      </c>
      <c r="D20" s="171" t="str">
        <f>INDEX(Unit_Rates!$C$7:$K$54,MATCH($C20,Unit_Rates!$C$7:$C$54,0),5)</f>
        <v>Subtransmission</v>
      </c>
      <c r="E20" s="171" t="str">
        <f>INDEX(Unit_Rates!$C$7:$K$54,MATCH($C20,Unit_Rates!$C$7:$C$54,0),6)</f>
        <v>Augmentation</v>
      </c>
      <c r="F20" s="171" t="str">
        <f t="shared" si="4"/>
        <v>SubtransmissionAugmentation</v>
      </c>
      <c r="G20" s="268">
        <f>INDEX(Unit_Rates!$C$7:$K$54,MATCH($C20,Unit_Rates!$C$7:$C$54,0),7)</f>
        <v>38.571335174953965</v>
      </c>
      <c r="H20" s="299">
        <v>1</v>
      </c>
      <c r="I20" s="264" t="s">
        <v>292</v>
      </c>
      <c r="J20" s="157"/>
      <c r="K20" s="226">
        <f>G20*H20</f>
        <v>38.571335174953965</v>
      </c>
      <c r="L20" s="302">
        <f t="shared" si="2"/>
        <v>0</v>
      </c>
      <c r="M20" s="356"/>
      <c r="N20" s="568"/>
      <c r="O20" s="573"/>
      <c r="P20" s="569"/>
      <c r="Q20" s="336">
        <f>P20-H20*VLOOKUP(C20,Unit_Rates!$C$7:$E$39,3,FALSE)</f>
        <v>0</v>
      </c>
      <c r="R20" s="327">
        <v>0</v>
      </c>
      <c r="S20" s="327">
        <v>0</v>
      </c>
      <c r="T20" s="327">
        <v>0</v>
      </c>
      <c r="U20" s="327">
        <v>0</v>
      </c>
      <c r="V20" s="327">
        <v>0</v>
      </c>
      <c r="W20" s="327">
        <v>0</v>
      </c>
      <c r="X20" s="327">
        <v>0</v>
      </c>
      <c r="Y20" s="14">
        <f t="shared" si="3"/>
        <v>0</v>
      </c>
      <c r="AA20" s="28"/>
      <c r="AB20" s="28"/>
      <c r="AC20" s="28"/>
      <c r="AD20" s="28"/>
      <c r="AE20" s="28"/>
      <c r="AF20" s="28"/>
      <c r="AG20" s="28"/>
    </row>
    <row r="21" spans="2:33" x14ac:dyDescent="0.3">
      <c r="B21" s="232"/>
      <c r="C21" s="171" t="s">
        <v>266</v>
      </c>
      <c r="D21" s="171" t="str">
        <f>INDEX(Unit_Rates!$C$7:$K$54,MATCH($C21,Unit_Rates!$C$7:$C$54,0),5)</f>
        <v>SCADA/Network control</v>
      </c>
      <c r="E21" s="171" t="str">
        <f>INDEX(Unit_Rates!$C$7:$K$54,MATCH($C21,Unit_Rates!$C$7:$C$54,0),6)</f>
        <v>Augmentation</v>
      </c>
      <c r="F21" s="171" t="str">
        <f t="shared" si="4"/>
        <v>SCADA/Network controlAugmentation</v>
      </c>
      <c r="G21" s="268">
        <f>INDEX(Unit_Rates!$C$7:$K$54,MATCH($C21,Unit_Rates!$C$7:$C$54,0),7)</f>
        <v>1084.7777777777778</v>
      </c>
      <c r="H21" s="299">
        <v>2</v>
      </c>
      <c r="I21" s="264" t="s">
        <v>292</v>
      </c>
      <c r="J21" s="157"/>
      <c r="K21" s="226">
        <f>G21*H21</f>
        <v>2169.5555555555557</v>
      </c>
      <c r="L21" s="302">
        <f t="shared" si="2"/>
        <v>0</v>
      </c>
      <c r="M21" s="356"/>
      <c r="N21" s="568"/>
      <c r="O21" s="573"/>
      <c r="P21" s="569"/>
      <c r="Q21" s="336">
        <f>P21-H21*VLOOKUP(C21,Unit_Rates!$C$7:$E$39,3,FALSE)</f>
        <v>0</v>
      </c>
      <c r="R21" s="327">
        <v>0</v>
      </c>
      <c r="S21" s="327">
        <v>0</v>
      </c>
      <c r="T21" s="327">
        <v>0</v>
      </c>
      <c r="U21" s="327">
        <v>0</v>
      </c>
      <c r="V21" s="327">
        <v>0</v>
      </c>
      <c r="W21" s="327">
        <v>0</v>
      </c>
      <c r="X21" s="327">
        <v>0</v>
      </c>
      <c r="Y21" s="14">
        <f t="shared" si="3"/>
        <v>0</v>
      </c>
      <c r="AA21" s="28"/>
      <c r="AB21" s="28"/>
      <c r="AC21" s="28"/>
      <c r="AD21" s="28"/>
      <c r="AE21" s="28"/>
      <c r="AF21" s="28"/>
      <c r="AG21" s="28"/>
    </row>
    <row r="22" spans="2:33" x14ac:dyDescent="0.3">
      <c r="B22" s="232"/>
      <c r="C22" s="171" t="s">
        <v>308</v>
      </c>
      <c r="D22" s="171" t="str">
        <f>INDEX(Unit_Rates!$C$7:$K$54,MATCH($C22,Unit_Rates!$C$7:$C$54,0),5)</f>
        <v>Subtransmission</v>
      </c>
      <c r="E22" s="171" t="str">
        <f>INDEX(Unit_Rates!$C$7:$K$54,MATCH($C22,Unit_Rates!$C$7:$C$54,0),6)</f>
        <v>Augmentation</v>
      </c>
      <c r="F22" s="171" t="str">
        <f t="shared" si="4"/>
        <v>SubtransmissionAugmentation</v>
      </c>
      <c r="G22" s="268">
        <f>INDEX(Unit_Rates!$C$7:$K$54,MATCH($C22,Unit_Rates!$C$7:$C$54,0),7)</f>
        <v>0</v>
      </c>
      <c r="H22" s="299">
        <v>2</v>
      </c>
      <c r="I22" s="264" t="s">
        <v>292</v>
      </c>
      <c r="J22" s="157"/>
      <c r="K22" s="226">
        <f>G22*H22</f>
        <v>0</v>
      </c>
      <c r="L22" s="302">
        <f t="shared" si="2"/>
        <v>0</v>
      </c>
      <c r="M22" s="356"/>
      <c r="N22" s="568"/>
      <c r="O22" s="573"/>
      <c r="P22" s="569"/>
      <c r="Q22" s="336">
        <f>P22-H22*VLOOKUP(C22,Unit_Rates!$C$7:$E$39,3,FALSE)</f>
        <v>0</v>
      </c>
      <c r="R22" s="327">
        <v>0</v>
      </c>
      <c r="S22" s="327">
        <v>0</v>
      </c>
      <c r="T22" s="327">
        <v>0</v>
      </c>
      <c r="U22" s="327">
        <v>0</v>
      </c>
      <c r="V22" s="327">
        <v>0</v>
      </c>
      <c r="W22" s="327">
        <v>0</v>
      </c>
      <c r="X22" s="327">
        <v>0</v>
      </c>
      <c r="Y22" s="14">
        <f t="shared" si="3"/>
        <v>0</v>
      </c>
      <c r="AA22" s="28"/>
      <c r="AB22" s="28"/>
      <c r="AC22" s="28"/>
      <c r="AD22" s="28"/>
      <c r="AE22" s="28"/>
      <c r="AF22" s="28"/>
      <c r="AG22" s="28"/>
    </row>
    <row r="23" spans="2:33" x14ac:dyDescent="0.3">
      <c r="B23" s="232"/>
      <c r="C23" s="171" t="s">
        <v>280</v>
      </c>
      <c r="D23" s="171" t="str">
        <f>INDEX(Unit_Rates!$C$7:$K$54,MATCH($C23,Unit_Rates!$C$7:$C$54,0),5)</f>
        <v>Subtransmission</v>
      </c>
      <c r="E23" s="171" t="str">
        <f>INDEX(Unit_Rates!$C$7:$K$54,MATCH($C23,Unit_Rates!$C$7:$C$54,0),6)</f>
        <v>Augmentation</v>
      </c>
      <c r="F23" s="171" t="str">
        <f t="shared" si="4"/>
        <v>SubtransmissionAugmentation</v>
      </c>
      <c r="G23" s="268">
        <f>INDEX(Unit_Rates!$C$7:$K$54,MATCH($C23,Unit_Rates!$C$7:$C$54,0),7)</f>
        <v>1249.4511627906975</v>
      </c>
      <c r="H23" s="299"/>
      <c r="I23" s="264" t="s">
        <v>292</v>
      </c>
      <c r="J23" s="157"/>
      <c r="K23" s="226">
        <f t="shared" ref="K23:K39" si="5">G23*H23</f>
        <v>0</v>
      </c>
      <c r="L23" s="302">
        <f t="shared" si="2"/>
        <v>0</v>
      </c>
      <c r="M23" s="356"/>
      <c r="N23" s="568"/>
      <c r="O23" s="573"/>
      <c r="P23" s="569"/>
      <c r="Q23" s="336">
        <f>P23-H23*VLOOKUP(C23,Unit_Rates!$C$7:$E$39,3,FALSE)</f>
        <v>0</v>
      </c>
      <c r="R23" s="327">
        <v>0</v>
      </c>
      <c r="S23" s="327">
        <v>0</v>
      </c>
      <c r="T23" s="327">
        <v>0</v>
      </c>
      <c r="U23" s="327">
        <v>0</v>
      </c>
      <c r="V23" s="327">
        <v>0</v>
      </c>
      <c r="W23" s="327">
        <v>0</v>
      </c>
      <c r="X23" s="327">
        <v>0</v>
      </c>
      <c r="Y23" s="14">
        <f t="shared" si="3"/>
        <v>0</v>
      </c>
      <c r="AA23" s="28"/>
      <c r="AB23" s="28"/>
      <c r="AC23" s="28"/>
      <c r="AD23" s="28"/>
      <c r="AE23" s="28"/>
      <c r="AF23" s="28"/>
      <c r="AG23" s="28"/>
    </row>
    <row r="24" spans="2:33" x14ac:dyDescent="0.3">
      <c r="B24" s="232"/>
      <c r="C24" s="171" t="s">
        <v>279</v>
      </c>
      <c r="D24" s="171" t="str">
        <f>INDEX(Unit_Rates!$C$7:$K$54,MATCH($C24,Unit_Rates!$C$7:$C$54,0),5)</f>
        <v>Subtransmission</v>
      </c>
      <c r="E24" s="171" t="str">
        <f>INDEX(Unit_Rates!$C$7:$K$54,MATCH($C24,Unit_Rates!$C$7:$C$54,0),6)</f>
        <v>Augmentation</v>
      </c>
      <c r="F24" s="171" t="str">
        <f t="shared" si="4"/>
        <v>SubtransmissionAugmentation</v>
      </c>
      <c r="G24" s="268">
        <f>INDEX(Unit_Rates!$C$7:$K$54,MATCH($C24,Unit_Rates!$C$7:$C$54,0),7)</f>
        <v>1378.3627906976742</v>
      </c>
      <c r="H24" s="299"/>
      <c r="I24" s="264" t="s">
        <v>292</v>
      </c>
      <c r="J24" s="157"/>
      <c r="K24" s="226">
        <f t="shared" si="5"/>
        <v>0</v>
      </c>
      <c r="L24" s="302">
        <f t="shared" si="2"/>
        <v>0</v>
      </c>
      <c r="M24" s="356"/>
      <c r="N24" s="568"/>
      <c r="O24" s="573"/>
      <c r="P24" s="569"/>
      <c r="Q24" s="336">
        <f>P24-H24*VLOOKUP(C24,Unit_Rates!$C$7:$E$39,3,FALSE)</f>
        <v>0</v>
      </c>
      <c r="R24" s="327">
        <v>0</v>
      </c>
      <c r="S24" s="327">
        <v>0</v>
      </c>
      <c r="T24" s="327">
        <v>0</v>
      </c>
      <c r="U24" s="327">
        <v>0</v>
      </c>
      <c r="V24" s="327">
        <v>0</v>
      </c>
      <c r="W24" s="327">
        <v>0</v>
      </c>
      <c r="X24" s="327">
        <v>0</v>
      </c>
      <c r="Y24" s="14">
        <f t="shared" si="3"/>
        <v>0</v>
      </c>
    </row>
    <row r="25" spans="2:33" x14ac:dyDescent="0.3">
      <c r="B25" s="232"/>
      <c r="C25" s="171" t="s">
        <v>519</v>
      </c>
      <c r="D25" s="171" t="str">
        <f>INDEX(Unit_Rates!$C$7:$K$54,MATCH($C25,Unit_Rates!$C$7:$C$54,0),5)</f>
        <v>Subtransmission</v>
      </c>
      <c r="E25" s="171" t="str">
        <f>INDEX(Unit_Rates!$C$7:$K$54,MATCH($C25,Unit_Rates!$C$7:$C$54,0),6)</f>
        <v>Augmentation</v>
      </c>
      <c r="F25" s="171" t="str">
        <f t="shared" si="4"/>
        <v>SubtransmissionAugmentation</v>
      </c>
      <c r="G25" s="268">
        <f>INDEX(Unit_Rates!$C$7:$K$54,MATCH($C25,Unit_Rates!$C$7:$C$54,0),7)</f>
        <v>314.14672930232553</v>
      </c>
      <c r="H25" s="299">
        <v>1</v>
      </c>
      <c r="I25" s="264" t="s">
        <v>292</v>
      </c>
      <c r="J25" s="157"/>
      <c r="K25" s="226">
        <f t="shared" si="5"/>
        <v>314.14672930232553</v>
      </c>
      <c r="L25" s="302">
        <f t="shared" si="2"/>
        <v>0</v>
      </c>
      <c r="M25" s="356"/>
      <c r="N25" s="568"/>
      <c r="O25" s="573"/>
      <c r="P25" s="569"/>
      <c r="Q25" s="336">
        <f>P25-H25*VLOOKUP(C25,Unit_Rates!$C$7:$E$39,3,FALSE)</f>
        <v>0</v>
      </c>
      <c r="R25" s="327">
        <v>0</v>
      </c>
      <c r="S25" s="327">
        <v>0</v>
      </c>
      <c r="T25" s="327">
        <v>0</v>
      </c>
      <c r="U25" s="327">
        <v>0</v>
      </c>
      <c r="V25" s="327">
        <v>0</v>
      </c>
      <c r="W25" s="327">
        <v>0</v>
      </c>
      <c r="X25" s="327">
        <v>0</v>
      </c>
      <c r="Y25" s="14">
        <f t="shared" si="3"/>
        <v>0</v>
      </c>
    </row>
    <row r="26" spans="2:33" x14ac:dyDescent="0.3">
      <c r="B26" s="232"/>
      <c r="C26" s="171" t="s">
        <v>373</v>
      </c>
      <c r="D26" s="171" t="str">
        <f>INDEX(Unit_Rates!$C$7:$K$54,MATCH($C26,Unit_Rates!$C$7:$C$54,0),5)</f>
        <v>Subtransmission</v>
      </c>
      <c r="E26" s="171" t="str">
        <f>INDEX(Unit_Rates!$C$7:$K$54,MATCH($C26,Unit_Rates!$C$7:$C$54,0),6)</f>
        <v>Augmentation</v>
      </c>
      <c r="F26" s="171" t="str">
        <f t="shared" si="4"/>
        <v>SubtransmissionAugmentation</v>
      </c>
      <c r="G26" s="268">
        <f>INDEX(Unit_Rates!$C$7:$K$54,MATCH($C26,Unit_Rates!$C$7:$C$54,0),7)</f>
        <v>0</v>
      </c>
      <c r="H26" s="299">
        <v>1</v>
      </c>
      <c r="I26" s="264" t="s">
        <v>292</v>
      </c>
      <c r="J26" s="157"/>
      <c r="K26" s="226">
        <f t="shared" si="5"/>
        <v>0</v>
      </c>
      <c r="L26" s="302">
        <f t="shared" si="2"/>
        <v>0</v>
      </c>
      <c r="M26" s="356"/>
      <c r="N26" s="568"/>
      <c r="O26" s="573"/>
      <c r="P26" s="569"/>
      <c r="Q26" s="336">
        <f>P26-H26*VLOOKUP(C26,Unit_Rates!$C$7:$E$39,3,FALSE)</f>
        <v>0</v>
      </c>
      <c r="R26" s="327">
        <v>0</v>
      </c>
      <c r="S26" s="327">
        <v>0</v>
      </c>
      <c r="T26" s="327">
        <v>0</v>
      </c>
      <c r="U26" s="327">
        <v>0</v>
      </c>
      <c r="V26" s="327">
        <v>0</v>
      </c>
      <c r="W26" s="327">
        <v>0</v>
      </c>
      <c r="X26" s="327">
        <v>0</v>
      </c>
      <c r="Y26" s="14">
        <f t="shared" si="3"/>
        <v>0</v>
      </c>
    </row>
    <row r="27" spans="2:33" x14ac:dyDescent="0.3">
      <c r="B27" s="232"/>
      <c r="C27" s="171" t="s">
        <v>350</v>
      </c>
      <c r="D27" s="171" t="str">
        <f>INDEX(Unit_Rates!$C$7:$K$54,MATCH($C27,Unit_Rates!$C$7:$C$54,0),5)</f>
        <v>Subtransmission</v>
      </c>
      <c r="E27" s="171" t="str">
        <f>INDEX(Unit_Rates!$C$7:$K$54,MATCH($C27,Unit_Rates!$C$7:$C$54,0),6)</f>
        <v>Augmentation</v>
      </c>
      <c r="F27" s="171" t="str">
        <f t="shared" si="4"/>
        <v>SubtransmissionAugmentation</v>
      </c>
      <c r="G27" s="268">
        <f>INDEX(Unit_Rates!$C$7:$K$54,MATCH($C27,Unit_Rates!$C$7:$C$54,0),7)</f>
        <v>62.900871086556172</v>
      </c>
      <c r="H27" s="299">
        <v>1</v>
      </c>
      <c r="I27" s="264" t="s">
        <v>292</v>
      </c>
      <c r="J27" s="157"/>
      <c r="K27" s="226">
        <f t="shared" si="5"/>
        <v>62.900871086556172</v>
      </c>
      <c r="L27" s="302">
        <f t="shared" si="2"/>
        <v>0</v>
      </c>
      <c r="M27" s="356"/>
      <c r="N27" s="568"/>
      <c r="O27" s="573"/>
      <c r="P27" s="569"/>
      <c r="Q27" s="336">
        <f>P27-H27*VLOOKUP(C27,Unit_Rates!$C$7:$E$39,3,FALSE)</f>
        <v>0</v>
      </c>
      <c r="R27" s="327">
        <v>0</v>
      </c>
      <c r="S27" s="327">
        <v>0</v>
      </c>
      <c r="T27" s="327">
        <v>0</v>
      </c>
      <c r="U27" s="327">
        <v>0</v>
      </c>
      <c r="V27" s="327">
        <v>0</v>
      </c>
      <c r="W27" s="327">
        <v>0</v>
      </c>
      <c r="X27" s="327">
        <v>0</v>
      </c>
      <c r="Y27" s="14">
        <f t="shared" si="3"/>
        <v>0</v>
      </c>
    </row>
    <row r="28" spans="2:33" x14ac:dyDescent="0.3">
      <c r="B28" s="232"/>
      <c r="C28" s="171" t="s">
        <v>334</v>
      </c>
      <c r="D28" s="171" t="str">
        <f>INDEX(Unit_Rates!$C$7:$K$54,MATCH($C28,Unit_Rates!$C$7:$C$54,0),5)</f>
        <v>Subtransmission</v>
      </c>
      <c r="E28" s="171" t="str">
        <f>INDEX(Unit_Rates!$C$7:$K$54,MATCH($C28,Unit_Rates!$C$7:$C$54,0),6)</f>
        <v>Augmentation</v>
      </c>
      <c r="F28" s="171" t="str">
        <f t="shared" si="4"/>
        <v>SubtransmissionAugmentation</v>
      </c>
      <c r="G28" s="268">
        <f>INDEX(Unit_Rates!$C$7:$K$54,MATCH($C28,Unit_Rates!$C$7:$C$54,0),7)</f>
        <v>6.8116309209302308</v>
      </c>
      <c r="H28" s="299"/>
      <c r="I28" s="264" t="s">
        <v>292</v>
      </c>
      <c r="J28" s="157"/>
      <c r="K28" s="226">
        <f t="shared" ref="K28:K33" si="6">G28*H28</f>
        <v>0</v>
      </c>
      <c r="L28" s="302">
        <f t="shared" si="2"/>
        <v>0</v>
      </c>
      <c r="M28" s="356"/>
      <c r="N28" s="568"/>
      <c r="O28" s="573"/>
      <c r="P28" s="569"/>
      <c r="Q28" s="336">
        <f>P28-H28*VLOOKUP(C28,Unit_Rates!$C$7:$E$39,3,FALSE)</f>
        <v>0</v>
      </c>
      <c r="R28" s="327">
        <v>0</v>
      </c>
      <c r="S28" s="327">
        <v>0</v>
      </c>
      <c r="T28" s="327">
        <v>0</v>
      </c>
      <c r="U28" s="327">
        <v>0</v>
      </c>
      <c r="V28" s="327">
        <v>0</v>
      </c>
      <c r="W28" s="327">
        <v>0</v>
      </c>
      <c r="X28" s="327">
        <v>0</v>
      </c>
      <c r="Y28" s="14">
        <f t="shared" si="3"/>
        <v>0</v>
      </c>
    </row>
    <row r="29" spans="2:33" x14ac:dyDescent="0.3">
      <c r="B29" s="232"/>
      <c r="C29" s="171" t="s">
        <v>333</v>
      </c>
      <c r="D29" s="171" t="str">
        <f>INDEX(Unit_Rates!$C$7:$K$54,MATCH($C29,Unit_Rates!$C$7:$C$54,0),5)</f>
        <v>Subtransmission</v>
      </c>
      <c r="E29" s="171" t="str">
        <f>INDEX(Unit_Rates!$C$7:$K$54,MATCH($C29,Unit_Rates!$C$7:$C$54,0),6)</f>
        <v>Augmentation</v>
      </c>
      <c r="F29" s="171" t="str">
        <f t="shared" si="4"/>
        <v>SubtransmissionAugmentation</v>
      </c>
      <c r="G29" s="268">
        <f>INDEX(Unit_Rates!$C$7:$K$54,MATCH($C29,Unit_Rates!$C$7:$C$54,0),7)</f>
        <v>0</v>
      </c>
      <c r="H29" s="299"/>
      <c r="I29" s="264" t="s">
        <v>292</v>
      </c>
      <c r="J29" s="157"/>
      <c r="K29" s="226">
        <f t="shared" si="6"/>
        <v>0</v>
      </c>
      <c r="L29" s="302">
        <f t="shared" si="2"/>
        <v>0</v>
      </c>
      <c r="M29" s="356"/>
      <c r="N29" s="568"/>
      <c r="O29" s="573"/>
      <c r="P29" s="569"/>
      <c r="Q29" s="336">
        <f>P29-H29*VLOOKUP(C29,Unit_Rates!$C$7:$E$39,3,FALSE)</f>
        <v>0</v>
      </c>
      <c r="R29" s="327">
        <v>0</v>
      </c>
      <c r="S29" s="327">
        <v>0</v>
      </c>
      <c r="T29" s="327">
        <v>0</v>
      </c>
      <c r="U29" s="327">
        <v>0</v>
      </c>
      <c r="V29" s="327">
        <v>0</v>
      </c>
      <c r="W29" s="327">
        <v>0</v>
      </c>
      <c r="X29" s="327">
        <v>0</v>
      </c>
      <c r="Y29" s="14">
        <f t="shared" si="3"/>
        <v>0</v>
      </c>
    </row>
    <row r="30" spans="2:33" x14ac:dyDescent="0.3">
      <c r="B30" s="232"/>
      <c r="C30" s="236" t="s">
        <v>493</v>
      </c>
      <c r="D30" s="171" t="str">
        <f>INDEX(Unit_Rates!$C$7:$K$54,MATCH($C30,Unit_Rates!$C$7:$C$54,0),5)</f>
        <v>Subtransmission</v>
      </c>
      <c r="E30" s="171" t="str">
        <f>INDEX(Unit_Rates!$C$7:$K$54,MATCH($C30,Unit_Rates!$C$7:$C$54,0),6)</f>
        <v>Augmentation</v>
      </c>
      <c r="F30" s="171" t="str">
        <f t="shared" ref="F30" si="7">D30&amp;E30</f>
        <v>SubtransmissionAugmentation</v>
      </c>
      <c r="G30" s="268">
        <f>INDEX(Unit_Rates!$C$7:$K$54,MATCH($C30,Unit_Rates!$C$7:$C$54,0),7)</f>
        <v>0</v>
      </c>
      <c r="H30" s="299">
        <f ca="1">OFFSET(Feeder_Vols!$C$6,MATCH($B$3,Feeder_Vols!$B$7:$B$15,0),0)</f>
        <v>8</v>
      </c>
      <c r="I30" s="264" t="s">
        <v>292</v>
      </c>
      <c r="J30" s="157"/>
      <c r="K30" s="226">
        <f t="shared" ca="1" si="6"/>
        <v>0</v>
      </c>
      <c r="L30" s="302">
        <f t="shared" si="2"/>
        <v>0</v>
      </c>
      <c r="M30" s="356"/>
      <c r="N30" s="568"/>
      <c r="O30" s="568"/>
      <c r="P30" s="569"/>
      <c r="Q30" s="336">
        <f ca="1">P30-H30*VLOOKUP(C30,Unit_Rates!$C$7:$E$39,3,FALSE)</f>
        <v>0</v>
      </c>
      <c r="R30" s="327">
        <v>0</v>
      </c>
      <c r="S30" s="327">
        <v>0</v>
      </c>
      <c r="T30" s="327">
        <v>0</v>
      </c>
      <c r="U30" s="327">
        <v>0</v>
      </c>
      <c r="V30" s="327">
        <v>0</v>
      </c>
      <c r="W30" s="327">
        <v>0</v>
      </c>
      <c r="X30" s="327">
        <v>0</v>
      </c>
      <c r="Y30" s="14">
        <f t="shared" si="3"/>
        <v>0</v>
      </c>
    </row>
    <row r="31" spans="2:33" ht="15" x14ac:dyDescent="0.25">
      <c r="B31" s="232"/>
      <c r="C31" s="171" t="s">
        <v>335</v>
      </c>
      <c r="D31" s="171" t="str">
        <f>INDEX(Unit_Rates!$C$7:$K$54,MATCH($C31,Unit_Rates!$C$7:$C$54,0),5)</f>
        <v>Subtransmission</v>
      </c>
      <c r="E31" s="171" t="str">
        <f>INDEX(Unit_Rates!$C$7:$K$54,MATCH($C31,Unit_Rates!$C$7:$C$54,0),6)</f>
        <v>Augmentation</v>
      </c>
      <c r="F31" s="171" t="str">
        <f t="shared" si="4"/>
        <v>SubtransmissionAugmentation</v>
      </c>
      <c r="G31" s="268">
        <f>INDEX(Unit_Rates!$C$7:$K$54,MATCH($C31,Unit_Rates!$C$7:$C$54,0),7)</f>
        <v>0</v>
      </c>
      <c r="H31" s="299">
        <v>9</v>
      </c>
      <c r="I31" s="264" t="s">
        <v>292</v>
      </c>
      <c r="J31" s="157"/>
      <c r="K31" s="226">
        <f t="shared" si="6"/>
        <v>0</v>
      </c>
      <c r="L31" s="302">
        <f t="shared" si="2"/>
        <v>0</v>
      </c>
      <c r="M31" s="356"/>
      <c r="N31" s="568"/>
      <c r="O31" s="573"/>
      <c r="P31" s="569"/>
      <c r="Q31" s="336">
        <f>P31-H31*VLOOKUP(C31,Unit_Rates!$C$7:$E$39,3,FALSE)</f>
        <v>0</v>
      </c>
      <c r="R31" s="327">
        <v>0</v>
      </c>
      <c r="S31" s="327">
        <v>0</v>
      </c>
      <c r="T31" s="327">
        <v>0</v>
      </c>
      <c r="U31" s="327">
        <v>0</v>
      </c>
      <c r="V31" s="327">
        <v>0</v>
      </c>
      <c r="W31" s="327">
        <v>0</v>
      </c>
      <c r="X31" s="327">
        <v>0</v>
      </c>
      <c r="Y31" s="14">
        <f t="shared" si="3"/>
        <v>0</v>
      </c>
    </row>
    <row r="32" spans="2:33" ht="15" x14ac:dyDescent="0.25">
      <c r="B32" s="232"/>
      <c r="C32" s="171" t="s">
        <v>336</v>
      </c>
      <c r="D32" s="171" t="str">
        <f>INDEX(Unit_Rates!$C$7:$K$54,MATCH($C32,Unit_Rates!$C$7:$C$54,0),5)</f>
        <v>Subtransmission</v>
      </c>
      <c r="E32" s="171" t="str">
        <f>INDEX(Unit_Rates!$C$7:$K$54,MATCH($C32,Unit_Rates!$C$7:$C$54,0),6)</f>
        <v>Augmentation</v>
      </c>
      <c r="F32" s="171" t="str">
        <f t="shared" si="4"/>
        <v>SubtransmissionAugmentation</v>
      </c>
      <c r="G32" s="268">
        <f>INDEX(Unit_Rates!$C$7:$K$54,MATCH($C32,Unit_Rates!$C$7:$C$54,0),7)</f>
        <v>0.60844172586161538</v>
      </c>
      <c r="H32" s="299">
        <v>12</v>
      </c>
      <c r="I32" s="264" t="s">
        <v>292</v>
      </c>
      <c r="J32" s="157"/>
      <c r="K32" s="226">
        <f t="shared" si="6"/>
        <v>7.301300710339385</v>
      </c>
      <c r="L32" s="302">
        <f t="shared" si="2"/>
        <v>0</v>
      </c>
      <c r="M32" s="356"/>
      <c r="N32" s="568"/>
      <c r="O32" s="573"/>
      <c r="P32" s="569"/>
      <c r="Q32" s="336">
        <f>P32-H32*VLOOKUP(C32,Unit_Rates!$C$7:$E$39,3,FALSE)</f>
        <v>0</v>
      </c>
      <c r="R32" s="327">
        <v>0</v>
      </c>
      <c r="S32" s="327">
        <v>0</v>
      </c>
      <c r="T32" s="327">
        <v>0</v>
      </c>
      <c r="U32" s="327">
        <v>0</v>
      </c>
      <c r="V32" s="327">
        <v>0</v>
      </c>
      <c r="W32" s="327">
        <v>0</v>
      </c>
      <c r="X32" s="327">
        <v>0</v>
      </c>
      <c r="Y32" s="14">
        <f t="shared" si="3"/>
        <v>0</v>
      </c>
    </row>
    <row r="33" spans="2:53" ht="15" x14ac:dyDescent="0.25">
      <c r="B33" s="232"/>
      <c r="C33" s="171" t="s">
        <v>495</v>
      </c>
      <c r="D33" s="171" t="str">
        <f>INDEX(Unit_Rates!$C$7:$K$54,MATCH($C33,Unit_Rates!$C$7:$C$54,0),5)</f>
        <v>Subtransmission</v>
      </c>
      <c r="E33" s="171" t="str">
        <f>INDEX(Unit_Rates!$C$7:$K$54,MATCH($C33,Unit_Rates!$C$7:$C$54,0),6)</f>
        <v>Augmentation</v>
      </c>
      <c r="F33" s="171" t="str">
        <f t="shared" si="4"/>
        <v>SubtransmissionAugmentation</v>
      </c>
      <c r="G33" s="268">
        <f>INDEX(Unit_Rates!$C$7:$K$54,MATCH($C33,Unit_Rates!$C$7:$C$54,0),7)</f>
        <v>0</v>
      </c>
      <c r="H33" s="299">
        <v>1</v>
      </c>
      <c r="I33" s="264" t="s">
        <v>292</v>
      </c>
      <c r="J33" s="157"/>
      <c r="K33" s="226">
        <f t="shared" si="6"/>
        <v>0</v>
      </c>
      <c r="L33" s="302">
        <f t="shared" si="2"/>
        <v>0</v>
      </c>
      <c r="M33" s="356"/>
      <c r="N33" s="568"/>
      <c r="O33" s="573"/>
      <c r="P33" s="569"/>
      <c r="Q33" s="336">
        <f>P33-H33*VLOOKUP(C33,Unit_Rates!$C$7:$E$39,3,FALSE)</f>
        <v>0</v>
      </c>
      <c r="R33" s="327">
        <v>0</v>
      </c>
      <c r="S33" s="327">
        <v>0</v>
      </c>
      <c r="T33" s="327">
        <v>0</v>
      </c>
      <c r="U33" s="327">
        <v>0</v>
      </c>
      <c r="V33" s="327">
        <v>0</v>
      </c>
      <c r="W33" s="327">
        <v>0</v>
      </c>
      <c r="X33" s="327">
        <v>0</v>
      </c>
      <c r="Y33" s="14">
        <f t="shared" si="3"/>
        <v>0</v>
      </c>
    </row>
    <row r="34" spans="2:53" x14ac:dyDescent="0.3">
      <c r="B34" s="232"/>
      <c r="C34" s="171" t="s">
        <v>209</v>
      </c>
      <c r="D34" s="171" t="str">
        <f>INDEX(Unit_Rates!$C$7:$K$54,MATCH($C34,Unit_Rates!$C$7:$C$54,0),5)</f>
        <v>Subtransmission</v>
      </c>
      <c r="E34" s="171" t="str">
        <f>INDEX(Unit_Rates!$C$7:$K$54,MATCH($C34,Unit_Rates!$C$7:$C$54,0),6)</f>
        <v>Augmentation</v>
      </c>
      <c r="F34" s="171" t="str">
        <f t="shared" si="4"/>
        <v>SubtransmissionAugmentation</v>
      </c>
      <c r="G34" s="268">
        <f>INDEX(Unit_Rates!$C$7:$K$54,MATCH($C34,Unit_Rates!$C$7:$C$54,0),7)</f>
        <v>94.457808471454882</v>
      </c>
      <c r="H34" s="299">
        <v>2</v>
      </c>
      <c r="I34" s="264" t="s">
        <v>292</v>
      </c>
      <c r="J34" s="157"/>
      <c r="K34" s="226">
        <f t="shared" si="5"/>
        <v>188.91561694290976</v>
      </c>
      <c r="L34" s="302">
        <f t="shared" si="2"/>
        <v>0</v>
      </c>
      <c r="M34" s="356"/>
      <c r="N34" s="568"/>
      <c r="O34" s="573"/>
      <c r="P34" s="569"/>
      <c r="Q34" s="336">
        <f>P34-H34*VLOOKUP(C34,Unit_Rates!$C$7:$E$39,3,FALSE)</f>
        <v>0</v>
      </c>
      <c r="R34" s="327">
        <v>0</v>
      </c>
      <c r="S34" s="327">
        <v>0</v>
      </c>
      <c r="T34" s="327">
        <v>0</v>
      </c>
      <c r="U34" s="327">
        <v>0</v>
      </c>
      <c r="V34" s="327">
        <v>0</v>
      </c>
      <c r="W34" s="327">
        <v>0</v>
      </c>
      <c r="X34" s="327">
        <v>0</v>
      </c>
      <c r="Y34" s="14">
        <f t="shared" si="3"/>
        <v>0</v>
      </c>
    </row>
    <row r="35" spans="2:53" x14ac:dyDescent="0.3">
      <c r="B35" s="232"/>
      <c r="C35" s="171" t="s">
        <v>497</v>
      </c>
      <c r="D35" s="171" t="str">
        <f>INDEX(Unit_Rates!$C$7:$K$54,MATCH($C35,Unit_Rates!$C$7:$C$54,0),5)</f>
        <v>Subtransmission</v>
      </c>
      <c r="E35" s="171" t="str">
        <f>INDEX(Unit_Rates!$C$7:$K$54,MATCH($C35,Unit_Rates!$C$7:$C$54,0),6)</f>
        <v>Augmentation</v>
      </c>
      <c r="F35" s="171" t="str">
        <f t="shared" si="4"/>
        <v>SubtransmissionAugmentation</v>
      </c>
      <c r="G35" s="268">
        <f>INDEX(Unit_Rates!$C$7:$K$54,MATCH($C35,Unit_Rates!$C$7:$C$54,0),7)</f>
        <v>0</v>
      </c>
      <c r="H35" s="299">
        <v>1</v>
      </c>
      <c r="I35" s="264" t="s">
        <v>292</v>
      </c>
      <c r="J35" s="157"/>
      <c r="K35" s="226">
        <f t="shared" si="5"/>
        <v>0</v>
      </c>
      <c r="L35" s="302">
        <f t="shared" si="2"/>
        <v>0</v>
      </c>
      <c r="M35" s="356"/>
      <c r="N35" s="568"/>
      <c r="O35" s="573"/>
      <c r="P35" s="569"/>
      <c r="Q35" s="336">
        <f>P35-H35*VLOOKUP(C35,Unit_Rates!$C$7:$E$39,3,FALSE)</f>
        <v>0</v>
      </c>
      <c r="R35" s="327">
        <v>0</v>
      </c>
      <c r="S35" s="327">
        <v>0</v>
      </c>
      <c r="T35" s="327">
        <v>0</v>
      </c>
      <c r="U35" s="327">
        <v>0</v>
      </c>
      <c r="V35" s="327">
        <v>0</v>
      </c>
      <c r="W35" s="327">
        <v>0</v>
      </c>
      <c r="X35" s="327">
        <v>0</v>
      </c>
      <c r="Y35" s="14">
        <f t="shared" si="3"/>
        <v>0</v>
      </c>
    </row>
    <row r="36" spans="2:53" x14ac:dyDescent="0.3">
      <c r="B36" s="232"/>
      <c r="C36" s="171" t="s">
        <v>364</v>
      </c>
      <c r="D36" s="171" t="str">
        <f>INDEX(Unit_Rates!$C$7:$K$54,MATCH($C36,Unit_Rates!$C$7:$C$54,0),5)</f>
        <v>Subtransmission</v>
      </c>
      <c r="E36" s="171" t="str">
        <f>INDEX(Unit_Rates!$C$7:$K$54,MATCH($C36,Unit_Rates!$C$7:$C$54,0),6)</f>
        <v>Augmentation</v>
      </c>
      <c r="F36" s="171" t="str">
        <f t="shared" si="4"/>
        <v>SubtransmissionAugmentation</v>
      </c>
      <c r="G36" s="268">
        <f>INDEX(Unit_Rates!$C$7:$K$54,MATCH($C36,Unit_Rates!$C$7:$C$54,0),7)</f>
        <v>226.61039779005526</v>
      </c>
      <c r="H36" s="299">
        <v>1</v>
      </c>
      <c r="I36" s="264" t="s">
        <v>292</v>
      </c>
      <c r="J36" s="157"/>
      <c r="K36" s="226">
        <f t="shared" si="5"/>
        <v>226.61039779005526</v>
      </c>
      <c r="L36" s="302">
        <f t="shared" si="2"/>
        <v>0</v>
      </c>
      <c r="M36" s="356"/>
      <c r="N36" s="568"/>
      <c r="O36" s="573"/>
      <c r="P36" s="569"/>
      <c r="Q36" s="336">
        <f>P36-H36*VLOOKUP(C36,Unit_Rates!$C$7:$E$39,3,FALSE)</f>
        <v>0</v>
      </c>
      <c r="R36" s="327">
        <v>0</v>
      </c>
      <c r="S36" s="327">
        <v>0</v>
      </c>
      <c r="T36" s="327">
        <v>0</v>
      </c>
      <c r="U36" s="327">
        <v>0</v>
      </c>
      <c r="V36" s="327">
        <v>0</v>
      </c>
      <c r="W36" s="327">
        <v>0</v>
      </c>
      <c r="X36" s="327">
        <v>0</v>
      </c>
      <c r="Y36" s="14">
        <f t="shared" si="3"/>
        <v>0</v>
      </c>
    </row>
    <row r="37" spans="2:53" x14ac:dyDescent="0.3">
      <c r="B37" s="232"/>
      <c r="C37" s="236" t="s">
        <v>273</v>
      </c>
      <c r="D37" s="171" t="str">
        <f>INDEX(Unit_Rates!$C$7:$K$54,MATCH($C37,Unit_Rates!$C$7:$C$54,0),5)</f>
        <v>Subtransmission</v>
      </c>
      <c r="E37" s="171" t="str">
        <f>INDEX(Unit_Rates!$C$7:$K$54,MATCH($C37,Unit_Rates!$C$7:$C$54,0),6)</f>
        <v>Augmentation</v>
      </c>
      <c r="F37" s="171" t="str">
        <f t="shared" si="4"/>
        <v>SubtransmissionAugmentation</v>
      </c>
      <c r="G37" s="268">
        <f>INDEX(Unit_Rates!$C$7:$K$54,MATCH($C37,Unit_Rates!$C$7:$C$54,0),7)</f>
        <v>362.24270165745855</v>
      </c>
      <c r="H37" s="299"/>
      <c r="I37" s="264" t="s">
        <v>292</v>
      </c>
      <c r="J37" s="157"/>
      <c r="K37" s="226">
        <f t="shared" si="5"/>
        <v>0</v>
      </c>
      <c r="L37" s="302">
        <f t="shared" si="2"/>
        <v>0</v>
      </c>
      <c r="M37" s="356"/>
      <c r="N37" s="568"/>
      <c r="O37" s="573"/>
      <c r="P37" s="569"/>
      <c r="Q37" s="336">
        <f>P37-H37*VLOOKUP(C37,Unit_Rates!$C$7:$E$39,3,FALSE)</f>
        <v>0</v>
      </c>
      <c r="R37" s="327">
        <v>0</v>
      </c>
      <c r="S37" s="327">
        <v>0</v>
      </c>
      <c r="T37" s="327">
        <v>0</v>
      </c>
      <c r="U37" s="327">
        <v>0</v>
      </c>
      <c r="V37" s="327">
        <v>0</v>
      </c>
      <c r="W37" s="327">
        <v>0</v>
      </c>
      <c r="X37" s="327">
        <v>0</v>
      </c>
      <c r="Y37" s="14">
        <f t="shared" si="3"/>
        <v>0</v>
      </c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</row>
    <row r="38" spans="2:53" x14ac:dyDescent="0.3">
      <c r="B38" s="232"/>
      <c r="C38" s="171" t="s">
        <v>303</v>
      </c>
      <c r="D38" s="171" t="s">
        <v>18</v>
      </c>
      <c r="E38" s="171" t="s">
        <v>42</v>
      </c>
      <c r="F38" s="171" t="str">
        <f t="shared" si="4"/>
        <v>SubtransmissionAugmentation</v>
      </c>
      <c r="G38" s="441">
        <v>7.7136261662328967E-2</v>
      </c>
      <c r="H38" s="299">
        <v>1210</v>
      </c>
      <c r="I38" s="264" t="s">
        <v>318</v>
      </c>
      <c r="J38" s="157"/>
      <c r="K38" s="226">
        <f t="shared" si="5"/>
        <v>93.334876611418053</v>
      </c>
      <c r="L38" s="302">
        <f t="shared" si="2"/>
        <v>0</v>
      </c>
      <c r="M38" s="356"/>
      <c r="N38" s="568"/>
      <c r="O38" s="573"/>
      <c r="P38" s="569"/>
      <c r="Q38" s="290"/>
      <c r="R38" s="327">
        <v>0</v>
      </c>
      <c r="S38" s="327">
        <v>0</v>
      </c>
      <c r="T38" s="327">
        <v>0</v>
      </c>
      <c r="U38" s="327">
        <v>0</v>
      </c>
      <c r="V38" s="327">
        <v>0</v>
      </c>
      <c r="W38" s="327">
        <v>0</v>
      </c>
      <c r="X38" s="327">
        <v>0</v>
      </c>
      <c r="Y38" s="14">
        <f t="shared" si="3"/>
        <v>0</v>
      </c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</row>
    <row r="39" spans="2:53" x14ac:dyDescent="0.3">
      <c r="B39" s="232"/>
      <c r="C39" s="171" t="s">
        <v>60</v>
      </c>
      <c r="D39" s="171" t="s">
        <v>18</v>
      </c>
      <c r="E39" s="171" t="s">
        <v>42</v>
      </c>
      <c r="F39" s="171" t="str">
        <f t="shared" si="4"/>
        <v>SubtransmissionAugmentation</v>
      </c>
      <c r="G39" s="441">
        <v>5.8983370165745859</v>
      </c>
      <c r="H39" s="468">
        <v>1</v>
      </c>
      <c r="I39" s="264" t="s">
        <v>292</v>
      </c>
      <c r="J39" s="157"/>
      <c r="K39" s="226">
        <f t="shared" si="5"/>
        <v>5.8983370165745859</v>
      </c>
      <c r="L39" s="227">
        <f t="shared" si="2"/>
        <v>0</v>
      </c>
      <c r="M39" s="356"/>
      <c r="N39" s="568"/>
      <c r="O39" s="573"/>
      <c r="P39" s="569"/>
      <c r="Q39" s="290"/>
      <c r="R39" s="327">
        <v>0</v>
      </c>
      <c r="S39" s="327">
        <v>0</v>
      </c>
      <c r="T39" s="327">
        <v>0</v>
      </c>
      <c r="U39" s="327">
        <v>0</v>
      </c>
      <c r="V39" s="327">
        <v>0</v>
      </c>
      <c r="W39" s="327">
        <v>0</v>
      </c>
      <c r="X39" s="327">
        <v>0</v>
      </c>
      <c r="Y39" s="14">
        <f t="shared" si="3"/>
        <v>0</v>
      </c>
      <c r="AO39" s="236"/>
      <c r="AP39" s="318"/>
      <c r="AQ39" s="546"/>
      <c r="AR39" s="318"/>
      <c r="AS39" s="318"/>
      <c r="AT39" s="318"/>
      <c r="AU39" s="318"/>
      <c r="AV39" s="318"/>
      <c r="AW39" s="318"/>
      <c r="AX39" s="547"/>
      <c r="AY39" s="548"/>
      <c r="AZ39" s="318"/>
      <c r="BA39" s="236"/>
    </row>
    <row r="40" spans="2:53" x14ac:dyDescent="0.3">
      <c r="B40" s="232"/>
      <c r="C40" s="171"/>
      <c r="D40" s="171"/>
      <c r="E40" s="171"/>
      <c r="F40" s="171"/>
      <c r="G40" s="268"/>
      <c r="H40" s="232"/>
      <c r="I40" s="224"/>
      <c r="J40" s="157"/>
      <c r="K40" s="225"/>
      <c r="L40" s="224"/>
      <c r="M40" s="224"/>
      <c r="N40" s="225"/>
      <c r="O40" s="225"/>
      <c r="P40" s="224"/>
      <c r="Q40" s="291"/>
      <c r="R40" s="326"/>
      <c r="S40" s="326"/>
      <c r="T40" s="326"/>
      <c r="U40" s="326"/>
      <c r="V40" s="326"/>
      <c r="W40" s="326"/>
      <c r="X40" s="326"/>
      <c r="Y40" s="14">
        <f t="shared" si="3"/>
        <v>0</v>
      </c>
      <c r="AO40" s="236"/>
      <c r="AP40" s="318"/>
      <c r="AQ40" s="274"/>
      <c r="AR40" s="549"/>
      <c r="AS40" s="236"/>
      <c r="AT40" s="549"/>
      <c r="AU40" s="549"/>
      <c r="AV40" s="549"/>
      <c r="AW40" s="415"/>
      <c r="AX40" s="547"/>
      <c r="AY40" s="236"/>
      <c r="AZ40" s="416"/>
      <c r="BA40" s="236"/>
    </row>
    <row r="41" spans="2:53" x14ac:dyDescent="0.3">
      <c r="B41" s="251" t="s">
        <v>307</v>
      </c>
      <c r="C41" s="171"/>
      <c r="D41" s="171"/>
      <c r="E41" s="171"/>
      <c r="F41" s="171"/>
      <c r="G41" s="268"/>
      <c r="H41" s="277"/>
      <c r="I41" s="266"/>
      <c r="J41" s="274"/>
      <c r="K41" s="226"/>
      <c r="L41" s="226"/>
      <c r="M41" s="226"/>
      <c r="N41" s="281"/>
      <c r="O41" s="226"/>
      <c r="P41" s="223"/>
      <c r="Q41" s="290"/>
      <c r="R41" s="326"/>
      <c r="S41" s="326"/>
      <c r="T41" s="326"/>
      <c r="U41" s="326"/>
      <c r="V41" s="326"/>
      <c r="W41" s="326"/>
      <c r="X41" s="326"/>
      <c r="AO41" s="236"/>
      <c r="AP41" s="318"/>
      <c r="AQ41" s="274"/>
      <c r="AR41" s="549"/>
      <c r="AS41" s="549"/>
      <c r="AT41" s="549"/>
      <c r="AU41" s="549"/>
      <c r="AV41" s="549"/>
      <c r="AW41" s="415"/>
      <c r="AX41" s="547"/>
      <c r="AY41" s="236"/>
      <c r="AZ41" s="416"/>
      <c r="BA41" s="236"/>
    </row>
    <row r="42" spans="2:53" x14ac:dyDescent="0.3">
      <c r="B42" s="232"/>
      <c r="C42" s="276" t="s">
        <v>500</v>
      </c>
      <c r="D42" s="171" t="str">
        <f>INDEX(Unit_Rates!$C$7:$K$54,MATCH($C42,Unit_Rates!$C$7:$C$54,0),5)</f>
        <v>SCADA/Network control</v>
      </c>
      <c r="E42" s="171" t="str">
        <f>INDEX(Unit_Rates!$C$7:$K$54,MATCH($C42,Unit_Rates!$C$7:$C$54,0),6)</f>
        <v>Augmentation</v>
      </c>
      <c r="F42" s="171" t="str">
        <f t="shared" ref="F42:F50" si="8">D42&amp;E42</f>
        <v>SCADA/Network controlAugmentation</v>
      </c>
      <c r="G42" s="268">
        <f>INDEX(Unit_Rates!$C$7:$K$54,MATCH($C42,Unit_Rates!$C$7:$C$54,0),7)</f>
        <v>58.317856353591161</v>
      </c>
      <c r="H42" s="299">
        <v>1</v>
      </c>
      <c r="I42" s="264" t="s">
        <v>292</v>
      </c>
      <c r="J42" s="157"/>
      <c r="K42" s="225">
        <f>G42*H42</f>
        <v>58.317856353591161</v>
      </c>
      <c r="L42" s="225">
        <f t="shared" ref="L42:L50" si="9">SUMPRODUCT(R$5:X$5,R42:X42)/Thousands</f>
        <v>0</v>
      </c>
      <c r="M42" s="307"/>
      <c r="N42" s="568"/>
      <c r="O42" s="573"/>
      <c r="P42" s="569"/>
      <c r="Q42" s="336">
        <f>P42-H42*VLOOKUP(C42,Unit_Rates!$C$44:$E$54,3,FALSE)</f>
        <v>0</v>
      </c>
      <c r="R42" s="327">
        <v>0</v>
      </c>
      <c r="S42" s="327">
        <v>0</v>
      </c>
      <c r="T42" s="327">
        <v>0</v>
      </c>
      <c r="U42" s="327">
        <v>0</v>
      </c>
      <c r="V42" s="327">
        <v>0</v>
      </c>
      <c r="W42" s="327">
        <v>0</v>
      </c>
      <c r="X42" s="327">
        <v>0</v>
      </c>
      <c r="AO42" s="236"/>
      <c r="AP42" s="318"/>
      <c r="AQ42" s="274"/>
      <c r="AR42" s="549"/>
      <c r="AS42" s="549"/>
      <c r="AT42" s="549"/>
      <c r="AU42" s="549"/>
      <c r="AV42" s="549"/>
      <c r="AW42" s="415"/>
      <c r="AX42" s="547"/>
      <c r="AY42" s="236"/>
      <c r="AZ42" s="416"/>
      <c r="BA42" s="236"/>
    </row>
    <row r="43" spans="2:53" x14ac:dyDescent="0.3">
      <c r="B43" s="232"/>
      <c r="C43" s="276" t="s">
        <v>319</v>
      </c>
      <c r="D43" s="171" t="str">
        <f>INDEX(Unit_Rates!$C$7:$K$54,MATCH($C43,Unit_Rates!$C$7:$C$54,0),5)</f>
        <v>SCADA/Network control</v>
      </c>
      <c r="E43" s="171" t="str">
        <f>INDEX(Unit_Rates!$C$7:$K$54,MATCH($C43,Unit_Rates!$C$7:$C$54,0),6)</f>
        <v>Augmentation</v>
      </c>
      <c r="F43" s="171" t="str">
        <f t="shared" si="8"/>
        <v>SCADA/Network controlAugmentation</v>
      </c>
      <c r="G43" s="268">
        <f>INDEX(Unit_Rates!$C$7:$K$54,MATCH($C43,Unit_Rates!$C$7:$C$54,0),7)</f>
        <v>5.88950276243094</v>
      </c>
      <c r="H43" s="299">
        <v>2</v>
      </c>
      <c r="I43" s="264" t="s">
        <v>292</v>
      </c>
      <c r="J43" s="157"/>
      <c r="K43" s="225">
        <f>G43*H43</f>
        <v>11.77900552486188</v>
      </c>
      <c r="L43" s="225">
        <f t="shared" si="9"/>
        <v>0</v>
      </c>
      <c r="M43" s="307"/>
      <c r="N43" s="568"/>
      <c r="O43" s="573"/>
      <c r="P43" s="569"/>
      <c r="Q43" s="336">
        <f>P43-H43*VLOOKUP(C43,Unit_Rates!$C$44:$E$54,3,FALSE)</f>
        <v>0</v>
      </c>
      <c r="R43" s="327">
        <v>0</v>
      </c>
      <c r="S43" s="327">
        <v>0</v>
      </c>
      <c r="T43" s="327">
        <v>0</v>
      </c>
      <c r="U43" s="327">
        <v>0</v>
      </c>
      <c r="V43" s="327">
        <v>0</v>
      </c>
      <c r="W43" s="327">
        <v>0</v>
      </c>
      <c r="X43" s="327">
        <v>0</v>
      </c>
      <c r="Y43" s="14">
        <f t="shared" ref="Y43:Y51" si="10">SUM(R43:X43)</f>
        <v>0</v>
      </c>
      <c r="AO43" s="236"/>
      <c r="AP43" s="318"/>
      <c r="AQ43" s="274"/>
      <c r="AR43" s="549"/>
      <c r="AS43" s="555"/>
      <c r="AT43" s="550"/>
      <c r="AU43" s="550"/>
      <c r="AV43" s="236"/>
      <c r="AW43" s="415"/>
      <c r="AX43" s="547"/>
      <c r="AY43" s="236"/>
      <c r="AZ43" s="416"/>
      <c r="BA43" s="236"/>
    </row>
    <row r="44" spans="2:53" x14ac:dyDescent="0.3">
      <c r="B44" s="232"/>
      <c r="C44" s="276" t="s">
        <v>321</v>
      </c>
      <c r="D44" s="171" t="str">
        <f>INDEX(Unit_Rates!$C$7:$K$54,MATCH($C44,Unit_Rates!$C$7:$C$54,0),5)</f>
        <v>SCADA/Network control</v>
      </c>
      <c r="E44" s="171" t="str">
        <f>INDEX(Unit_Rates!$C$7:$K$54,MATCH($C44,Unit_Rates!$C$7:$C$54,0),6)</f>
        <v>Augmentation</v>
      </c>
      <c r="F44" s="171" t="str">
        <f t="shared" si="8"/>
        <v>SCADA/Network controlAugmentation</v>
      </c>
      <c r="G44" s="268">
        <f>INDEX(Unit_Rates!$C$7:$K$54,MATCH($C44,Unit_Rates!$C$7:$C$54,0),7)</f>
        <v>8.2030957642725593</v>
      </c>
      <c r="H44" s="299">
        <v>2</v>
      </c>
      <c r="I44" s="264" t="s">
        <v>292</v>
      </c>
      <c r="J44" s="157"/>
      <c r="K44" s="225">
        <f t="shared" ref="K44:K47" si="11">G44*H44</f>
        <v>16.406191528545119</v>
      </c>
      <c r="L44" s="225">
        <f t="shared" si="9"/>
        <v>0</v>
      </c>
      <c r="M44" s="307"/>
      <c r="N44" s="568"/>
      <c r="O44" s="573"/>
      <c r="P44" s="569"/>
      <c r="Q44" s="336">
        <f>P44-H44*VLOOKUP(C44,Unit_Rates!$C$44:$E$54,3,FALSE)</f>
        <v>0</v>
      </c>
      <c r="R44" s="327">
        <v>0</v>
      </c>
      <c r="S44" s="327">
        <v>0</v>
      </c>
      <c r="T44" s="327">
        <v>0</v>
      </c>
      <c r="U44" s="327">
        <v>0</v>
      </c>
      <c r="V44" s="327">
        <v>0</v>
      </c>
      <c r="W44" s="327">
        <v>0</v>
      </c>
      <c r="X44" s="327">
        <v>0</v>
      </c>
      <c r="Y44" s="14">
        <f t="shared" si="10"/>
        <v>0</v>
      </c>
      <c r="AO44" s="236"/>
      <c r="AP44" s="236"/>
      <c r="AQ44" s="236"/>
      <c r="AR44" s="236"/>
      <c r="AS44" s="236"/>
      <c r="AT44" s="236"/>
      <c r="AU44" s="236"/>
      <c r="AV44" s="236"/>
      <c r="AW44" s="415"/>
      <c r="AX44" s="236"/>
      <c r="AY44" s="236"/>
      <c r="AZ44" s="416"/>
      <c r="BA44" s="236"/>
    </row>
    <row r="45" spans="2:53" x14ac:dyDescent="0.3">
      <c r="B45" s="232"/>
      <c r="C45" s="276" t="s">
        <v>520</v>
      </c>
      <c r="D45" s="171" t="str">
        <f>INDEX(Unit_Rates!$C$7:$K$54,MATCH($C45,Unit_Rates!$C$7:$C$54,0),5)</f>
        <v>SCADA/Network control</v>
      </c>
      <c r="E45" s="171" t="str">
        <f>INDEX(Unit_Rates!$C$7:$K$54,MATCH($C45,Unit_Rates!$C$7:$C$54,0),6)</f>
        <v>Augmentation</v>
      </c>
      <c r="F45" s="171" t="str">
        <f t="shared" si="8"/>
        <v>SCADA/Network controlAugmentation</v>
      </c>
      <c r="G45" s="268">
        <f>INDEX(Unit_Rates!$C$7:$K$54,MATCH($C45,Unit_Rates!$C$7:$C$54,0),7)</f>
        <v>92.456849907918979</v>
      </c>
      <c r="H45" s="299">
        <v>2</v>
      </c>
      <c r="I45" s="264" t="s">
        <v>292</v>
      </c>
      <c r="J45" s="157"/>
      <c r="K45" s="225">
        <f t="shared" si="11"/>
        <v>184.91369981583796</v>
      </c>
      <c r="L45" s="225">
        <f t="shared" si="9"/>
        <v>0</v>
      </c>
      <c r="M45" s="307"/>
      <c r="N45" s="568"/>
      <c r="O45" s="573"/>
      <c r="P45" s="569"/>
      <c r="Q45" s="336">
        <f>P45-H45*VLOOKUP(C45,Unit_Rates!$C$44:$E$54,3,FALSE)</f>
        <v>0</v>
      </c>
      <c r="R45" s="327">
        <v>0</v>
      </c>
      <c r="S45" s="327">
        <v>0</v>
      </c>
      <c r="T45" s="327">
        <v>0</v>
      </c>
      <c r="U45" s="327">
        <v>0</v>
      </c>
      <c r="V45" s="327">
        <v>0</v>
      </c>
      <c r="W45" s="327">
        <v>0</v>
      </c>
      <c r="X45" s="327">
        <v>0</v>
      </c>
      <c r="Y45" s="14">
        <f t="shared" si="10"/>
        <v>0</v>
      </c>
      <c r="AO45" s="236"/>
      <c r="AP45" s="236"/>
      <c r="AQ45" s="236"/>
      <c r="AR45" s="236"/>
      <c r="AS45" s="236"/>
      <c r="AT45" s="236"/>
      <c r="AU45" s="236"/>
      <c r="AV45" s="236"/>
      <c r="AW45" s="415"/>
      <c r="AX45" s="236"/>
      <c r="AY45" s="236"/>
      <c r="AZ45" s="416"/>
      <c r="BA45" s="236"/>
    </row>
    <row r="46" spans="2:53" x14ac:dyDescent="0.3">
      <c r="B46" s="232"/>
      <c r="C46" s="276" t="s">
        <v>528</v>
      </c>
      <c r="D46" s="171" t="str">
        <f>INDEX(Unit_Rates!$C$7:$K$54,MATCH($C46,Unit_Rates!$C$7:$C$54,0),5)</f>
        <v>SCADA/Network control</v>
      </c>
      <c r="E46" s="171" t="str">
        <f>INDEX(Unit_Rates!$C$7:$K$54,MATCH($C46,Unit_Rates!$C$7:$C$54,0),6)</f>
        <v>Augmentation</v>
      </c>
      <c r="F46" s="171" t="str">
        <f t="shared" ref="F46:F47" si="12">D46&amp;E46</f>
        <v>SCADA/Network controlAugmentation</v>
      </c>
      <c r="G46" s="268">
        <f>INDEX(Unit_Rates!$C$7:$K$54,MATCH($C46,Unit_Rates!$C$7:$C$54,0),7)</f>
        <v>31.775830570902396</v>
      </c>
      <c r="H46" s="299">
        <v>1</v>
      </c>
      <c r="I46" s="264" t="s">
        <v>292</v>
      </c>
      <c r="J46" s="157"/>
      <c r="K46" s="225">
        <f t="shared" ref="K46" si="13">G46*H46</f>
        <v>31.775830570902396</v>
      </c>
      <c r="L46" s="225">
        <f t="shared" ref="L46" si="14">SUMPRODUCT(R$5:X$5,R46:X46)/Thousands</f>
        <v>0</v>
      </c>
      <c r="M46" s="307"/>
      <c r="N46" s="568"/>
      <c r="O46" s="573"/>
      <c r="P46" s="569"/>
      <c r="Q46" s="336">
        <f>P46-H46*VLOOKUP(C46,Unit_Rates!$C$44:$E$54,3,FALSE)</f>
        <v>0</v>
      </c>
      <c r="R46" s="327">
        <v>0</v>
      </c>
      <c r="S46" s="327">
        <v>0</v>
      </c>
      <c r="T46" s="327">
        <v>0</v>
      </c>
      <c r="U46" s="327">
        <v>0</v>
      </c>
      <c r="V46" s="327">
        <v>0</v>
      </c>
      <c r="W46" s="327">
        <v>0</v>
      </c>
      <c r="X46" s="327">
        <v>0</v>
      </c>
      <c r="Y46" s="14">
        <f t="shared" ref="Y46" si="15">SUM(R46:X46)</f>
        <v>0</v>
      </c>
      <c r="AO46" s="236"/>
      <c r="AP46" s="236"/>
      <c r="AQ46" s="236"/>
      <c r="AR46" s="236"/>
      <c r="AS46" s="236"/>
      <c r="AT46" s="236"/>
      <c r="AU46" s="236"/>
      <c r="AV46" s="236"/>
      <c r="AW46" s="415"/>
      <c r="AX46" s="236"/>
      <c r="AY46" s="236"/>
      <c r="AZ46" s="416"/>
      <c r="BA46" s="236"/>
    </row>
    <row r="47" spans="2:53" x14ac:dyDescent="0.3">
      <c r="B47" s="232"/>
      <c r="C47" s="276" t="s">
        <v>330</v>
      </c>
      <c r="D47" s="171" t="str">
        <f>INDEX(Unit_Rates!$C$7:$K$54,MATCH($C47,Unit_Rates!$C$7:$C$54,0),5)</f>
        <v>SCADA/Network control</v>
      </c>
      <c r="E47" s="171" t="str">
        <f>INDEX(Unit_Rates!$C$7:$K$54,MATCH($C47,Unit_Rates!$C$7:$C$54,0),6)</f>
        <v>Augmentation</v>
      </c>
      <c r="F47" s="171" t="str">
        <f t="shared" si="12"/>
        <v>SCADA/Network controlAugmentation</v>
      </c>
      <c r="G47" s="268">
        <f>INDEX(Unit_Rates!$C$7:$K$54,MATCH($C47,Unit_Rates!$C$7:$C$54,0),7)</f>
        <v>87.015440147329656</v>
      </c>
      <c r="H47" s="299">
        <v>1</v>
      </c>
      <c r="I47" s="264" t="s">
        <v>292</v>
      </c>
      <c r="J47" s="157"/>
      <c r="K47" s="225">
        <f t="shared" si="11"/>
        <v>87.015440147329656</v>
      </c>
      <c r="L47" s="225"/>
      <c r="M47" s="307"/>
      <c r="N47" s="568"/>
      <c r="O47" s="573"/>
      <c r="P47" s="569"/>
      <c r="Q47" s="336">
        <f>P47-H47*VLOOKUP(C47,Unit_Rates!$C$44:$E$54,3,FALSE)</f>
        <v>0</v>
      </c>
      <c r="R47" s="327">
        <v>0</v>
      </c>
      <c r="S47" s="327">
        <v>0</v>
      </c>
      <c r="T47" s="327">
        <v>0</v>
      </c>
      <c r="U47" s="327">
        <v>0</v>
      </c>
      <c r="V47" s="327">
        <v>0</v>
      </c>
      <c r="W47" s="327">
        <v>0</v>
      </c>
      <c r="X47" s="327">
        <v>0</v>
      </c>
      <c r="Y47" s="14">
        <f t="shared" ref="Y47" si="16">SUM(R47:X47)</f>
        <v>0</v>
      </c>
      <c r="AO47" s="236"/>
      <c r="AP47" s="236"/>
      <c r="AQ47" s="236"/>
      <c r="AR47" s="236"/>
      <c r="AS47" s="236"/>
      <c r="AT47" s="236"/>
      <c r="AU47" s="236"/>
      <c r="AV47" s="236"/>
      <c r="AW47" s="415"/>
      <c r="AX47" s="236"/>
      <c r="AY47" s="236"/>
      <c r="AZ47" s="416"/>
      <c r="BA47" s="236"/>
    </row>
    <row r="48" spans="2:53" x14ac:dyDescent="0.3">
      <c r="B48" s="232"/>
      <c r="C48" s="171" t="s">
        <v>324</v>
      </c>
      <c r="D48" s="276" t="s">
        <v>22</v>
      </c>
      <c r="E48" s="276" t="s">
        <v>42</v>
      </c>
      <c r="F48" s="171" t="str">
        <f t="shared" si="8"/>
        <v>SCADA/Network controlAugmentation</v>
      </c>
      <c r="G48" s="441">
        <v>16.667292817679559</v>
      </c>
      <c r="H48" s="299">
        <v>1</v>
      </c>
      <c r="I48" s="264" t="s">
        <v>292</v>
      </c>
      <c r="J48" s="157"/>
      <c r="K48" s="225">
        <f t="shared" ref="K48:K49" si="17">G48*H48</f>
        <v>16.667292817679559</v>
      </c>
      <c r="L48" s="225">
        <f t="shared" si="9"/>
        <v>0</v>
      </c>
      <c r="M48" s="307"/>
      <c r="N48" s="568"/>
      <c r="O48" s="573"/>
      <c r="P48" s="569"/>
      <c r="Q48" s="290"/>
      <c r="R48" s="327">
        <v>0</v>
      </c>
      <c r="S48" s="327">
        <v>0</v>
      </c>
      <c r="T48" s="327">
        <v>0</v>
      </c>
      <c r="U48" s="327">
        <v>0</v>
      </c>
      <c r="V48" s="327">
        <v>0</v>
      </c>
      <c r="W48" s="327">
        <v>0</v>
      </c>
      <c r="X48" s="327">
        <v>0</v>
      </c>
      <c r="Y48" s="14">
        <f t="shared" si="10"/>
        <v>0</v>
      </c>
      <c r="AO48" s="236"/>
      <c r="AP48" s="236"/>
      <c r="AQ48" s="236"/>
      <c r="AR48" s="236"/>
      <c r="AS48" s="236"/>
      <c r="AT48" s="236"/>
      <c r="AU48" s="236"/>
      <c r="AV48" s="236"/>
      <c r="AW48" s="415"/>
      <c r="AX48" s="236"/>
      <c r="AY48" s="236"/>
      <c r="AZ48" s="416"/>
      <c r="BA48" s="236"/>
    </row>
    <row r="49" spans="2:53" x14ac:dyDescent="0.3">
      <c r="B49" s="232"/>
      <c r="C49" s="171" t="s">
        <v>322</v>
      </c>
      <c r="D49" s="276" t="s">
        <v>22</v>
      </c>
      <c r="E49" s="276" t="s">
        <v>42</v>
      </c>
      <c r="F49" s="171" t="str">
        <f t="shared" si="8"/>
        <v>SCADA/Network controlAugmentation</v>
      </c>
      <c r="G49" s="441">
        <v>436.54172375690609</v>
      </c>
      <c r="H49" s="533">
        <v>1</v>
      </c>
      <c r="I49" s="264" t="s">
        <v>292</v>
      </c>
      <c r="J49" s="157"/>
      <c r="K49" s="225">
        <f t="shared" si="17"/>
        <v>436.54172375690609</v>
      </c>
      <c r="L49" s="225">
        <f t="shared" si="9"/>
        <v>0</v>
      </c>
      <c r="M49" s="307"/>
      <c r="N49" s="568"/>
      <c r="O49" s="573"/>
      <c r="P49" s="569"/>
      <c r="Q49" s="290"/>
      <c r="R49" s="327">
        <v>0</v>
      </c>
      <c r="S49" s="327">
        <v>0</v>
      </c>
      <c r="T49" s="327">
        <v>0</v>
      </c>
      <c r="U49" s="327">
        <v>0</v>
      </c>
      <c r="V49" s="327">
        <v>0</v>
      </c>
      <c r="W49" s="327">
        <v>0</v>
      </c>
      <c r="X49" s="327">
        <v>0</v>
      </c>
      <c r="Y49" s="14">
        <f t="shared" si="10"/>
        <v>0</v>
      </c>
      <c r="AO49" s="236"/>
      <c r="AP49" s="236"/>
      <c r="AQ49" s="236"/>
      <c r="AR49" s="236"/>
      <c r="AS49" s="236"/>
      <c r="AT49" s="236"/>
      <c r="AU49" s="236"/>
      <c r="AV49" s="236"/>
      <c r="AW49" s="415"/>
      <c r="AX49" s="236"/>
      <c r="AY49" s="236"/>
      <c r="AZ49" s="416"/>
      <c r="BA49" s="236"/>
    </row>
    <row r="50" spans="2:53" x14ac:dyDescent="0.3">
      <c r="B50" s="251" t="s">
        <v>281</v>
      </c>
      <c r="C50" s="171"/>
      <c r="D50" s="236" t="s">
        <v>18</v>
      </c>
      <c r="E50" s="236" t="s">
        <v>42</v>
      </c>
      <c r="F50" s="171" t="str">
        <f t="shared" si="8"/>
        <v>SubtransmissionAugmentation</v>
      </c>
      <c r="G50" s="441">
        <v>45.20150573112339</v>
      </c>
      <c r="H50" s="299"/>
      <c r="I50" s="264" t="s">
        <v>292</v>
      </c>
      <c r="J50" s="157"/>
      <c r="K50" s="225">
        <f>G50*H50</f>
        <v>0</v>
      </c>
      <c r="L50" s="225">
        <f t="shared" si="9"/>
        <v>0</v>
      </c>
      <c r="M50" s="307"/>
      <c r="N50" s="568"/>
      <c r="O50" s="573"/>
      <c r="P50" s="569"/>
      <c r="Q50" s="290"/>
      <c r="R50" s="327">
        <v>0</v>
      </c>
      <c r="S50" s="327">
        <v>0</v>
      </c>
      <c r="T50" s="327">
        <v>0</v>
      </c>
      <c r="U50" s="327">
        <v>0</v>
      </c>
      <c r="V50" s="327">
        <v>0</v>
      </c>
      <c r="W50" s="327">
        <v>0</v>
      </c>
      <c r="X50" s="327">
        <v>0</v>
      </c>
      <c r="Y50" s="14">
        <f t="shared" si="10"/>
        <v>0</v>
      </c>
      <c r="AO50" s="236"/>
      <c r="AP50" s="318"/>
      <c r="AQ50" s="318"/>
      <c r="AR50" s="551"/>
      <c r="AS50" s="551"/>
      <c r="AT50" s="551"/>
      <c r="AU50" s="551"/>
      <c r="AV50" s="551"/>
      <c r="AW50" s="551"/>
      <c r="AX50" s="547"/>
      <c r="AY50" s="236"/>
      <c r="AZ50" s="416"/>
      <c r="BA50" s="236"/>
    </row>
    <row r="51" spans="2:53" x14ac:dyDescent="0.3">
      <c r="B51" s="251" t="s">
        <v>312</v>
      </c>
      <c r="C51" s="171"/>
      <c r="D51" s="171"/>
      <c r="E51" s="171"/>
      <c r="F51" s="276"/>
      <c r="G51" s="265"/>
      <c r="H51" s="232"/>
      <c r="I51" s="224"/>
      <c r="J51" s="171"/>
      <c r="K51" s="225"/>
      <c r="L51" s="225"/>
      <c r="M51" s="225"/>
      <c r="N51" s="222"/>
      <c r="O51" s="225"/>
      <c r="P51" s="223"/>
      <c r="Q51" s="290"/>
      <c r="R51" s="326"/>
      <c r="S51" s="326"/>
      <c r="T51" s="326"/>
      <c r="U51" s="326"/>
      <c r="V51" s="326"/>
      <c r="W51" s="326"/>
      <c r="X51" s="326"/>
      <c r="Y51" s="14">
        <f t="shared" si="10"/>
        <v>0</v>
      </c>
      <c r="AO51" s="236"/>
      <c r="AP51" s="236"/>
      <c r="AQ51" s="558"/>
      <c r="AR51" s="553"/>
      <c r="AS51" s="553"/>
      <c r="AT51" s="553"/>
      <c r="AU51" s="553"/>
      <c r="AV51" s="553"/>
      <c r="AW51" s="553"/>
      <c r="AX51" s="236"/>
      <c r="AY51" s="236"/>
      <c r="AZ51" s="561"/>
      <c r="BA51" s="236"/>
    </row>
    <row r="52" spans="2:53" x14ac:dyDescent="0.3">
      <c r="B52" s="232"/>
      <c r="C52" s="171" t="s">
        <v>311</v>
      </c>
      <c r="D52" s="236" t="s">
        <v>18</v>
      </c>
      <c r="E52" s="236" t="s">
        <v>42</v>
      </c>
      <c r="F52" s="171" t="str">
        <f t="shared" ref="F52:F58" si="18">D52&amp;E52</f>
        <v>SubtransmissionAugmentation</v>
      </c>
      <c r="G52" s="441">
        <v>0</v>
      </c>
      <c r="H52" s="299"/>
      <c r="I52" s="264" t="s">
        <v>292</v>
      </c>
      <c r="J52" s="171"/>
      <c r="K52" s="225">
        <f>G52*H52</f>
        <v>0</v>
      </c>
      <c r="L52" s="225">
        <f>SUMPRODUCT(R$5:X$5,R52:X52)/Thousands</f>
        <v>0</v>
      </c>
      <c r="M52" s="307"/>
      <c r="N52" s="568"/>
      <c r="O52" s="573"/>
      <c r="P52" s="569"/>
      <c r="Q52" s="290"/>
      <c r="R52" s="327">
        <v>0</v>
      </c>
      <c r="S52" s="327">
        <v>0</v>
      </c>
      <c r="T52" s="327">
        <v>0</v>
      </c>
      <c r="U52" s="327">
        <v>0</v>
      </c>
      <c r="V52" s="327">
        <v>0</v>
      </c>
      <c r="W52" s="327">
        <v>0</v>
      </c>
      <c r="X52" s="327">
        <v>0</v>
      </c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</row>
    <row r="53" spans="2:53" x14ac:dyDescent="0.3">
      <c r="B53" s="232"/>
      <c r="C53" s="236" t="s">
        <v>316</v>
      </c>
      <c r="D53" s="171" t="str">
        <f>Unit_Rates!G39</f>
        <v>Subtransmission</v>
      </c>
      <c r="E53" s="171" t="str">
        <f>Unit_Rates!H39</f>
        <v>Augmentation</v>
      </c>
      <c r="F53" s="171" t="str">
        <f t="shared" si="18"/>
        <v>SubtransmissionAugmentation</v>
      </c>
      <c r="G53" s="268">
        <f>Unit_Rates!$I$39</f>
        <v>123.95348837209301</v>
      </c>
      <c r="H53" s="299"/>
      <c r="I53" s="264" t="s">
        <v>292</v>
      </c>
      <c r="J53" s="171"/>
      <c r="K53" s="225">
        <f>G53*H53</f>
        <v>0</v>
      </c>
      <c r="L53" s="225">
        <f>SUMPRODUCT(R$5:X$5,R53:X53)/Thousands</f>
        <v>0</v>
      </c>
      <c r="M53" s="307"/>
      <c r="N53" s="568"/>
      <c r="O53" s="568"/>
      <c r="P53" s="569"/>
      <c r="Q53" s="336">
        <f>P53-H53*VLOOKUP("Oil separator",Unit_Rates!$C$7:$E$39,3,FALSE)</f>
        <v>0</v>
      </c>
      <c r="R53" s="327">
        <v>0</v>
      </c>
      <c r="S53" s="327">
        <v>0</v>
      </c>
      <c r="T53" s="327">
        <v>0</v>
      </c>
      <c r="U53" s="327">
        <v>0</v>
      </c>
      <c r="V53" s="327">
        <v>0</v>
      </c>
      <c r="W53" s="327">
        <v>0</v>
      </c>
      <c r="X53" s="327">
        <v>0</v>
      </c>
      <c r="Y53" s="14">
        <f t="shared" ref="Y53:Y58" si="19">SUM(R53:X53)</f>
        <v>0</v>
      </c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</row>
    <row r="54" spans="2:53" x14ac:dyDescent="0.3">
      <c r="B54" s="232"/>
      <c r="C54" s="296" t="s">
        <v>317</v>
      </c>
      <c r="D54" s="171" t="s">
        <v>18</v>
      </c>
      <c r="E54" s="276" t="s">
        <v>42</v>
      </c>
      <c r="F54" s="171" t="str">
        <f t="shared" si="18"/>
        <v>SubtransmissionAugmentation</v>
      </c>
      <c r="G54" s="441">
        <v>0</v>
      </c>
      <c r="H54" s="299"/>
      <c r="I54" s="264" t="s">
        <v>292</v>
      </c>
      <c r="J54" s="171"/>
      <c r="K54" s="225">
        <f>G54*H54</f>
        <v>0</v>
      </c>
      <c r="L54" s="225">
        <f>SUMPRODUCT(R$5:X$5,R54:X54)/Thousands</f>
        <v>0</v>
      </c>
      <c r="M54" s="307"/>
      <c r="N54" s="568"/>
      <c r="O54" s="573"/>
      <c r="P54" s="569"/>
      <c r="Q54" s="290"/>
      <c r="R54" s="327">
        <v>0</v>
      </c>
      <c r="S54" s="327">
        <v>0</v>
      </c>
      <c r="T54" s="327">
        <v>0</v>
      </c>
      <c r="U54" s="327">
        <v>0</v>
      </c>
      <c r="V54" s="327">
        <v>0</v>
      </c>
      <c r="W54" s="327">
        <v>0</v>
      </c>
      <c r="X54" s="327">
        <v>0</v>
      </c>
      <c r="Y54" s="14">
        <f t="shared" si="19"/>
        <v>0</v>
      </c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</row>
    <row r="55" spans="2:53" x14ac:dyDescent="0.3">
      <c r="B55" s="313" t="s">
        <v>284</v>
      </c>
      <c r="C55" s="296"/>
      <c r="D55" s="171" t="s">
        <v>18</v>
      </c>
      <c r="E55" s="276" t="s">
        <v>42</v>
      </c>
      <c r="F55" s="171" t="str">
        <f t="shared" si="18"/>
        <v>SubtransmissionAugmentation</v>
      </c>
      <c r="G55" s="268">
        <v>0</v>
      </c>
      <c r="H55" s="299">
        <v>1</v>
      </c>
      <c r="I55" s="264" t="s">
        <v>292</v>
      </c>
      <c r="J55" s="171"/>
      <c r="K55" s="228">
        <v>0</v>
      </c>
      <c r="L55" s="228">
        <f>SUMPRODUCT(R$5:X$5,R55:X55)/Thousands</f>
        <v>0</v>
      </c>
      <c r="M55" s="312"/>
      <c r="N55" s="568"/>
      <c r="O55" s="566"/>
      <c r="P55" s="569"/>
      <c r="Q55" s="290"/>
      <c r="R55" s="327">
        <v>0</v>
      </c>
      <c r="S55" s="327">
        <v>0</v>
      </c>
      <c r="T55" s="327">
        <v>0</v>
      </c>
      <c r="U55" s="327">
        <v>0</v>
      </c>
      <c r="V55" s="327">
        <v>0</v>
      </c>
      <c r="W55" s="327">
        <v>0</v>
      </c>
      <c r="X55" s="327">
        <v>0</v>
      </c>
      <c r="Y55" s="14">
        <f t="shared" si="19"/>
        <v>0</v>
      </c>
      <c r="AO55" s="236"/>
      <c r="AP55" s="318"/>
      <c r="AQ55" s="546"/>
      <c r="AR55" s="318"/>
      <c r="AS55" s="318"/>
      <c r="AT55" s="318"/>
      <c r="AU55" s="318"/>
      <c r="AV55" s="318"/>
      <c r="AW55" s="318"/>
      <c r="AX55" s="547"/>
      <c r="AY55" s="236"/>
      <c r="AZ55" s="236"/>
      <c r="BA55" s="236"/>
    </row>
    <row r="56" spans="2:53" x14ac:dyDescent="0.3">
      <c r="B56" s="251" t="s">
        <v>268</v>
      </c>
      <c r="C56" s="171"/>
      <c r="D56" s="171" t="s">
        <v>195</v>
      </c>
      <c r="E56" s="276" t="s">
        <v>66</v>
      </c>
      <c r="F56" s="171" t="str">
        <f t="shared" si="18"/>
        <v>LandNon-Network</v>
      </c>
      <c r="G56" s="268">
        <v>0</v>
      </c>
      <c r="H56" s="299"/>
      <c r="I56" s="264" t="s">
        <v>292</v>
      </c>
      <c r="J56" s="171"/>
      <c r="K56" s="228">
        <v>0</v>
      </c>
      <c r="L56" s="228">
        <f>SUMPRODUCT(R$5:X$5,R56:X56)/Thousands</f>
        <v>0</v>
      </c>
      <c r="M56" s="312"/>
      <c r="N56" s="568"/>
      <c r="O56" s="566"/>
      <c r="P56" s="569"/>
      <c r="Q56" s="19"/>
      <c r="R56" s="327">
        <v>0</v>
      </c>
      <c r="S56" s="327">
        <v>0</v>
      </c>
      <c r="T56" s="327">
        <v>0</v>
      </c>
      <c r="U56" s="327">
        <v>0</v>
      </c>
      <c r="V56" s="327">
        <v>0</v>
      </c>
      <c r="W56" s="327">
        <v>0</v>
      </c>
      <c r="X56" s="327">
        <v>0</v>
      </c>
      <c r="Y56" s="14">
        <f t="shared" si="19"/>
        <v>0</v>
      </c>
      <c r="AO56" s="236"/>
      <c r="AP56" s="318"/>
      <c r="AQ56" s="236"/>
      <c r="AR56" s="274"/>
      <c r="AS56" s="555"/>
      <c r="AT56" s="556"/>
      <c r="AU56" s="274"/>
      <c r="AV56" s="274"/>
      <c r="AW56" s="415"/>
      <c r="AX56" s="547"/>
      <c r="AY56" s="236"/>
      <c r="AZ56" s="236"/>
      <c r="BA56" s="236"/>
    </row>
    <row r="57" spans="2:53" x14ac:dyDescent="0.3">
      <c r="B57" s="251"/>
      <c r="C57" s="171"/>
      <c r="D57" s="171"/>
      <c r="E57" s="276"/>
      <c r="F57" s="171"/>
      <c r="G57" s="268"/>
      <c r="H57" s="277"/>
      <c r="I57" s="266"/>
      <c r="J57" s="236"/>
      <c r="K57" s="268"/>
      <c r="L57" s="268"/>
      <c r="M57" s="268"/>
      <c r="N57" s="281"/>
      <c r="O57" s="268"/>
      <c r="P57" s="305"/>
      <c r="Q57" s="347"/>
      <c r="R57" s="274"/>
      <c r="S57" s="274"/>
      <c r="T57" s="274"/>
      <c r="U57" s="274"/>
      <c r="V57" s="274"/>
      <c r="W57" s="274"/>
      <c r="X57" s="274"/>
      <c r="Y57" s="14"/>
      <c r="AO57" s="236"/>
      <c r="AP57" s="318"/>
      <c r="AQ57" s="236"/>
      <c r="AR57" s="274"/>
      <c r="AS57" s="555"/>
      <c r="AT57" s="274"/>
      <c r="AU57" s="274"/>
      <c r="AV57" s="274"/>
      <c r="AW57" s="415"/>
      <c r="AX57" s="236"/>
      <c r="AY57" s="236"/>
      <c r="AZ57" s="236"/>
      <c r="BA57" s="236"/>
    </row>
    <row r="58" spans="2:53" x14ac:dyDescent="0.3">
      <c r="B58" s="442" t="s">
        <v>427</v>
      </c>
      <c r="C58" s="171"/>
      <c r="D58" s="171" t="s">
        <v>18</v>
      </c>
      <c r="E58" s="276" t="s">
        <v>44</v>
      </c>
      <c r="F58" s="171" t="str">
        <f t="shared" si="18"/>
        <v>SubtransmissionReplacement</v>
      </c>
      <c r="G58" s="268">
        <v>0</v>
      </c>
      <c r="H58" s="299"/>
      <c r="I58" s="264" t="s">
        <v>292</v>
      </c>
      <c r="J58" s="171"/>
      <c r="K58" s="428">
        <f>G58*H58</f>
        <v>0</v>
      </c>
      <c r="L58" s="428">
        <f>SUMPRODUCT(R$5:X$5,R58:X58)/Thousands</f>
        <v>0</v>
      </c>
      <c r="M58" s="429"/>
      <c r="N58" s="574"/>
      <c r="O58" s="576"/>
      <c r="P58" s="577"/>
      <c r="Q58" s="19"/>
      <c r="R58" s="327">
        <v>0</v>
      </c>
      <c r="S58" s="327">
        <v>0</v>
      </c>
      <c r="T58" s="327">
        <v>0</v>
      </c>
      <c r="U58" s="327">
        <v>0</v>
      </c>
      <c r="V58" s="327">
        <v>0</v>
      </c>
      <c r="W58" s="327">
        <v>0</v>
      </c>
      <c r="X58" s="327">
        <v>0</v>
      </c>
      <c r="Y58" s="14">
        <f t="shared" si="19"/>
        <v>0</v>
      </c>
      <c r="AO58" s="236"/>
      <c r="AP58" s="318"/>
      <c r="AQ58" s="236"/>
      <c r="AR58" s="274"/>
      <c r="AS58" s="274"/>
      <c r="AT58" s="274"/>
      <c r="AU58" s="274"/>
      <c r="AV58" s="274"/>
      <c r="AW58" s="415"/>
      <c r="AX58" s="236"/>
      <c r="AY58" s="236"/>
      <c r="AZ58" s="236"/>
      <c r="BA58" s="236"/>
    </row>
    <row r="59" spans="2:53" x14ac:dyDescent="0.3">
      <c r="B59" s="232"/>
      <c r="C59" s="171"/>
      <c r="D59" s="171"/>
      <c r="E59" s="171"/>
      <c r="F59" s="171"/>
      <c r="G59" s="224"/>
      <c r="H59" s="232"/>
      <c r="I59" s="224"/>
      <c r="J59" s="171"/>
      <c r="K59" s="229"/>
      <c r="L59" s="229"/>
      <c r="M59" s="229"/>
      <c r="N59" s="229"/>
      <c r="O59" s="229"/>
      <c r="P59" s="229"/>
      <c r="AO59" s="236"/>
      <c r="AP59" s="236"/>
      <c r="AQ59" s="236"/>
      <c r="AR59" s="415"/>
      <c r="AS59" s="415"/>
      <c r="AT59" s="415"/>
      <c r="AU59" s="415"/>
      <c r="AV59" s="415"/>
      <c r="AW59" s="415"/>
      <c r="AX59" s="236"/>
      <c r="AY59" s="236"/>
      <c r="AZ59" s="236"/>
      <c r="BA59" s="236"/>
    </row>
    <row r="60" spans="2:53" x14ac:dyDescent="0.3">
      <c r="B60" s="251" t="s">
        <v>282</v>
      </c>
      <c r="C60" s="171"/>
      <c r="D60" s="171"/>
      <c r="E60" s="171"/>
      <c r="F60" s="171"/>
      <c r="G60" s="224"/>
      <c r="H60" s="232"/>
      <c r="I60" s="224"/>
      <c r="J60" s="171"/>
      <c r="K60" s="319">
        <v>4157.379497170431</v>
      </c>
      <c r="L60" s="319">
        <v>846.03750000000002</v>
      </c>
      <c r="M60" s="319">
        <v>644.55813953488359</v>
      </c>
      <c r="N60" s="319">
        <v>2216.5872301169215</v>
      </c>
      <c r="O60" s="319">
        <v>378.76374762088312</v>
      </c>
      <c r="P60" s="319">
        <v>8243.3261144431181</v>
      </c>
      <c r="Q60" s="178"/>
      <c r="AO60" s="236"/>
      <c r="AP60" s="236"/>
      <c r="AQ60" s="558"/>
      <c r="AR60" s="553"/>
      <c r="AS60" s="553"/>
      <c r="AT60" s="553"/>
      <c r="AU60" s="553"/>
      <c r="AV60" s="553"/>
      <c r="AW60" s="553"/>
      <c r="AX60" s="236"/>
      <c r="AY60" s="236"/>
      <c r="AZ60" s="236"/>
      <c r="BA60" s="236"/>
    </row>
    <row r="61" spans="2:53" x14ac:dyDescent="0.3">
      <c r="B61" s="259" t="s">
        <v>55</v>
      </c>
      <c r="C61" s="260"/>
      <c r="D61" s="260"/>
      <c r="E61" s="260"/>
      <c r="F61" s="260"/>
      <c r="G61" s="267"/>
      <c r="H61" s="259"/>
      <c r="I61" s="267"/>
      <c r="J61" s="260"/>
      <c r="K61" s="320">
        <f>K60-Direct_Capex_Totals!Q9</f>
        <v>0</v>
      </c>
      <c r="L61" s="321">
        <f>L60-Direct_Capex_Totals!R9</f>
        <v>0</v>
      </c>
      <c r="M61" s="321">
        <f>M60-Direct_Capex_Totals!S9</f>
        <v>0</v>
      </c>
      <c r="N61" s="321">
        <f>N60-Direct_Capex_Totals!T9</f>
        <v>0</v>
      </c>
      <c r="O61" s="321">
        <f>O60-Direct_Capex_Totals!U9</f>
        <v>0</v>
      </c>
      <c r="P61" s="322">
        <f>SUM(K61:O61)</f>
        <v>0</v>
      </c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</row>
    <row r="62" spans="2:53" ht="28.95" x14ac:dyDescent="0.3">
      <c r="B62" s="237" t="s">
        <v>262</v>
      </c>
      <c r="C62" s="238"/>
      <c r="D62" s="292"/>
      <c r="E62" s="292"/>
      <c r="F62" s="292"/>
      <c r="G62" s="273" t="s">
        <v>302</v>
      </c>
      <c r="H62" s="340" t="s">
        <v>265</v>
      </c>
      <c r="I62" s="18" t="s">
        <v>293</v>
      </c>
      <c r="J62" s="260"/>
      <c r="K62" s="18" t="s">
        <v>135</v>
      </c>
      <c r="L62" s="18" t="s">
        <v>290</v>
      </c>
      <c r="M62" s="273" t="s">
        <v>136</v>
      </c>
      <c r="N62" s="273" t="s">
        <v>137</v>
      </c>
      <c r="O62" s="18" t="s">
        <v>60</v>
      </c>
      <c r="P62" s="18" t="s">
        <v>291</v>
      </c>
    </row>
    <row r="63" spans="2:53" x14ac:dyDescent="0.3">
      <c r="B63" s="251"/>
      <c r="C63" s="171"/>
      <c r="D63" s="171"/>
      <c r="E63" s="171"/>
      <c r="F63" s="171"/>
      <c r="G63" s="224"/>
      <c r="H63" s="232"/>
      <c r="I63" s="224"/>
      <c r="J63" s="171"/>
      <c r="K63" s="235"/>
      <c r="L63" s="235"/>
      <c r="M63" s="235"/>
      <c r="N63" s="235"/>
      <c r="O63" s="235"/>
      <c r="P63" s="224"/>
    </row>
    <row r="64" spans="2:53" x14ac:dyDescent="0.3">
      <c r="B64" s="251" t="s">
        <v>17</v>
      </c>
      <c r="C64" s="171"/>
      <c r="D64" s="171"/>
      <c r="E64" s="171"/>
      <c r="F64" s="171"/>
      <c r="G64" s="224"/>
      <c r="H64" s="232"/>
      <c r="I64" s="224"/>
      <c r="J64" s="171"/>
      <c r="K64" s="235"/>
      <c r="L64" s="235"/>
      <c r="M64" s="235"/>
      <c r="N64" s="235"/>
      <c r="O64" s="235"/>
      <c r="P64" s="224"/>
      <c r="Y64" s="14"/>
      <c r="AI64" t="s">
        <v>486</v>
      </c>
    </row>
    <row r="65" spans="2:35" x14ac:dyDescent="0.3">
      <c r="B65" s="251"/>
      <c r="C65" s="282" t="s">
        <v>328</v>
      </c>
      <c r="D65" s="282" t="str">
        <f>IF($B$3="WYK2",Unit_Rates!G60,Unit_Rates!G61)</f>
        <v>Distribution system assets</v>
      </c>
      <c r="E65" s="282" t="str">
        <f>IF($B$3="WYK2",Unit_Rates!H60,Unit_Rates!H61)</f>
        <v>Augmentation</v>
      </c>
      <c r="F65" s="171" t="str">
        <f t="shared" ref="F65:F72" si="20">D65&amp;E65</f>
        <v>Distribution system assetsAugmentation</v>
      </c>
      <c r="G65" s="283">
        <v>0</v>
      </c>
      <c r="H65" s="455">
        <f>INDEX(Feeder_Vols!$E$7:$O$16,MATCH($B$3,Feeder_Vols!$B$7:$B$15,0),MATCH(1,Feeder_Vols!$E$6:$O$6,0))</f>
        <v>9</v>
      </c>
      <c r="I65" s="224" t="s">
        <v>297</v>
      </c>
      <c r="J65" s="282"/>
      <c r="K65" s="283"/>
      <c r="L65" s="283">
        <f t="shared" ref="L65:L72" si="21">SUMPRODUCT(R$5:X$5,R65:X65)/Thousands</f>
        <v>73.886437038316629</v>
      </c>
      <c r="M65" s="283">
        <f>$H65*IF($B$3="WYK2",Unit_Rates!K60,Unit_Rates!K61)</f>
        <v>163.1872465116279</v>
      </c>
      <c r="N65" s="283">
        <f>$H65*IF($B$3="WYK2",Unit_Rates!L60,Unit_Rates!L61)</f>
        <v>0</v>
      </c>
      <c r="O65" s="283">
        <f>$H65*IF($B$3="WYK2",Unit_Rates!M60,Unit_Rates!M61)</f>
        <v>0</v>
      </c>
      <c r="P65" s="228">
        <f t="shared" ref="P65:P72" si="22">SUM(K65:O65)</f>
        <v>237.07368354994452</v>
      </c>
      <c r="Q65" s="333"/>
      <c r="R65" s="327">
        <f>$AI65*Z65*$H65</f>
        <v>133.2236842105263</v>
      </c>
      <c r="S65" s="327">
        <f t="shared" ref="S65:X72" si="23">$AI65*AA65*$H65</f>
        <v>356.51408450704224</v>
      </c>
      <c r="T65" s="327">
        <f t="shared" si="23"/>
        <v>0</v>
      </c>
      <c r="U65" s="327">
        <f t="shared" si="23"/>
        <v>0</v>
      </c>
      <c r="V65" s="327">
        <f t="shared" si="23"/>
        <v>0</v>
      </c>
      <c r="W65" s="327">
        <f t="shared" si="23"/>
        <v>0</v>
      </c>
      <c r="X65" s="327">
        <f t="shared" si="23"/>
        <v>0</v>
      </c>
      <c r="Y65" s="14">
        <f t="shared" ref="Y65:Y72" si="24">SUM(R65:X65)</f>
        <v>489.73776871756854</v>
      </c>
      <c r="Z65" s="15">
        <v>0.27203065134099613</v>
      </c>
      <c r="AA65" s="15">
        <v>0.72796934865900376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6">
        <f>SUM(Z65:AF65)</f>
        <v>0.99999999999999989</v>
      </c>
      <c r="AH65" t="b">
        <f>AG65=1</f>
        <v>1</v>
      </c>
      <c r="AI65" s="390">
        <v>54.415307635285394</v>
      </c>
    </row>
    <row r="66" spans="2:35" x14ac:dyDescent="0.3">
      <c r="B66" s="251"/>
      <c r="C66" s="171" t="s">
        <v>231</v>
      </c>
      <c r="D66" s="282" t="str">
        <f>Unit_Rates!G62</f>
        <v>Distribution system assets</v>
      </c>
      <c r="E66" s="282" t="str">
        <f>Unit_Rates!H62</f>
        <v>Augmentation</v>
      </c>
      <c r="F66" s="171" t="str">
        <f t="shared" si="20"/>
        <v>Distribution system assetsAugmentation</v>
      </c>
      <c r="G66" s="565">
        <f>Unit_Rates!I62</f>
        <v>0</v>
      </c>
      <c r="H66" s="455">
        <f>INDEX(Feeder_Vols!$E$7:$O$16,MATCH($B$3,Feeder_Vols!$B$7:$B$15,0),MATCH(2,Feeder_Vols!$E$6:$O$6,0))</f>
        <v>9</v>
      </c>
      <c r="I66" s="224" t="s">
        <v>298</v>
      </c>
      <c r="J66" s="282"/>
      <c r="K66" s="565"/>
      <c r="L66" s="565"/>
      <c r="M66" s="565"/>
      <c r="N66" s="565"/>
      <c r="O66" s="565"/>
      <c r="P66" s="566"/>
      <c r="Q66" s="28">
        <f>P66-H66*Unit_Rates!$E$62</f>
        <v>0</v>
      </c>
      <c r="R66" s="563"/>
      <c r="S66" s="563"/>
      <c r="T66" s="563"/>
      <c r="U66" s="563"/>
      <c r="V66" s="563"/>
      <c r="W66" s="563"/>
      <c r="X66" s="563"/>
      <c r="Y66" s="564">
        <f t="shared" si="24"/>
        <v>0</v>
      </c>
      <c r="Z66" s="15">
        <v>0</v>
      </c>
      <c r="AA66" s="15">
        <v>0.14071351127025331</v>
      </c>
      <c r="AB66" s="15">
        <v>0.24322448098123187</v>
      </c>
      <c r="AC66" s="15">
        <v>0</v>
      </c>
      <c r="AD66" s="15">
        <v>0.1760177164995757</v>
      </c>
      <c r="AE66" s="15">
        <v>0.44004429124893918</v>
      </c>
      <c r="AF66" s="15">
        <v>0</v>
      </c>
      <c r="AG66" s="16">
        <f t="shared" ref="AG66:AG70" si="25">SUM(Z66:AF66)</f>
        <v>1</v>
      </c>
      <c r="AH66" t="b">
        <f t="shared" ref="AH66:AH70" si="26">AG66=1</f>
        <v>1</v>
      </c>
      <c r="AI66" s="562"/>
    </row>
    <row r="67" spans="2:35" x14ac:dyDescent="0.3">
      <c r="B67" s="251"/>
      <c r="C67" s="171" t="s">
        <v>235</v>
      </c>
      <c r="D67" s="282" t="str">
        <f>Unit_Rates!G63</f>
        <v>Distribution system assets</v>
      </c>
      <c r="E67" s="282" t="str">
        <f>Unit_Rates!H63</f>
        <v>Augmentation</v>
      </c>
      <c r="F67" s="171" t="str">
        <f t="shared" si="20"/>
        <v>Distribution system assetsAugmentation</v>
      </c>
      <c r="G67" s="565">
        <f>Unit_Rates!I63</f>
        <v>0</v>
      </c>
      <c r="H67" s="455">
        <f>INDEX(Feeder_Vols!$E$7:$O$16,MATCH($B$3,Feeder_Vols!$B$7:$B$15,0),MATCH(3,Feeder_Vols!$E$6:$O$6,0))</f>
        <v>1</v>
      </c>
      <c r="I67" s="224" t="s">
        <v>294</v>
      </c>
      <c r="J67" s="282"/>
      <c r="K67" s="565"/>
      <c r="L67" s="565"/>
      <c r="M67" s="565"/>
      <c r="N67" s="565"/>
      <c r="O67" s="565"/>
      <c r="P67" s="566"/>
      <c r="Q67" s="28">
        <f>P67-H67*Unit_Rates!$E$63</f>
        <v>0</v>
      </c>
      <c r="R67" s="563"/>
      <c r="S67" s="563"/>
      <c r="T67" s="563"/>
      <c r="U67" s="563"/>
      <c r="V67" s="563"/>
      <c r="W67" s="563"/>
      <c r="X67" s="563"/>
      <c r="Y67" s="564">
        <f t="shared" si="24"/>
        <v>0</v>
      </c>
      <c r="Z67" s="15">
        <v>0</v>
      </c>
      <c r="AA67" s="15">
        <v>0.11317869701862385</v>
      </c>
      <c r="AB67" s="15">
        <v>0.25101832039696309</v>
      </c>
      <c r="AC67" s="15">
        <v>0</v>
      </c>
      <c r="AD67" s="15">
        <v>0.18165799502411806</v>
      </c>
      <c r="AE67" s="15">
        <v>0.45414498756029509</v>
      </c>
      <c r="AF67" s="15">
        <v>0</v>
      </c>
      <c r="AG67" s="16">
        <f t="shared" si="25"/>
        <v>1</v>
      </c>
      <c r="AH67" t="b">
        <f t="shared" si="26"/>
        <v>1</v>
      </c>
      <c r="AI67" s="562"/>
    </row>
    <row r="68" spans="2:35" x14ac:dyDescent="0.3">
      <c r="B68" s="251"/>
      <c r="C68" s="171" t="s">
        <v>237</v>
      </c>
      <c r="D68" s="282" t="str">
        <f>Unit_Rates!G64</f>
        <v>Distribution system assets</v>
      </c>
      <c r="E68" s="282" t="str">
        <f>Unit_Rates!H64</f>
        <v>Augmentation</v>
      </c>
      <c r="F68" s="171" t="str">
        <f t="shared" si="20"/>
        <v>Distribution system assetsAugmentation</v>
      </c>
      <c r="G68" s="565">
        <f>Unit_Rates!I64</f>
        <v>0</v>
      </c>
      <c r="H68" s="455">
        <f>INDEX(Feeder_Vols!$E$7:$O$16,MATCH($B$3,Feeder_Vols!$B$7:$B$15,0),MATCH(4,Feeder_Vols!$E$6:$O$6,0))</f>
        <v>56</v>
      </c>
      <c r="I68" s="265" t="s">
        <v>299</v>
      </c>
      <c r="J68" s="282"/>
      <c r="K68" s="565"/>
      <c r="L68" s="565"/>
      <c r="M68" s="565"/>
      <c r="N68" s="565"/>
      <c r="O68" s="565"/>
      <c r="P68" s="566"/>
      <c r="Q68" s="28">
        <f>P68-H68*Unit_Rates!$E$64</f>
        <v>0</v>
      </c>
      <c r="R68" s="563"/>
      <c r="S68" s="563"/>
      <c r="T68" s="563"/>
      <c r="U68" s="563"/>
      <c r="V68" s="563"/>
      <c r="W68" s="563"/>
      <c r="X68" s="563"/>
      <c r="Y68" s="564">
        <f t="shared" si="24"/>
        <v>0</v>
      </c>
      <c r="Z68" s="15">
        <v>0</v>
      </c>
      <c r="AA68" s="15">
        <v>0.17737095137749856</v>
      </c>
      <c r="AB68" s="15">
        <v>0.23284844579258887</v>
      </c>
      <c r="AC68" s="15">
        <v>0</v>
      </c>
      <c r="AD68" s="15">
        <v>0.16850874366568935</v>
      </c>
      <c r="AE68" s="15">
        <v>0.42127185916422333</v>
      </c>
      <c r="AF68" s="15">
        <v>0</v>
      </c>
      <c r="AG68" s="16">
        <f t="shared" si="25"/>
        <v>1</v>
      </c>
      <c r="AH68" t="b">
        <f t="shared" si="26"/>
        <v>1</v>
      </c>
      <c r="AI68" s="562"/>
    </row>
    <row r="69" spans="2:35" x14ac:dyDescent="0.3">
      <c r="B69" s="251"/>
      <c r="C69" s="171" t="s">
        <v>233</v>
      </c>
      <c r="D69" s="282" t="str">
        <f>Unit_Rates!G65</f>
        <v>Distribution system assets</v>
      </c>
      <c r="E69" s="282" t="str">
        <f>Unit_Rates!H65</f>
        <v>Augmentation</v>
      </c>
      <c r="F69" s="171" t="str">
        <f t="shared" si="20"/>
        <v>Distribution system assetsAugmentation</v>
      </c>
      <c r="G69" s="283">
        <f>Unit_Rates!I65</f>
        <v>17.106573023255812</v>
      </c>
      <c r="H69" s="455">
        <f>INDEX(Feeder_Vols!$E$7:$O$16,MATCH($B$3,Feeder_Vols!$B$7:$B$15,0),MATCH(5,Feeder_Vols!$E$6:$O$6,0))</f>
        <v>30</v>
      </c>
      <c r="I69" s="265" t="s">
        <v>300</v>
      </c>
      <c r="J69" s="282"/>
      <c r="K69" s="283">
        <f t="shared" ref="K69" si="27">G69*H69</f>
        <v>513.19719069767439</v>
      </c>
      <c r="L69" s="283">
        <f t="shared" si="21"/>
        <v>97.845602027362418</v>
      </c>
      <c r="M69" s="283">
        <f>$H69*Unit_Rates!K65</f>
        <v>0</v>
      </c>
      <c r="N69" s="283">
        <f>$H69*Unit_Rates!L65</f>
        <v>906.11496056411977</v>
      </c>
      <c r="O69" s="283">
        <f>$H69*Unit_Rates!M65</f>
        <v>114.9030226002462</v>
      </c>
      <c r="P69" s="228">
        <f t="shared" si="22"/>
        <v>1632.0607758894027</v>
      </c>
      <c r="Q69" s="28">
        <f>P69-H69*Unit_Rates!$E$65</f>
        <v>2.3581354973193811</v>
      </c>
      <c r="R69" s="327">
        <f t="shared" ref="R69:R72" si="28">$AI69*Z69*$H69</f>
        <v>0</v>
      </c>
      <c r="S69" s="327">
        <f>$AI69*AA69*$H69</f>
        <v>41.999999999999993</v>
      </c>
      <c r="T69" s="327">
        <f t="shared" si="23"/>
        <v>159.80662889271056</v>
      </c>
      <c r="U69" s="327">
        <f t="shared" si="23"/>
        <v>0</v>
      </c>
      <c r="V69" s="327">
        <f t="shared" si="23"/>
        <v>115.64953406709319</v>
      </c>
      <c r="W69" s="327">
        <f t="shared" si="23"/>
        <v>289.12383516773292</v>
      </c>
      <c r="X69" s="327">
        <f t="shared" si="23"/>
        <v>0</v>
      </c>
      <c r="Y69" s="14">
        <f t="shared" si="24"/>
        <v>606.57999812753667</v>
      </c>
      <c r="Z69" s="15">
        <v>0</v>
      </c>
      <c r="AA69" s="15">
        <v>6.9240660967474346E-2</v>
      </c>
      <c r="AB69" s="15">
        <v>0.26345515741702774</v>
      </c>
      <c r="AC69" s="15">
        <v>0</v>
      </c>
      <c r="AD69" s="15">
        <v>0.19065833760442799</v>
      </c>
      <c r="AE69" s="15">
        <v>0.47664584401106991</v>
      </c>
      <c r="AF69" s="15">
        <v>0</v>
      </c>
      <c r="AG69" s="16">
        <f t="shared" si="25"/>
        <v>1</v>
      </c>
      <c r="AH69" t="b">
        <f t="shared" si="26"/>
        <v>1</v>
      </c>
      <c r="AI69" s="5">
        <v>20.21933327091789</v>
      </c>
    </row>
    <row r="70" spans="2:35" x14ac:dyDescent="0.3">
      <c r="B70" s="251"/>
      <c r="C70" s="282" t="s">
        <v>344</v>
      </c>
      <c r="D70" s="282" t="str">
        <f>Unit_Rates!G66</f>
        <v>Distribution system assets</v>
      </c>
      <c r="E70" s="282" t="str">
        <f>Unit_Rates!H66</f>
        <v>Augmentation</v>
      </c>
      <c r="F70" s="171" t="str">
        <f t="shared" si="20"/>
        <v>Distribution system assetsAugmentation</v>
      </c>
      <c r="G70" s="283">
        <f>Unit_Rates!I66</f>
        <v>0</v>
      </c>
      <c r="H70" s="455">
        <f>INDEX(Feeder_Vols!$E$7:$O$16,MATCH($B$3,Feeder_Vols!$B$7:$B$15,0),MATCH(1,Feeder_Vols!$E$6:$O$6,0))</f>
        <v>9</v>
      </c>
      <c r="I70" s="224" t="s">
        <v>297</v>
      </c>
      <c r="J70" s="282"/>
      <c r="K70" s="283"/>
      <c r="L70" s="283">
        <f t="shared" si="21"/>
        <v>54.415760869565275</v>
      </c>
      <c r="M70" s="283">
        <f>$H70*Unit_Rates!K66</f>
        <v>0</v>
      </c>
      <c r="N70" s="283">
        <f>$H70*Unit_Rates!L66</f>
        <v>70.039110212335657</v>
      </c>
      <c r="O70" s="283">
        <f>$H70*Unit_Rates!M66</f>
        <v>0</v>
      </c>
      <c r="P70" s="228">
        <f t="shared" si="22"/>
        <v>124.45487108190093</v>
      </c>
      <c r="Q70" s="28">
        <f>P70-H70*Unit_Rates!$E$66</f>
        <v>-0.15072042467132007</v>
      </c>
      <c r="R70" s="327">
        <f t="shared" si="28"/>
        <v>0</v>
      </c>
      <c r="S70" s="327">
        <f t="shared" si="23"/>
        <v>0</v>
      </c>
      <c r="T70" s="327">
        <f t="shared" si="23"/>
        <v>0</v>
      </c>
      <c r="U70" s="327">
        <f t="shared" si="23"/>
        <v>0</v>
      </c>
      <c r="V70" s="327">
        <f t="shared" si="23"/>
        <v>0</v>
      </c>
      <c r="W70" s="327">
        <f t="shared" si="23"/>
        <v>0</v>
      </c>
      <c r="X70" s="327">
        <f t="shared" si="23"/>
        <v>417.58322162757867</v>
      </c>
      <c r="Y70" s="14">
        <f t="shared" si="24"/>
        <v>417.58322162757867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1</v>
      </c>
      <c r="AG70" s="16">
        <f t="shared" si="25"/>
        <v>1</v>
      </c>
      <c r="AH70" t="b">
        <f t="shared" si="26"/>
        <v>1</v>
      </c>
      <c r="AI70" s="5">
        <v>46.398135736397627</v>
      </c>
    </row>
    <row r="71" spans="2:35" x14ac:dyDescent="0.3">
      <c r="B71" s="251"/>
      <c r="C71" s="348" t="s">
        <v>342</v>
      </c>
      <c r="D71" s="282" t="str">
        <f>Unit_Rates!G67</f>
        <v>Distribution system assets</v>
      </c>
      <c r="E71" s="282" t="str">
        <f>Unit_Rates!H67</f>
        <v>Replacement</v>
      </c>
      <c r="F71" s="171" t="str">
        <f t="shared" si="20"/>
        <v>Distribution system assetsReplacement</v>
      </c>
      <c r="G71" s="283">
        <f>Unit_Rates!I67</f>
        <v>0</v>
      </c>
      <c r="H71" s="455">
        <f>INDEX(Feeder_Vols!$E$7:$O$16,MATCH($B$3,Feeder_Vols!$B$7:$B$15,0),MATCH(1,Feeder_Vols!$E$6:$N$6,0))+INDEX(Feeder_Vols!$E$7:$N$16,MATCH($B$3,Feeder_Vols!$B$7:$B$15,0),MATCH(6,Feeder_Vols!$E$6:$O$6,0))</f>
        <v>54</v>
      </c>
      <c r="I71" s="224" t="s">
        <v>346</v>
      </c>
      <c r="J71" s="282"/>
      <c r="K71" s="283"/>
      <c r="L71" s="283">
        <f t="shared" si="21"/>
        <v>0</v>
      </c>
      <c r="M71" s="283">
        <f>$H71*Unit_Rates!K67</f>
        <v>0</v>
      </c>
      <c r="N71" s="283">
        <f>$H71*Unit_Rates!L67</f>
        <v>28.112651162790694</v>
      </c>
      <c r="O71" s="283">
        <f>$H71*Unit_Rates!M67</f>
        <v>0</v>
      </c>
      <c r="P71" s="228">
        <f t="shared" si="22"/>
        <v>28.112651162790694</v>
      </c>
      <c r="Q71" s="28">
        <f>P71-H71*Unit_Rates!$E$67</f>
        <v>0</v>
      </c>
      <c r="R71" s="330"/>
      <c r="S71" s="330"/>
      <c r="T71" s="330"/>
      <c r="U71" s="330"/>
      <c r="V71" s="330"/>
      <c r="W71" s="330"/>
      <c r="X71" s="330"/>
      <c r="Y71" s="14">
        <f t="shared" si="24"/>
        <v>0</v>
      </c>
      <c r="Z71" s="15"/>
      <c r="AA71" s="15"/>
      <c r="AB71" s="15"/>
      <c r="AC71" s="15"/>
      <c r="AD71" s="15"/>
      <c r="AE71" s="15"/>
      <c r="AF71" s="15"/>
      <c r="AI71" s="5">
        <v>0</v>
      </c>
    </row>
    <row r="72" spans="2:35" x14ac:dyDescent="0.3">
      <c r="B72" s="251"/>
      <c r="C72" s="348" t="s">
        <v>418</v>
      </c>
      <c r="D72" s="282" t="str">
        <f>Unit_Rates!G68</f>
        <v>Distribution system assets</v>
      </c>
      <c r="E72" s="282" t="str">
        <f>Unit_Rates!H68</f>
        <v>Replacement</v>
      </c>
      <c r="F72" s="171" t="str">
        <f t="shared" si="20"/>
        <v>Distribution system assetsReplacement</v>
      </c>
      <c r="G72" s="283">
        <f>Unit_Rates!I68</f>
        <v>0</v>
      </c>
      <c r="H72" s="455">
        <f>INDEX(Feeder_Vols!$E$7:$O$16,MATCH($B$3,Feeder_Vols!$B$7:$B$15,0),MATCH(7,Feeder_Vols!$E$6:$O$6,0))</f>
        <v>38</v>
      </c>
      <c r="I72" s="224" t="s">
        <v>343</v>
      </c>
      <c r="J72" s="282"/>
      <c r="K72" s="342"/>
      <c r="L72" s="342">
        <f t="shared" si="21"/>
        <v>5.9763401606130948</v>
      </c>
      <c r="M72" s="342">
        <f>$H72*Unit_Rates!K68</f>
        <v>0</v>
      </c>
      <c r="N72" s="342">
        <f>$H72*Unit_Rates!L68</f>
        <v>110.9855140837209</v>
      </c>
      <c r="O72" s="342">
        <f>$H72*Unit_Rates!M68</f>
        <v>0</v>
      </c>
      <c r="P72" s="229">
        <f t="shared" si="22"/>
        <v>116.96185424433399</v>
      </c>
      <c r="Q72" s="28">
        <f>P72-H72*Unit_Rates!$E$68</f>
        <v>0.29157672837571624</v>
      </c>
      <c r="R72" s="327">
        <f t="shared" si="28"/>
        <v>0</v>
      </c>
      <c r="S72" s="327">
        <f t="shared" si="23"/>
        <v>0</v>
      </c>
      <c r="T72" s="327">
        <f t="shared" si="23"/>
        <v>0</v>
      </c>
      <c r="U72" s="327">
        <f t="shared" si="23"/>
        <v>0</v>
      </c>
      <c r="V72" s="327">
        <f t="shared" si="23"/>
        <v>0</v>
      </c>
      <c r="W72" s="327">
        <f t="shared" si="23"/>
        <v>0</v>
      </c>
      <c r="X72" s="327">
        <f t="shared" si="23"/>
        <v>45.862068965517238</v>
      </c>
      <c r="Y72" s="14">
        <f t="shared" si="24"/>
        <v>45.862068965517238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1</v>
      </c>
      <c r="AG72" s="16">
        <f>SUM(Z72:AF72)</f>
        <v>1</v>
      </c>
      <c r="AH72" t="b">
        <f>AG72=1</f>
        <v>1</v>
      </c>
      <c r="AI72" s="5">
        <v>1.2068965517241379</v>
      </c>
    </row>
    <row r="73" spans="2:35" x14ac:dyDescent="0.3">
      <c r="B73" s="251"/>
      <c r="C73" s="236" t="s">
        <v>301</v>
      </c>
      <c r="D73" s="236"/>
      <c r="E73" s="236"/>
      <c r="F73" s="236"/>
      <c r="G73" s="268"/>
      <c r="H73" s="231"/>
      <c r="I73" s="224"/>
      <c r="J73" s="171"/>
      <c r="K73" s="268">
        <v>529.65821395348837</v>
      </c>
      <c r="L73" s="268">
        <v>253.83364710946145</v>
      </c>
      <c r="M73" s="268">
        <v>163.1872465116279</v>
      </c>
      <c r="N73" s="268">
        <v>1382.1722583199032</v>
      </c>
      <c r="O73" s="268">
        <v>137.95023319690051</v>
      </c>
      <c r="P73" s="268">
        <v>2466.8015990913818</v>
      </c>
      <c r="Q73" s="28"/>
      <c r="R73" s="326"/>
      <c r="S73" s="326"/>
      <c r="T73" s="326"/>
      <c r="U73" s="326"/>
      <c r="V73" s="326"/>
      <c r="W73" s="326"/>
      <c r="X73" s="326"/>
      <c r="AI73" s="5"/>
    </row>
    <row r="74" spans="2:35" x14ac:dyDescent="0.3">
      <c r="B74" s="251" t="s">
        <v>295</v>
      </c>
      <c r="C74" s="171"/>
      <c r="D74" s="171"/>
      <c r="E74" s="171"/>
      <c r="F74" s="171"/>
      <c r="G74" s="228"/>
      <c r="H74" s="231"/>
      <c r="I74" s="224"/>
      <c r="J74" s="171"/>
      <c r="K74" s="268"/>
      <c r="L74" s="268"/>
      <c r="M74" s="268"/>
      <c r="N74" s="268"/>
      <c r="O74" s="268"/>
      <c r="P74" s="228"/>
      <c r="Q74" s="28"/>
      <c r="R74" s="326"/>
      <c r="S74" s="326"/>
      <c r="T74" s="326"/>
      <c r="U74" s="326"/>
      <c r="V74" s="326"/>
      <c r="W74" s="326"/>
      <c r="X74" s="326"/>
      <c r="Y74" s="14"/>
      <c r="AI74" s="5"/>
    </row>
    <row r="75" spans="2:35" x14ac:dyDescent="0.3">
      <c r="B75" s="251"/>
      <c r="C75" s="171" t="s">
        <v>264</v>
      </c>
      <c r="D75" s="171" t="str">
        <f>Unit_Rates!G76</f>
        <v>Distribution system assets</v>
      </c>
      <c r="E75" s="171" t="str">
        <f>Unit_Rates!H76</f>
        <v>Replacement</v>
      </c>
      <c r="F75" s="171" t="str">
        <f>D75&amp;E75</f>
        <v>Distribution system assetsReplacement</v>
      </c>
      <c r="G75" s="228">
        <f>Unit_Rates!I76</f>
        <v>0.27269767441860471</v>
      </c>
      <c r="H75" s="456">
        <f>INDEX(Feeder_Vols!$B$21:$D$29,MATCH($B$3,Feeder_Vols!$B$21:$B$29,0),3)</f>
        <v>1887.6865885044322</v>
      </c>
      <c r="I75" s="266" t="s">
        <v>292</v>
      </c>
      <c r="J75" s="171"/>
      <c r="K75" s="268">
        <f>G75*H75</f>
        <v>514.76774271634827</v>
      </c>
      <c r="L75" s="268">
        <f t="shared" ref="L75:L80" si="29">SUMPRODUCT(R$5:X$5,R75:X75)/Thousands</f>
        <v>257.00149384907149</v>
      </c>
      <c r="M75" s="268">
        <f>$H75*Unit_Rates!K76</f>
        <v>0</v>
      </c>
      <c r="N75" s="268">
        <f>$H75*Unit_Rates!L76</f>
        <v>986.23353979403248</v>
      </c>
      <c r="O75" s="268">
        <f>$H75*Unit_Rates!M76</f>
        <v>0</v>
      </c>
      <c r="P75" s="228">
        <f>SUM(K75:O75)</f>
        <v>1758.0027763594521</v>
      </c>
      <c r="Q75" s="28">
        <f>P75-H75*Unit_Rates!$E$76</f>
        <v>-0.71184108565580573</v>
      </c>
      <c r="R75" s="327">
        <f t="shared" ref="R75:X75" si="30">$AI75*Z75*$H75</f>
        <v>45.781350976910169</v>
      </c>
      <c r="S75" s="327">
        <f t="shared" si="30"/>
        <v>0</v>
      </c>
      <c r="T75" s="327">
        <f t="shared" si="30"/>
        <v>571.48341680151009</v>
      </c>
      <c r="U75" s="327">
        <f t="shared" si="30"/>
        <v>0</v>
      </c>
      <c r="V75" s="327">
        <f t="shared" si="30"/>
        <v>0</v>
      </c>
      <c r="W75" s="327">
        <f t="shared" si="30"/>
        <v>0</v>
      </c>
      <c r="X75" s="327">
        <f t="shared" si="30"/>
        <v>1162.1855163160387</v>
      </c>
      <c r="Y75" s="14">
        <f t="shared" ref="Y75:Y80" si="31">SUM(R75:X75)</f>
        <v>1779.450284094459</v>
      </c>
      <c r="Z75" s="15">
        <v>2.5727805595989302E-2</v>
      </c>
      <c r="AA75" s="15">
        <v>0</v>
      </c>
      <c r="AB75" s="15">
        <v>0.32115728206047139</v>
      </c>
      <c r="AC75" s="15">
        <v>0</v>
      </c>
      <c r="AD75" s="15">
        <v>0</v>
      </c>
      <c r="AE75" s="15">
        <v>0</v>
      </c>
      <c r="AF75" s="15">
        <v>0.65311491234353936</v>
      </c>
      <c r="AG75" s="16">
        <f>SUM(Z75:AF75)</f>
        <v>1</v>
      </c>
      <c r="AH75" t="b">
        <f>AG75=1</f>
        <v>1</v>
      </c>
      <c r="AI75" s="5">
        <v>0.94266193070973381</v>
      </c>
    </row>
    <row r="76" spans="2:35" x14ac:dyDescent="0.3">
      <c r="B76" s="251"/>
      <c r="C76" s="171" t="s">
        <v>511</v>
      </c>
      <c r="D76" s="171" t="str">
        <f>Unit_Rates!G77</f>
        <v>Distribution system assets</v>
      </c>
      <c r="E76" s="171" t="str">
        <f>Unit_Rates!H77</f>
        <v>Replacement</v>
      </c>
      <c r="F76" s="171" t="str">
        <f t="shared" ref="F76:F80" si="32">D76&amp;E76</f>
        <v>Distribution system assetsReplacement</v>
      </c>
      <c r="G76" s="228">
        <f>Unit_Rates!I77</f>
        <v>0</v>
      </c>
      <c r="H76" s="456">
        <f>INDEX(Feeder_Vols!$H$21:$H$29,MATCH($B$3,Feeder_Vols!$G$21:$G$29,0),1)</f>
        <v>75</v>
      </c>
      <c r="I76" s="266" t="s">
        <v>292</v>
      </c>
      <c r="J76" s="171"/>
      <c r="K76" s="268">
        <f>G76*H76</f>
        <v>0</v>
      </c>
      <c r="L76" s="268">
        <f t="shared" si="29"/>
        <v>21.965265082266928</v>
      </c>
      <c r="M76" s="268">
        <f>$H76*Unit_Rates!K79</f>
        <v>0</v>
      </c>
      <c r="N76" s="268">
        <f>$H76*Unit_Rates!L77</f>
        <v>0</v>
      </c>
      <c r="O76" s="268">
        <f>$H76*Unit_Rates!M79</f>
        <v>0</v>
      </c>
      <c r="P76" s="228">
        <f>SUM(K76:O76)</f>
        <v>21.965265082266928</v>
      </c>
      <c r="Q76" s="28">
        <f>P76-H76*Unit_Rates!$E$77</f>
        <v>-0.12037027684909418</v>
      </c>
      <c r="R76" s="327">
        <f t="shared" ref="R76" si="33">$AI76*Z76*$H76</f>
        <v>0</v>
      </c>
      <c r="S76" s="327">
        <f t="shared" ref="S76" si="34">$AI76*AA76*$H76</f>
        <v>0</v>
      </c>
      <c r="T76" s="327">
        <f t="shared" ref="T76" si="35">$AI76*AB76*$H76</f>
        <v>0</v>
      </c>
      <c r="U76" s="327">
        <f t="shared" ref="U76" si="36">$AI76*AC76*$H76</f>
        <v>0</v>
      </c>
      <c r="V76" s="327">
        <f t="shared" ref="V76" si="37">$AI76*AD76*$H76</f>
        <v>138.61850424469796</v>
      </c>
      <c r="W76" s="327">
        <f t="shared" ref="W76" si="38">$AI76*AE76*$H76</f>
        <v>0</v>
      </c>
      <c r="X76" s="327">
        <f t="shared" ref="X76" si="39">$AI76*AF76*$H76</f>
        <v>0</v>
      </c>
      <c r="Y76" s="14">
        <f t="shared" si="31"/>
        <v>138.61850424469796</v>
      </c>
      <c r="Z76" s="15"/>
      <c r="AA76" s="15"/>
      <c r="AB76" s="15"/>
      <c r="AC76" s="15"/>
      <c r="AD76" s="15">
        <v>1</v>
      </c>
      <c r="AE76" s="15"/>
      <c r="AF76" s="15"/>
      <c r="AG76" s="16">
        <f>SUM(Z76:AF76)</f>
        <v>1</v>
      </c>
      <c r="AH76" t="b">
        <f>AG76=1</f>
        <v>1</v>
      </c>
      <c r="AI76" s="46">
        <v>1.8482467232626396</v>
      </c>
    </row>
    <row r="77" spans="2:35" x14ac:dyDescent="0.3">
      <c r="B77" s="251"/>
      <c r="C77" s="171" t="s">
        <v>512</v>
      </c>
      <c r="D77" s="171" t="str">
        <f>Unit_Rates!G78</f>
        <v>Distribution system assets</v>
      </c>
      <c r="E77" s="171" t="str">
        <f>Unit_Rates!H78</f>
        <v>Replacement</v>
      </c>
      <c r="F77" s="171" t="str">
        <f t="shared" si="32"/>
        <v>Distribution system assetsReplacement</v>
      </c>
      <c r="G77" s="228">
        <f>Unit_Rates!I78</f>
        <v>0</v>
      </c>
      <c r="H77" s="456">
        <f>INDEX(Feeder_Vols!$I$21:$I$29,MATCH($B$3,Feeder_Vols!$G$21:$G$29,0),1)</f>
        <v>31</v>
      </c>
      <c r="I77" s="266" t="s">
        <v>292</v>
      </c>
      <c r="J77" s="171"/>
      <c r="K77" s="268">
        <f t="shared" ref="K77:K80" si="40">G77*H77</f>
        <v>0</v>
      </c>
      <c r="L77" s="268">
        <f t="shared" si="29"/>
        <v>302.63254113345511</v>
      </c>
      <c r="M77" s="268"/>
      <c r="N77" s="268">
        <f>$H77*Unit_Rates!L78</f>
        <v>0</v>
      </c>
      <c r="O77" s="268"/>
      <c r="P77" s="228">
        <f t="shared" ref="P77:P79" si="41">SUM(K77:O77)</f>
        <v>302.63254113345511</v>
      </c>
      <c r="Q77" s="28">
        <f>P77-H77*Unit_Rates!$E$78</f>
        <v>-1.6584349254767403</v>
      </c>
      <c r="R77" s="327">
        <f t="shared" ref="R77" si="42">$AI77*Z77*$H77</f>
        <v>0</v>
      </c>
      <c r="S77" s="327">
        <f t="shared" ref="S77" si="43">$AI77*AA77*$H77</f>
        <v>0</v>
      </c>
      <c r="T77" s="327">
        <f t="shared" ref="T77" si="44">$AI77*AB77*$H77</f>
        <v>0</v>
      </c>
      <c r="U77" s="327">
        <f t="shared" ref="U77" si="45">$AI77*AC77*$H77</f>
        <v>0</v>
      </c>
      <c r="V77" s="327">
        <f t="shared" ref="V77" si="46">$AI77*AD77*$H77</f>
        <v>1909.854947371392</v>
      </c>
      <c r="W77" s="327">
        <f t="shared" ref="W77" si="47">$AI77*AE77*$H77</f>
        <v>0</v>
      </c>
      <c r="X77" s="327">
        <f t="shared" ref="X77" si="48">$AI77*AF77*$H77</f>
        <v>0</v>
      </c>
      <c r="Y77" s="14">
        <f t="shared" si="31"/>
        <v>1909.854947371392</v>
      </c>
      <c r="Z77" s="15"/>
      <c r="AA77" s="15"/>
      <c r="AB77" s="15"/>
      <c r="AC77" s="15"/>
      <c r="AD77" s="15">
        <v>1</v>
      </c>
      <c r="AE77" s="15"/>
      <c r="AF77" s="15"/>
      <c r="AG77" s="16">
        <f>SUM(Z77:AF77)</f>
        <v>1</v>
      </c>
      <c r="AH77" t="b">
        <f>AG77=1</f>
        <v>1</v>
      </c>
      <c r="AI77" s="46">
        <v>61.608224108754577</v>
      </c>
    </row>
    <row r="78" spans="2:35" x14ac:dyDescent="0.3">
      <c r="B78" s="251"/>
      <c r="C78" s="171" t="s">
        <v>513</v>
      </c>
      <c r="D78" s="171" t="str">
        <f>Unit_Rates!G79</f>
        <v>Distribution system assets</v>
      </c>
      <c r="E78" s="171" t="str">
        <f>Unit_Rates!H79</f>
        <v>Replacement</v>
      </c>
      <c r="F78" s="171" t="str">
        <f t="shared" si="32"/>
        <v>Distribution system assetsReplacement</v>
      </c>
      <c r="G78" s="228">
        <f>Unit_Rates!I79</f>
        <v>4.9079189686924494</v>
      </c>
      <c r="H78" s="456">
        <f>INDEX(Feeder_Vols!$J$21:$J$29,MATCH($B$3,Feeder_Vols!$G$21:$G$29,0),1)</f>
        <v>12</v>
      </c>
      <c r="I78" s="266" t="s">
        <v>292</v>
      </c>
      <c r="J78" s="171"/>
      <c r="K78" s="268">
        <f t="shared" si="40"/>
        <v>58.895027624309392</v>
      </c>
      <c r="L78" s="268">
        <f t="shared" si="29"/>
        <v>0</v>
      </c>
      <c r="M78" s="268"/>
      <c r="N78" s="268">
        <f>$H78*Unit_Rates!L79</f>
        <v>191.40883977900552</v>
      </c>
      <c r="O78" s="268"/>
      <c r="P78" s="228">
        <f t="shared" si="41"/>
        <v>250.30386740331491</v>
      </c>
      <c r="Q78" s="28">
        <f>P78-H78*Unit_Rates!$E$79</f>
        <v>0</v>
      </c>
      <c r="R78" s="330"/>
      <c r="S78" s="330"/>
      <c r="T78" s="330"/>
      <c r="U78" s="330"/>
      <c r="V78" s="330"/>
      <c r="W78" s="330"/>
      <c r="X78" s="330"/>
      <c r="Y78" s="14">
        <f t="shared" si="31"/>
        <v>0</v>
      </c>
      <c r="Z78" s="15"/>
      <c r="AA78" s="15"/>
      <c r="AB78" s="15"/>
      <c r="AC78" s="15"/>
      <c r="AD78" s="15"/>
      <c r="AE78" s="15"/>
      <c r="AF78" s="15"/>
      <c r="AG78" s="16"/>
      <c r="AI78" s="5"/>
    </row>
    <row r="79" spans="2:35" x14ac:dyDescent="0.3">
      <c r="B79" s="251"/>
      <c r="C79" s="171" t="s">
        <v>539</v>
      </c>
      <c r="D79" s="171" t="str">
        <f>Unit_Rates!G80</f>
        <v>Distribution system assets</v>
      </c>
      <c r="E79" s="171" t="str">
        <f>Unit_Rates!H80</f>
        <v>Replacement</v>
      </c>
      <c r="F79" s="171" t="str">
        <f t="shared" si="32"/>
        <v>Distribution system assetsReplacement</v>
      </c>
      <c r="G79" s="228">
        <f>Unit_Rates!I80</f>
        <v>9.8158379373848997E-2</v>
      </c>
      <c r="H79" s="456">
        <f>INDEX(Feeder_Vols!$K$21:$K$29,MATCH($B$3,Feeder_Vols!$G$21:$G$29,0),1)</f>
        <v>1332.16</v>
      </c>
      <c r="I79" s="266" t="s">
        <v>510</v>
      </c>
      <c r="J79" s="171"/>
      <c r="K79" s="268">
        <f t="shared" si="40"/>
        <v>130.76266666666669</v>
      </c>
      <c r="L79" s="268">
        <f t="shared" si="29"/>
        <v>0</v>
      </c>
      <c r="M79" s="268"/>
      <c r="N79" s="268">
        <f>$H79*Unit_Rates!L80</f>
        <v>189.42279893333333</v>
      </c>
      <c r="O79" s="268"/>
      <c r="P79" s="228">
        <f t="shared" si="41"/>
        <v>320.18546560000004</v>
      </c>
      <c r="Q79" s="28">
        <f>P79-H79*Unit_Rates!$E$80</f>
        <v>0</v>
      </c>
      <c r="R79" s="330"/>
      <c r="S79" s="330"/>
      <c r="T79" s="330"/>
      <c r="U79" s="330"/>
      <c r="V79" s="330"/>
      <c r="W79" s="330"/>
      <c r="X79" s="330"/>
      <c r="Y79" s="14">
        <f t="shared" si="31"/>
        <v>0</v>
      </c>
      <c r="Z79" s="15"/>
      <c r="AA79" s="15"/>
      <c r="AB79" s="15"/>
      <c r="AC79" s="15"/>
      <c r="AD79" s="15"/>
      <c r="AE79" s="15"/>
      <c r="AF79" s="15"/>
      <c r="AG79" s="16"/>
      <c r="AI79" s="5"/>
    </row>
    <row r="80" spans="2:35" x14ac:dyDescent="0.3">
      <c r="B80" s="251"/>
      <c r="C80" s="236" t="s">
        <v>638</v>
      </c>
      <c r="D80" s="171" t="s">
        <v>19</v>
      </c>
      <c r="E80" s="171" t="s">
        <v>42</v>
      </c>
      <c r="F80" s="171" t="str">
        <f t="shared" si="32"/>
        <v>Distribution system assetsAugmentation</v>
      </c>
      <c r="G80" s="228">
        <f>Unit_Rates!I81</f>
        <v>29.447513812154696</v>
      </c>
      <c r="H80" s="456">
        <v>1</v>
      </c>
      <c r="I80" s="266" t="s">
        <v>292</v>
      </c>
      <c r="J80" s="171"/>
      <c r="K80" s="268">
        <f t="shared" si="40"/>
        <v>29.447513812154696</v>
      </c>
      <c r="L80" s="268">
        <f t="shared" si="29"/>
        <v>0</v>
      </c>
      <c r="M80" s="268"/>
      <c r="N80" s="268">
        <f>$H80*Unit_Rates!L81</f>
        <v>36.318600368324127</v>
      </c>
      <c r="O80" s="268"/>
      <c r="P80" s="228">
        <f t="shared" ref="P80" si="49">SUM(K80:O80)</f>
        <v>65.766114180478823</v>
      </c>
      <c r="Q80" s="28"/>
      <c r="R80" s="330"/>
      <c r="S80" s="330"/>
      <c r="T80" s="330"/>
      <c r="U80" s="330"/>
      <c r="V80" s="330"/>
      <c r="W80" s="330"/>
      <c r="X80" s="330"/>
      <c r="Y80" s="14">
        <f t="shared" si="31"/>
        <v>0</v>
      </c>
      <c r="Z80" s="15"/>
      <c r="AA80" s="15"/>
      <c r="AB80" s="15"/>
      <c r="AC80" s="15"/>
      <c r="AD80" s="15"/>
      <c r="AE80" s="15"/>
      <c r="AF80" s="15"/>
      <c r="AG80" s="16"/>
      <c r="AI80" s="5"/>
    </row>
    <row r="81" spans="2:35" x14ac:dyDescent="0.3">
      <c r="B81" s="251" t="s">
        <v>46</v>
      </c>
      <c r="C81" s="171"/>
      <c r="D81" s="171"/>
      <c r="E81" s="171"/>
      <c r="F81" s="171"/>
      <c r="G81" s="228"/>
      <c r="H81" s="231"/>
      <c r="I81" s="224"/>
      <c r="J81" s="171"/>
      <c r="K81" s="268"/>
      <c r="L81" s="268"/>
      <c r="M81" s="268"/>
      <c r="N81" s="268"/>
      <c r="O81" s="268"/>
      <c r="P81" s="228"/>
      <c r="Q81" s="28"/>
      <c r="R81" s="329"/>
      <c r="S81" s="326"/>
      <c r="T81" s="326"/>
      <c r="U81" s="326"/>
      <c r="V81" s="326"/>
      <c r="W81" s="326"/>
      <c r="X81" s="326"/>
      <c r="Y81" s="14"/>
      <c r="Z81" s="15"/>
      <c r="AA81" s="15"/>
      <c r="AB81" s="15"/>
      <c r="AC81" s="15"/>
      <c r="AD81" s="15"/>
      <c r="AE81" s="15"/>
      <c r="AF81" s="15"/>
      <c r="AI81" s="5"/>
    </row>
    <row r="82" spans="2:35" x14ac:dyDescent="0.3">
      <c r="B82" s="251"/>
      <c r="C82" s="171" t="s">
        <v>221</v>
      </c>
      <c r="D82" s="171" t="str">
        <f>Unit_Rates!G86</f>
        <v>Distribution system assets</v>
      </c>
      <c r="E82" s="171" t="str">
        <f>Unit_Rates!H86</f>
        <v>Replacement</v>
      </c>
      <c r="F82" s="171" t="str">
        <f t="shared" ref="F82:F85" si="50">D82&amp;E82</f>
        <v>Distribution system assetsReplacement</v>
      </c>
      <c r="G82" s="228">
        <f>Unit_Rates!I86</f>
        <v>22.447723472706969</v>
      </c>
      <c r="H82" s="457">
        <f>INDEX(Feeder_Vols!$C$35:$F$43,MATCH($B$3,Feeder_Vols!$B$35:$B$43,0),1)</f>
        <v>12</v>
      </c>
      <c r="I82" s="264" t="s">
        <v>292</v>
      </c>
      <c r="J82" s="171"/>
      <c r="K82" s="268">
        <f>G82*H82</f>
        <v>269.37268167248362</v>
      </c>
      <c r="L82" s="268">
        <f>SUMPRODUCT(R$5:X$5,R82:X82)/Thousands</f>
        <v>76.81690514236837</v>
      </c>
      <c r="M82" s="268">
        <f>$H82*Unit_Rates!K86</f>
        <v>0</v>
      </c>
      <c r="N82" s="268">
        <f>$H82*Unit_Rates!L86</f>
        <v>126.95562440466423</v>
      </c>
      <c r="O82" s="268">
        <f>$H82*Unit_Rates!M86</f>
        <v>0.27929059644690346</v>
      </c>
      <c r="P82" s="228">
        <f>SUM(K82:O82)</f>
        <v>473.42450181596314</v>
      </c>
      <c r="Q82" s="28">
        <f>P82-(H82*Unit_Rates!$E$86)</f>
        <v>-0.21276697008340761</v>
      </c>
      <c r="R82" s="327">
        <f t="shared" ref="R82:X85" si="51">$AI82*Z82*$H82</f>
        <v>145.43295223154664</v>
      </c>
      <c r="S82" s="327">
        <f t="shared" si="51"/>
        <v>155.67470943095131</v>
      </c>
      <c r="T82" s="327">
        <f t="shared" si="51"/>
        <v>178.63279789248554</v>
      </c>
      <c r="U82" s="327">
        <f t="shared" si="51"/>
        <v>0</v>
      </c>
      <c r="V82" s="327">
        <f t="shared" si="51"/>
        <v>0</v>
      </c>
      <c r="W82" s="327">
        <f t="shared" si="51"/>
        <v>0</v>
      </c>
      <c r="X82" s="327">
        <f t="shared" si="51"/>
        <v>0</v>
      </c>
      <c r="Y82" s="14">
        <f t="shared" ref="Y82:Y90" si="52">SUM(R82:X82)</f>
        <v>479.74045955498349</v>
      </c>
      <c r="Z82" s="15">
        <v>0.30314923274650013</v>
      </c>
      <c r="AA82" s="15">
        <v>0.32449777026385929</v>
      </c>
      <c r="AB82" s="15">
        <v>0.37235299698964058</v>
      </c>
      <c r="AC82" s="15">
        <v>0</v>
      </c>
      <c r="AD82" s="15">
        <v>0</v>
      </c>
      <c r="AE82" s="15">
        <v>0</v>
      </c>
      <c r="AF82" s="15">
        <v>0</v>
      </c>
      <c r="AG82" s="16">
        <f t="shared" ref="AG82:AG85" si="53">SUM(Z82:AF82)</f>
        <v>1</v>
      </c>
      <c r="AH82" t="b">
        <f t="shared" ref="AH82:AH90" si="54">AG82=1</f>
        <v>1</v>
      </c>
      <c r="AI82" s="5">
        <v>39.978371629581957</v>
      </c>
    </row>
    <row r="83" spans="2:35" x14ac:dyDescent="0.3">
      <c r="B83" s="251"/>
      <c r="C83" s="171" t="s">
        <v>223</v>
      </c>
      <c r="D83" s="171" t="str">
        <f>Unit_Rates!G87</f>
        <v>Distribution system assets</v>
      </c>
      <c r="E83" s="171" t="str">
        <f>Unit_Rates!H87</f>
        <v>Replacement</v>
      </c>
      <c r="F83" s="171" t="str">
        <f t="shared" si="50"/>
        <v>Distribution system assetsReplacement</v>
      </c>
      <c r="G83" s="228">
        <f>Unit_Rates!I87</f>
        <v>21.323700104130506</v>
      </c>
      <c r="H83" s="457">
        <f>INDEX(Feeder_Vols!$C$35:$F$43,MATCH($B$3,Feeder_Vols!$B$35:$B$43,0),2)</f>
        <v>11</v>
      </c>
      <c r="I83" s="264" t="s">
        <v>292</v>
      </c>
      <c r="J83" s="171"/>
      <c r="K83" s="268">
        <f>G83*H83</f>
        <v>234.56070114543556</v>
      </c>
      <c r="L83" s="268">
        <f>SUMPRODUCT(R$5:X$5,R83:X83)/Thousands</f>
        <v>75.677674129353548</v>
      </c>
      <c r="M83" s="268">
        <f>$H83*Unit_Rates!K87</f>
        <v>48.291909059354381</v>
      </c>
      <c r="N83" s="268">
        <f>$H83*Unit_Rates!L87</f>
        <v>262.15607775078087</v>
      </c>
      <c r="O83" s="268">
        <f>$H83*Unit_Rates!M87</f>
        <v>68.988441513363398</v>
      </c>
      <c r="P83" s="228">
        <f>SUM(K83:O83)</f>
        <v>689.67480359828778</v>
      </c>
      <c r="Q83" s="28">
        <f>P83-(H83*Unit_Rates!$E$87)</f>
        <v>-0.20961153534619825</v>
      </c>
      <c r="R83" s="327">
        <f t="shared" si="51"/>
        <v>143.27611280682083</v>
      </c>
      <c r="S83" s="327">
        <f t="shared" si="51"/>
        <v>153.36597990589271</v>
      </c>
      <c r="T83" s="327">
        <f t="shared" si="51"/>
        <v>175.98358906373147</v>
      </c>
      <c r="U83" s="327">
        <f t="shared" si="51"/>
        <v>0</v>
      </c>
      <c r="V83" s="327">
        <f t="shared" si="51"/>
        <v>0</v>
      </c>
      <c r="W83" s="327">
        <f t="shared" si="51"/>
        <v>0</v>
      </c>
      <c r="X83" s="327">
        <f t="shared" si="51"/>
        <v>0</v>
      </c>
      <c r="Y83" s="14">
        <f t="shared" si="52"/>
        <v>472.62568177644499</v>
      </c>
      <c r="Z83" s="15">
        <v>0.30314923274650013</v>
      </c>
      <c r="AA83" s="15">
        <v>0.32449777026385929</v>
      </c>
      <c r="AB83" s="15">
        <v>0.37235299698964064</v>
      </c>
      <c r="AC83" s="15">
        <v>0</v>
      </c>
      <c r="AD83" s="15">
        <v>0</v>
      </c>
      <c r="AE83" s="15">
        <v>0</v>
      </c>
      <c r="AF83" s="15">
        <v>0</v>
      </c>
      <c r="AG83" s="16">
        <f t="shared" si="53"/>
        <v>1</v>
      </c>
      <c r="AH83" t="b">
        <f t="shared" si="54"/>
        <v>1</v>
      </c>
      <c r="AI83" s="5">
        <v>42.965971070585908</v>
      </c>
    </row>
    <row r="84" spans="2:35" x14ac:dyDescent="0.3">
      <c r="B84" s="251"/>
      <c r="C84" s="171" t="s">
        <v>225</v>
      </c>
      <c r="D84" s="171" t="str">
        <f>Unit_Rates!G88</f>
        <v>Distribution system assets</v>
      </c>
      <c r="E84" s="171" t="str">
        <f>Unit_Rates!H88</f>
        <v>Replacement</v>
      </c>
      <c r="F84" s="171" t="str">
        <f t="shared" si="50"/>
        <v>Distribution system assetsReplacement</v>
      </c>
      <c r="G84" s="228">
        <f>Unit_Rates!I88</f>
        <v>14.297621705426357</v>
      </c>
      <c r="H84" s="457">
        <f>INDEX(Feeder_Vols!$C$35:$F$43,MATCH($B$3,Feeder_Vols!$B$35:$B$43,0),3)</f>
        <v>0</v>
      </c>
      <c r="I84" s="264" t="s">
        <v>292</v>
      </c>
      <c r="J84" s="171"/>
      <c r="K84" s="268">
        <f>G84*H84</f>
        <v>0</v>
      </c>
      <c r="L84" s="268">
        <f>SUMPRODUCT(R$5:X$5,R84:X84)/Thousands</f>
        <v>0</v>
      </c>
      <c r="M84" s="268">
        <f>$H84*Unit_Rates!K88</f>
        <v>0</v>
      </c>
      <c r="N84" s="268">
        <f>$H84*Unit_Rates!L88</f>
        <v>0</v>
      </c>
      <c r="O84" s="268">
        <f>$H84*Unit_Rates!M88</f>
        <v>0</v>
      </c>
      <c r="P84" s="228">
        <f>SUM(K84:O84)</f>
        <v>0</v>
      </c>
      <c r="Q84" s="28">
        <f>P84-(H84*Unit_Rates!$E$88)</f>
        <v>0</v>
      </c>
      <c r="R84" s="327">
        <f t="shared" si="51"/>
        <v>0</v>
      </c>
      <c r="S84" s="327">
        <f t="shared" si="51"/>
        <v>0</v>
      </c>
      <c r="T84" s="327">
        <f t="shared" si="51"/>
        <v>0</v>
      </c>
      <c r="U84" s="327">
        <f t="shared" si="51"/>
        <v>0</v>
      </c>
      <c r="V84" s="327">
        <f t="shared" si="51"/>
        <v>0</v>
      </c>
      <c r="W84" s="327">
        <f t="shared" si="51"/>
        <v>0</v>
      </c>
      <c r="X84" s="327">
        <f t="shared" si="51"/>
        <v>0</v>
      </c>
      <c r="Y84" s="14">
        <f t="shared" si="52"/>
        <v>0</v>
      </c>
      <c r="Z84" s="15">
        <v>0.11818857666880556</v>
      </c>
      <c r="AA84" s="15">
        <v>0.49778875974979209</v>
      </c>
      <c r="AB84" s="15">
        <v>0.3840226635814023</v>
      </c>
      <c r="AC84" s="15">
        <v>0</v>
      </c>
      <c r="AD84" s="15">
        <v>0</v>
      </c>
      <c r="AE84" s="15">
        <v>0</v>
      </c>
      <c r="AF84" s="15">
        <v>0</v>
      </c>
      <c r="AG84" s="16">
        <f t="shared" si="53"/>
        <v>1</v>
      </c>
      <c r="AH84" t="b">
        <f t="shared" si="54"/>
        <v>1</v>
      </c>
      <c r="AI84" s="5">
        <v>144.70421211980818</v>
      </c>
    </row>
    <row r="85" spans="2:35" x14ac:dyDescent="0.3">
      <c r="B85" s="251"/>
      <c r="C85" s="171" t="s">
        <v>227</v>
      </c>
      <c r="D85" s="171" t="str">
        <f>Unit_Rates!G89</f>
        <v>Distribution system assets</v>
      </c>
      <c r="E85" s="171" t="str">
        <f>Unit_Rates!H89</f>
        <v>Replacement</v>
      </c>
      <c r="F85" s="171" t="str">
        <f t="shared" si="50"/>
        <v>Distribution system assetsReplacement</v>
      </c>
      <c r="G85" s="228">
        <f>Unit_Rates!I89</f>
        <v>182.28643631627907</v>
      </c>
      <c r="H85" s="457">
        <f>INDEX(Feeder_Vols!$C$35:$F$43,MATCH($B$3,Feeder_Vols!$B$35:$B$43,0),4)</f>
        <v>0</v>
      </c>
      <c r="I85" s="264" t="s">
        <v>292</v>
      </c>
      <c r="J85" s="171"/>
      <c r="K85" s="268">
        <f>G85*H85</f>
        <v>0</v>
      </c>
      <c r="L85" s="268">
        <f>SUMPRODUCT(R$5:X$5,R85:X85)/Thousands</f>
        <v>0</v>
      </c>
      <c r="M85" s="268">
        <f>$H85*Unit_Rates!K89</f>
        <v>0</v>
      </c>
      <c r="N85" s="268">
        <f>$H85*Unit_Rates!L89</f>
        <v>0</v>
      </c>
      <c r="O85" s="268">
        <f>$H85*Unit_Rates!M89</f>
        <v>0</v>
      </c>
      <c r="P85" s="228">
        <f>SUM(K85:O85)</f>
        <v>0</v>
      </c>
      <c r="Q85" s="28">
        <f>P85-(H85*Unit_Rates!$E$89)</f>
        <v>0</v>
      </c>
      <c r="R85" s="327">
        <f t="shared" si="51"/>
        <v>0</v>
      </c>
      <c r="S85" s="327">
        <f t="shared" si="51"/>
        <v>0</v>
      </c>
      <c r="T85" s="327">
        <f t="shared" si="51"/>
        <v>0</v>
      </c>
      <c r="U85" s="327">
        <f t="shared" si="51"/>
        <v>0</v>
      </c>
      <c r="V85" s="327">
        <f t="shared" si="51"/>
        <v>0</v>
      </c>
      <c r="W85" s="327">
        <f t="shared" si="51"/>
        <v>0</v>
      </c>
      <c r="X85" s="327">
        <f t="shared" si="51"/>
        <v>0</v>
      </c>
      <c r="Y85" s="14">
        <f t="shared" si="52"/>
        <v>0</v>
      </c>
      <c r="Z85" s="15">
        <v>0.69942688247564233</v>
      </c>
      <c r="AA85" s="15">
        <v>4.8454943655496512E-2</v>
      </c>
      <c r="AB85" s="15">
        <v>0.25211817386886121</v>
      </c>
      <c r="AC85" s="15">
        <v>0</v>
      </c>
      <c r="AD85" s="15">
        <v>0</v>
      </c>
      <c r="AE85" s="15">
        <v>0</v>
      </c>
      <c r="AF85" s="15">
        <v>0</v>
      </c>
      <c r="AG85" s="16">
        <f t="shared" si="53"/>
        <v>1</v>
      </c>
      <c r="AH85" t="b">
        <f t="shared" si="54"/>
        <v>1</v>
      </c>
      <c r="AI85" s="5">
        <v>220.41130997006761</v>
      </c>
    </row>
    <row r="86" spans="2:35" x14ac:dyDescent="0.3">
      <c r="B86" s="251" t="s">
        <v>296</v>
      </c>
      <c r="C86" s="171"/>
      <c r="D86" s="171"/>
      <c r="E86" s="171"/>
      <c r="F86" s="171"/>
      <c r="G86" s="228"/>
      <c r="H86" s="231"/>
      <c r="I86" s="264"/>
      <c r="J86" s="171"/>
      <c r="K86" s="268"/>
      <c r="L86" s="268"/>
      <c r="M86" s="268"/>
      <c r="N86" s="268"/>
      <c r="O86" s="268"/>
      <c r="P86" s="228"/>
      <c r="Q86" s="28"/>
      <c r="R86" s="326"/>
      <c r="S86" s="326"/>
      <c r="T86" s="326"/>
      <c r="U86" s="326"/>
      <c r="V86" s="326"/>
      <c r="W86" s="326"/>
      <c r="X86" s="326"/>
      <c r="Y86" s="14"/>
    </row>
    <row r="87" spans="2:35" x14ac:dyDescent="0.3">
      <c r="B87" s="232"/>
      <c r="C87" s="171" t="s">
        <v>553</v>
      </c>
      <c r="D87" s="171" t="str">
        <f>Unit_Rates!G95</f>
        <v>Distribution system assets</v>
      </c>
      <c r="E87" s="171" t="str">
        <f>Unit_Rates!H95</f>
        <v>Augmentation</v>
      </c>
      <c r="F87" s="171" t="str">
        <f>D87&amp;E87</f>
        <v>Distribution system assetsAugmentation</v>
      </c>
      <c r="G87" s="228">
        <f>Unit_Rates!I95</f>
        <v>490.33390034070919</v>
      </c>
      <c r="H87" s="456">
        <f>INDEX(Feeder_Vols!$C$48:$F$56,MATCH($B$3,Feeder_Vols!$B$48:$B$56,0),1)</f>
        <v>2</v>
      </c>
      <c r="I87" s="264" t="s">
        <v>292</v>
      </c>
      <c r="J87" s="171"/>
      <c r="K87" s="268">
        <f>G87*H87</f>
        <v>980.66780068141838</v>
      </c>
      <c r="L87" s="268">
        <f>SUMPRODUCT(R$5:X$5,R87:X87)/Thousands</f>
        <v>154.46856637254211</v>
      </c>
      <c r="M87" s="268">
        <f>$H87*Unit_Rates!K95</f>
        <v>0</v>
      </c>
      <c r="N87" s="268">
        <f>$H87*Unit_Rates!L95</f>
        <v>257.86643946685973</v>
      </c>
      <c r="O87" s="268">
        <f>$H87*Unit_Rates!M95</f>
        <v>77.360484410999646</v>
      </c>
      <c r="P87" s="228">
        <f>SUM(K87:O87)</f>
        <v>1470.3632909318196</v>
      </c>
      <c r="Q87" s="28">
        <f>P87-H87*Unit_Rates!$E95</f>
        <v>-0.25129730757385005</v>
      </c>
      <c r="R87" s="327">
        <f t="shared" ref="R87" si="55">$AI87*Z87*$H87</f>
        <v>170.17580073766442</v>
      </c>
      <c r="S87" s="327">
        <f t="shared" ref="S87" si="56">$AI87*AA87*$H87</f>
        <v>201.7927881147711</v>
      </c>
      <c r="T87" s="327">
        <f t="shared" ref="T87" si="57">$AI87*AB87*$H87</f>
        <v>567.58481232663962</v>
      </c>
      <c r="U87" s="327">
        <f t="shared" ref="U87" si="58">$AI87*AC87*$H87</f>
        <v>0</v>
      </c>
      <c r="V87" s="327">
        <f t="shared" ref="V87" si="59">$AI87*AD87*$H87</f>
        <v>0</v>
      </c>
      <c r="W87" s="327">
        <f t="shared" ref="W87" si="60">$AI87*AE87*$H87</f>
        <v>0</v>
      </c>
      <c r="X87" s="327">
        <f t="shared" ref="X87" si="61">$AI87*AF87*$H87</f>
        <v>0</v>
      </c>
      <c r="Y87" s="14">
        <f t="shared" si="52"/>
        <v>939.55340117907508</v>
      </c>
      <c r="Z87" s="15">
        <v>0.18112413889844414</v>
      </c>
      <c r="AA87" s="15">
        <v>0.21477521965386426</v>
      </c>
      <c r="AB87" s="15">
        <v>0.6041006414476916</v>
      </c>
      <c r="AC87" s="15">
        <v>0</v>
      </c>
      <c r="AD87" s="15">
        <v>0</v>
      </c>
      <c r="AE87" s="15">
        <v>0</v>
      </c>
      <c r="AF87" s="15">
        <v>0</v>
      </c>
      <c r="AG87" s="16">
        <f t="shared" ref="AG87:AG90" si="62">SUM(Z87:AF87)</f>
        <v>1</v>
      </c>
      <c r="AH87" t="b">
        <f t="shared" si="54"/>
        <v>1</v>
      </c>
      <c r="AI87" s="5">
        <v>469.77670058953754</v>
      </c>
    </row>
    <row r="88" spans="2:35" x14ac:dyDescent="0.3">
      <c r="B88" s="232"/>
      <c r="C88" s="171" t="s">
        <v>481</v>
      </c>
      <c r="D88" s="171" t="str">
        <f>Unit_Rates!G96</f>
        <v>Distribution system assets</v>
      </c>
      <c r="E88" s="171" t="str">
        <f>Unit_Rates!H96</f>
        <v>Augmentation</v>
      </c>
      <c r="F88" s="171" t="str">
        <f t="shared" ref="F88:F90" si="63">D88&amp;E88</f>
        <v>Distribution system assetsAugmentation</v>
      </c>
      <c r="G88" s="228">
        <f>Unit_Rates!I96</f>
        <v>440.92036005674521</v>
      </c>
      <c r="H88" s="456">
        <f>INDEX(Feeder_Vols!$C$48:$F$56,MATCH($B$3,Feeder_Vols!$B$48:$B$56,0),2)</f>
        <v>0</v>
      </c>
      <c r="I88" s="264" t="s">
        <v>292</v>
      </c>
      <c r="J88" s="171"/>
      <c r="K88" s="268">
        <f t="shared" ref="K88:K90" si="64">G88*H88</f>
        <v>0</v>
      </c>
      <c r="L88" s="268">
        <f>SUMPRODUCT(R$5:X$5,R88:X88)/Thousands</f>
        <v>0</v>
      </c>
      <c r="M88" s="268">
        <f>$H88*Unit_Rates!K96</f>
        <v>0</v>
      </c>
      <c r="N88" s="268">
        <f>$H88*Unit_Rates!L96</f>
        <v>0</v>
      </c>
      <c r="O88" s="268">
        <f>$H88*Unit_Rates!M96</f>
        <v>0</v>
      </c>
      <c r="P88" s="228">
        <f t="shared" ref="P88:P90" si="65">SUM(K88:O88)</f>
        <v>0</v>
      </c>
      <c r="Q88" s="28">
        <f>P88-H88*Unit_Rates!$E96</f>
        <v>0</v>
      </c>
      <c r="R88" s="327">
        <f t="shared" ref="R88:X90" si="66">$AI88*Z88*$H88</f>
        <v>0</v>
      </c>
      <c r="S88" s="327">
        <f t="shared" si="66"/>
        <v>0</v>
      </c>
      <c r="T88" s="327">
        <f t="shared" si="66"/>
        <v>0</v>
      </c>
      <c r="U88" s="327">
        <f t="shared" si="66"/>
        <v>0</v>
      </c>
      <c r="V88" s="327">
        <f t="shared" si="66"/>
        <v>0</v>
      </c>
      <c r="W88" s="327">
        <f t="shared" si="66"/>
        <v>0</v>
      </c>
      <c r="X88" s="327">
        <f t="shared" si="66"/>
        <v>0</v>
      </c>
      <c r="Y88" s="14">
        <f t="shared" si="52"/>
        <v>0</v>
      </c>
      <c r="Z88" s="15">
        <v>0.18112413889844414</v>
      </c>
      <c r="AA88" s="15">
        <v>0.42955043930772852</v>
      </c>
      <c r="AB88" s="15">
        <v>0.3893254217938274</v>
      </c>
      <c r="AC88" s="15">
        <v>0</v>
      </c>
      <c r="AD88" s="15">
        <v>0</v>
      </c>
      <c r="AE88" s="15">
        <v>0</v>
      </c>
      <c r="AF88" s="15">
        <v>0</v>
      </c>
      <c r="AG88" s="16">
        <f t="shared" si="62"/>
        <v>1</v>
      </c>
      <c r="AH88" t="b">
        <f t="shared" si="54"/>
        <v>1</v>
      </c>
      <c r="AI88" s="5">
        <v>500.15046310508262</v>
      </c>
    </row>
    <row r="89" spans="2:35" x14ac:dyDescent="0.3">
      <c r="B89" s="232"/>
      <c r="C89" s="171" t="s">
        <v>480</v>
      </c>
      <c r="D89" s="171" t="str">
        <f>Unit_Rates!G97</f>
        <v>Distribution system assets</v>
      </c>
      <c r="E89" s="171" t="str">
        <f>Unit_Rates!H97</f>
        <v>Augmentation</v>
      </c>
      <c r="F89" s="171" t="str">
        <f t="shared" si="63"/>
        <v>Distribution system assetsAugmentation</v>
      </c>
      <c r="G89" s="228">
        <f>Unit_Rates!I97</f>
        <v>464.96470387554706</v>
      </c>
      <c r="H89" s="456">
        <f>INDEX(Feeder_Vols!$C$48:$F$56,MATCH($B$3,Feeder_Vols!$B$48:$B$56,0),3)</f>
        <v>1</v>
      </c>
      <c r="I89" s="264" t="s">
        <v>292</v>
      </c>
      <c r="J89" s="171"/>
      <c r="K89" s="268">
        <f t="shared" si="64"/>
        <v>464.96470387554706</v>
      </c>
      <c r="L89" s="268">
        <f>SUMPRODUCT(R$5:X$5,R89:X89)/Thousands</f>
        <v>66.268477373471399</v>
      </c>
      <c r="M89" s="268">
        <f>$H89*Unit_Rates!K97</f>
        <v>0</v>
      </c>
      <c r="N89" s="268">
        <f>$H89*Unit_Rates!L97</f>
        <v>431.71066678458811</v>
      </c>
      <c r="O89" s="268">
        <f>$H89*Unit_Rates!M97</f>
        <v>28.425331310192227</v>
      </c>
      <c r="P89" s="228">
        <f t="shared" si="65"/>
        <v>991.36917934379881</v>
      </c>
      <c r="Q89" s="28">
        <f>P89-H89*Unit_Rates!$E97</f>
        <v>-5.729568364381521E-2</v>
      </c>
      <c r="R89" s="327">
        <f t="shared" si="66"/>
        <v>75.367783752080726</v>
      </c>
      <c r="S89" s="327">
        <f t="shared" si="66"/>
        <v>178.74075105200819</v>
      </c>
      <c r="T89" s="327">
        <f t="shared" si="66"/>
        <v>162.00267052972504</v>
      </c>
      <c r="U89" s="327">
        <f t="shared" si="66"/>
        <v>0</v>
      </c>
      <c r="V89" s="327">
        <f t="shared" si="66"/>
        <v>0</v>
      </c>
      <c r="W89" s="327">
        <f t="shared" si="66"/>
        <v>0</v>
      </c>
      <c r="X89" s="327">
        <f t="shared" si="66"/>
        <v>0</v>
      </c>
      <c r="Y89" s="14">
        <f t="shared" si="52"/>
        <v>416.11120533381393</v>
      </c>
      <c r="Z89" s="15">
        <v>0.18112413889844414</v>
      </c>
      <c r="AA89" s="15">
        <v>0.42955043930772852</v>
      </c>
      <c r="AB89" s="15">
        <v>0.3893254217938274</v>
      </c>
      <c r="AC89" s="15">
        <v>0</v>
      </c>
      <c r="AD89" s="15">
        <v>0</v>
      </c>
      <c r="AE89" s="15">
        <v>0</v>
      </c>
      <c r="AF89" s="15">
        <v>0</v>
      </c>
      <c r="AG89" s="16">
        <f t="shared" si="62"/>
        <v>1</v>
      </c>
      <c r="AH89" t="b">
        <f t="shared" si="54"/>
        <v>1</v>
      </c>
      <c r="AI89" s="5">
        <v>416.11120533381393</v>
      </c>
    </row>
    <row r="90" spans="2:35" x14ac:dyDescent="0.3">
      <c r="B90" s="232"/>
      <c r="C90" s="171" t="s">
        <v>295</v>
      </c>
      <c r="D90" s="171" t="str">
        <f>Unit_Rates!G98</f>
        <v>Distribution system assets</v>
      </c>
      <c r="E90" s="171" t="str">
        <f>Unit_Rates!H98</f>
        <v>Replacement</v>
      </c>
      <c r="F90" s="171" t="str">
        <f t="shared" si="63"/>
        <v>Distribution system assetsReplacement</v>
      </c>
      <c r="G90" s="228">
        <f>Unit_Rates!I98</f>
        <v>26.699079189686927</v>
      </c>
      <c r="H90" s="456">
        <f>INDEX(Feeder_Vols!$C$48:$I$56,MATCH($B$3,Feeder_Vols!$B$48:$B$56,0),7)</f>
        <v>1</v>
      </c>
      <c r="I90" s="264" t="s">
        <v>292</v>
      </c>
      <c r="J90" s="171"/>
      <c r="K90" s="268">
        <f t="shared" si="64"/>
        <v>26.699079189686927</v>
      </c>
      <c r="L90" s="268">
        <f>SUMPRODUCT(R$5:X$5,R90:X90)/Thousands</f>
        <v>8.624745189044523</v>
      </c>
      <c r="M90" s="268">
        <f>$H90*Unit_Rates!K98</f>
        <v>5.4968692449355441</v>
      </c>
      <c r="N90" s="268">
        <f>$H90*Unit_Rates!L98</f>
        <v>29.840147329650094</v>
      </c>
      <c r="O90" s="268">
        <f>$H90*Unit_Rates!M98</f>
        <v>7.8526703499079193</v>
      </c>
      <c r="P90" s="228">
        <f t="shared" si="65"/>
        <v>78.513511303225016</v>
      </c>
      <c r="Q90" s="28">
        <f>P90-H90*Unit_Rates!$E98</f>
        <v>-1.3192195854188071E-2</v>
      </c>
      <c r="R90" s="327">
        <f t="shared" si="66"/>
        <v>16.328725464308661</v>
      </c>
      <c r="S90" s="327">
        <f t="shared" si="66"/>
        <v>17.478635708274062</v>
      </c>
      <c r="T90" s="327">
        <f t="shared" si="66"/>
        <v>20.056293095554889</v>
      </c>
      <c r="U90" s="327">
        <f t="shared" si="66"/>
        <v>0</v>
      </c>
      <c r="V90" s="327">
        <f t="shared" si="66"/>
        <v>0</v>
      </c>
      <c r="W90" s="327">
        <f t="shared" si="66"/>
        <v>0</v>
      </c>
      <c r="X90" s="327">
        <f t="shared" si="66"/>
        <v>0</v>
      </c>
      <c r="Y90" s="14">
        <f t="shared" si="52"/>
        <v>53.863654268137608</v>
      </c>
      <c r="Z90" s="15">
        <v>0.30314923274650013</v>
      </c>
      <c r="AA90" s="15">
        <v>0.32449777026385929</v>
      </c>
      <c r="AB90" s="15">
        <v>0.37235299698964064</v>
      </c>
      <c r="AC90" s="15">
        <v>0</v>
      </c>
      <c r="AD90" s="15">
        <v>0</v>
      </c>
      <c r="AE90" s="15">
        <v>0</v>
      </c>
      <c r="AF90" s="15">
        <v>0</v>
      </c>
      <c r="AG90" s="16">
        <f t="shared" si="62"/>
        <v>1</v>
      </c>
      <c r="AH90" t="b">
        <f t="shared" si="54"/>
        <v>1</v>
      </c>
      <c r="AI90" s="5">
        <v>53.863654268137608</v>
      </c>
    </row>
    <row r="91" spans="2:35" x14ac:dyDescent="0.3">
      <c r="B91" s="232"/>
      <c r="C91" s="171"/>
      <c r="D91" s="171"/>
      <c r="E91" s="171"/>
      <c r="F91" s="171"/>
      <c r="G91" s="224"/>
      <c r="H91" s="232"/>
      <c r="I91" s="224"/>
      <c r="J91" s="171"/>
      <c r="K91" s="235"/>
      <c r="L91" s="235"/>
      <c r="M91" s="235"/>
      <c r="N91" s="235"/>
      <c r="O91" s="235"/>
      <c r="P91" s="224"/>
    </row>
    <row r="92" spans="2:35" x14ac:dyDescent="0.3">
      <c r="B92" s="251" t="s">
        <v>283</v>
      </c>
      <c r="C92" s="171"/>
      <c r="D92" s="171"/>
      <c r="E92" s="171"/>
      <c r="F92" s="171"/>
      <c r="G92" s="224"/>
      <c r="H92" s="232"/>
      <c r="I92" s="224"/>
      <c r="J92" s="171"/>
      <c r="K92" s="319">
        <f>SUM(K73:K90)</f>
        <v>3239.796131337539</v>
      </c>
      <c r="L92" s="319">
        <f t="shared" ref="L92:P92" si="67">SUM(L73:L90)</f>
        <v>1217.2893153810348</v>
      </c>
      <c r="M92" s="319">
        <f t="shared" si="67"/>
        <v>216.97602481591784</v>
      </c>
      <c r="N92" s="319">
        <f t="shared" si="67"/>
        <v>3894.0849929311421</v>
      </c>
      <c r="O92" s="319">
        <f t="shared" si="67"/>
        <v>320.85645137781057</v>
      </c>
      <c r="P92" s="319">
        <f t="shared" si="67"/>
        <v>8889.0029158434445</v>
      </c>
      <c r="R92" s="274"/>
      <c r="S92" s="274"/>
      <c r="T92" s="274"/>
      <c r="U92" s="45"/>
    </row>
    <row r="93" spans="2:35" x14ac:dyDescent="0.3">
      <c r="B93" s="259" t="s">
        <v>55</v>
      </c>
      <c r="C93" s="260"/>
      <c r="D93" s="260"/>
      <c r="E93" s="260"/>
      <c r="F93" s="260"/>
      <c r="G93" s="260"/>
      <c r="H93" s="260"/>
      <c r="I93" s="260"/>
      <c r="J93" s="260"/>
      <c r="K93" s="323">
        <f>K92-SUMIF(Direct_Capex_Totals!$B$19:$B$109,$B$3,Direct_Capex_Totals!Q$19:Q$109)</f>
        <v>0</v>
      </c>
      <c r="L93" s="323">
        <f>L92-SUMIF(Direct_Capex_Totals!$B$19:$B$109,$B$3,Direct_Capex_Totals!R$19:R$109)</f>
        <v>0</v>
      </c>
      <c r="M93" s="323">
        <f>M92-SUMIF(Direct_Capex_Totals!$B$19:$B$109,$B$3,Direct_Capex_Totals!S$19:S$109)</f>
        <v>0</v>
      </c>
      <c r="N93" s="323">
        <f>N92-SUMIF(Direct_Capex_Totals!$B$19:$B$109,$B$3,Direct_Capex_Totals!T$19:T$109)</f>
        <v>0</v>
      </c>
      <c r="O93" s="323">
        <f>O92-SUMIF(Direct_Capex_Totals!$B$19:$B$109,$B$3,Direct_Capex_Totals!U$19:U$109)</f>
        <v>0</v>
      </c>
      <c r="P93" s="324">
        <f>SUM(K93:O93)</f>
        <v>0</v>
      </c>
      <c r="Q93" s="11"/>
      <c r="R93" s="45"/>
      <c r="S93" s="45"/>
      <c r="T93" s="45"/>
      <c r="U93" s="45"/>
    </row>
    <row r="94" spans="2:35" x14ac:dyDescent="0.3">
      <c r="B94" s="232"/>
      <c r="C94" s="171"/>
      <c r="D94" s="171"/>
      <c r="E94" s="171"/>
      <c r="F94" s="171"/>
      <c r="G94" s="171"/>
      <c r="H94" s="171"/>
      <c r="I94" s="171"/>
      <c r="J94" s="171"/>
      <c r="K94" s="157"/>
      <c r="L94" s="157"/>
      <c r="M94" s="157"/>
      <c r="N94" s="157"/>
      <c r="O94" s="157"/>
      <c r="P94" s="233"/>
    </row>
    <row r="95" spans="2:35" x14ac:dyDescent="0.3">
      <c r="B95" s="251" t="s">
        <v>103</v>
      </c>
      <c r="C95" s="252"/>
      <c r="D95" s="252"/>
      <c r="E95" s="252"/>
      <c r="F95" s="252"/>
      <c r="G95" s="252"/>
      <c r="H95" s="252"/>
      <c r="I95" s="252"/>
      <c r="J95" s="252"/>
      <c r="K95" s="26">
        <f>K60+K92</f>
        <v>7397.17562850797</v>
      </c>
      <c r="L95" s="26">
        <f>L60+L92</f>
        <v>2063.326815381035</v>
      </c>
      <c r="M95" s="26">
        <f t="shared" ref="M95:N95" si="68">M60+M92</f>
        <v>861.53416435080146</v>
      </c>
      <c r="N95" s="26">
        <f t="shared" si="68"/>
        <v>6110.6722230480636</v>
      </c>
      <c r="O95" s="26">
        <f>O60+O92</f>
        <v>699.6201989986937</v>
      </c>
      <c r="P95" s="253">
        <f>P60+P92</f>
        <v>17132.329030286564</v>
      </c>
    </row>
    <row r="96" spans="2:35" x14ac:dyDescent="0.3">
      <c r="B96" s="258" t="s">
        <v>55</v>
      </c>
      <c r="C96" s="254"/>
      <c r="D96" s="254"/>
      <c r="E96" s="254"/>
      <c r="F96" s="254"/>
      <c r="G96" s="254"/>
      <c r="H96" s="254"/>
      <c r="I96" s="254"/>
      <c r="J96" s="254"/>
      <c r="K96" s="256">
        <f>K95-SUMIF(Direct_Capex_Totals!$B$132:$B$140,$B$3,Direct_Capex_Totals!Q$132:Q$140)</f>
        <v>0</v>
      </c>
      <c r="L96" s="256">
        <f>L95-SUMIF(Direct_Capex_Totals!$B$132:$B$140,$B$3,Direct_Capex_Totals!R$132:R$140)</f>
        <v>0</v>
      </c>
      <c r="M96" s="256">
        <f>M95-SUMIF(Direct_Capex_Totals!$B$132:$B$140,$B$3,Direct_Capex_Totals!S$132:S$140)</f>
        <v>0</v>
      </c>
      <c r="N96" s="256">
        <f>N95-SUMIF(Direct_Capex_Totals!$B$132:$B$140,$B$3,Direct_Capex_Totals!T$132:T$140)</f>
        <v>0</v>
      </c>
      <c r="O96" s="256">
        <f>O95-SUMIF(Direct_Capex_Totals!$B$132:$B$140,$B$3,Direct_Capex_Totals!U$132:U$140)</f>
        <v>0</v>
      </c>
      <c r="P96" s="343">
        <f>SUM(K96:O96)</f>
        <v>0</v>
      </c>
    </row>
    <row r="99" spans="3:16" hidden="1" outlineLevel="1" x14ac:dyDescent="0.3">
      <c r="C99" t="s">
        <v>261</v>
      </c>
      <c r="D99" t="s">
        <v>18</v>
      </c>
      <c r="E99" t="s">
        <v>42</v>
      </c>
      <c r="F99" s="171" t="str">
        <f t="shared" ref="F99:F119" si="69">D99&amp;E99</f>
        <v>SubtransmissionAugmentation</v>
      </c>
      <c r="K99" s="6">
        <v>1144.4069010992209</v>
      </c>
      <c r="L99" s="6">
        <v>0</v>
      </c>
      <c r="M99" s="6">
        <v>0</v>
      </c>
      <c r="N99" s="6">
        <v>1714.1243019401263</v>
      </c>
      <c r="O99" s="6">
        <v>367.68362975716309</v>
      </c>
      <c r="P99" s="6">
        <v>3226.2148327965101</v>
      </c>
    </row>
    <row r="100" spans="3:16" hidden="1" outlineLevel="1" x14ac:dyDescent="0.3">
      <c r="D100" t="s">
        <v>18</v>
      </c>
      <c r="E100" t="s">
        <v>44</v>
      </c>
      <c r="F100" s="171" t="str">
        <f t="shared" si="69"/>
        <v>SubtransmissionReplacement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3:16" hidden="1" outlineLevel="1" x14ac:dyDescent="0.3">
      <c r="D101" t="s">
        <v>22</v>
      </c>
      <c r="E101" t="s">
        <v>42</v>
      </c>
      <c r="F101" s="171" t="str">
        <f t="shared" si="69"/>
        <v>SCADA/Network controlAugmentation</v>
      </c>
      <c r="K101" s="6">
        <v>3012.9725960712094</v>
      </c>
      <c r="L101" s="6">
        <v>0</v>
      </c>
      <c r="M101" s="6">
        <v>0</v>
      </c>
      <c r="N101" s="6">
        <v>502.46292817679557</v>
      </c>
      <c r="O101" s="6">
        <v>11.080117863720073</v>
      </c>
      <c r="P101" s="6">
        <v>3526.5156421117254</v>
      </c>
    </row>
    <row r="102" spans="3:16" hidden="1" outlineLevel="1" x14ac:dyDescent="0.3">
      <c r="D102" t="s">
        <v>22</v>
      </c>
      <c r="E102" t="s">
        <v>44</v>
      </c>
      <c r="F102" s="171" t="str">
        <f t="shared" si="69"/>
        <v>SCADA/Network controlReplacement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</row>
    <row r="103" spans="3:16" hidden="1" outlineLevel="1" x14ac:dyDescent="0.3">
      <c r="D103" t="s">
        <v>195</v>
      </c>
      <c r="E103" t="s">
        <v>66</v>
      </c>
      <c r="F103" s="171" t="str">
        <f t="shared" si="69"/>
        <v>LandNon-Network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</row>
    <row r="104" spans="3:16" hidden="1" outlineLevel="1" x14ac:dyDescent="0.3">
      <c r="F104" s="171"/>
      <c r="K104" s="6">
        <v>4157.3794971704301</v>
      </c>
      <c r="L104" s="6">
        <v>0</v>
      </c>
      <c r="M104" s="6">
        <v>0</v>
      </c>
      <c r="N104" s="6">
        <v>2216.587230116922</v>
      </c>
      <c r="O104" s="6">
        <v>378.76374762088318</v>
      </c>
      <c r="P104" s="6">
        <v>6752.7304749082359</v>
      </c>
    </row>
    <row r="105" spans="3:16" hidden="1" outlineLevel="1" x14ac:dyDescent="0.3">
      <c r="C105" t="s">
        <v>368</v>
      </c>
      <c r="D105" t="s">
        <v>18</v>
      </c>
      <c r="E105" t="s">
        <v>42</v>
      </c>
      <c r="F105" s="171" t="str">
        <f t="shared" ref="F105:F109" si="70">D105&amp;E105</f>
        <v>SubtransmissionAugmentation</v>
      </c>
      <c r="K105" s="6"/>
      <c r="L105" s="6">
        <v>404.20667487682738</v>
      </c>
      <c r="M105" s="6">
        <v>307.94699093856883</v>
      </c>
      <c r="N105" s="6">
        <v>0</v>
      </c>
      <c r="O105" s="6"/>
      <c r="P105" s="6">
        <v>712.15366581539615</v>
      </c>
    </row>
    <row r="106" spans="3:16" hidden="1" outlineLevel="1" x14ac:dyDescent="0.3">
      <c r="D106" t="s">
        <v>18</v>
      </c>
      <c r="E106" t="s">
        <v>44</v>
      </c>
      <c r="F106" s="171" t="str">
        <f t="shared" si="70"/>
        <v>SubtransmissionReplacement</v>
      </c>
      <c r="K106" s="6"/>
      <c r="L106" s="38">
        <v>0</v>
      </c>
      <c r="M106" s="38">
        <v>0</v>
      </c>
      <c r="N106" s="38">
        <v>0</v>
      </c>
      <c r="O106" s="6"/>
      <c r="P106" s="6">
        <v>0</v>
      </c>
    </row>
    <row r="107" spans="3:16" hidden="1" outlineLevel="1" x14ac:dyDescent="0.3">
      <c r="D107" t="s">
        <v>22</v>
      </c>
      <c r="E107" t="s">
        <v>42</v>
      </c>
      <c r="F107" s="171" t="str">
        <f t="shared" si="70"/>
        <v>SCADA/Network controlAugmentation</v>
      </c>
      <c r="K107" s="6"/>
      <c r="L107" s="6">
        <v>441.83082512317259</v>
      </c>
      <c r="M107" s="6">
        <v>336.61114859631476</v>
      </c>
      <c r="N107" s="6">
        <v>0</v>
      </c>
      <c r="O107" s="6"/>
      <c r="P107" s="6">
        <v>778.44197371948735</v>
      </c>
    </row>
    <row r="108" spans="3:16" hidden="1" outlineLevel="1" x14ac:dyDescent="0.3">
      <c r="D108" t="s">
        <v>22</v>
      </c>
      <c r="E108" t="s">
        <v>44</v>
      </c>
      <c r="F108" s="171" t="str">
        <f t="shared" si="70"/>
        <v>SCADA/Network controlReplacement</v>
      </c>
      <c r="K108" s="6"/>
      <c r="L108" s="6">
        <v>0</v>
      </c>
      <c r="M108" s="6">
        <v>0</v>
      </c>
      <c r="N108" s="6">
        <v>0</v>
      </c>
      <c r="O108" s="6"/>
      <c r="P108" s="6">
        <v>0</v>
      </c>
    </row>
    <row r="109" spans="3:16" hidden="1" outlineLevel="1" x14ac:dyDescent="0.3">
      <c r="D109" t="s">
        <v>195</v>
      </c>
      <c r="E109" t="s">
        <v>66</v>
      </c>
      <c r="F109" s="171" t="str">
        <f t="shared" si="70"/>
        <v>LandNon-Network</v>
      </c>
      <c r="K109" s="39"/>
      <c r="L109" s="39">
        <v>0</v>
      </c>
      <c r="M109" s="39">
        <v>0</v>
      </c>
      <c r="N109" s="39">
        <v>0</v>
      </c>
      <c r="O109" s="39"/>
      <c r="P109" s="39">
        <v>0</v>
      </c>
    </row>
    <row r="110" spans="3:16" hidden="1" outlineLevel="1" x14ac:dyDescent="0.3">
      <c r="F110" s="171"/>
      <c r="K110" s="6">
        <v>0</v>
      </c>
      <c r="L110" s="6">
        <v>846.03749999999991</v>
      </c>
      <c r="M110" s="6">
        <v>644.55813953488359</v>
      </c>
      <c r="N110" s="6">
        <v>0</v>
      </c>
      <c r="O110" s="6">
        <v>0</v>
      </c>
      <c r="P110" s="6">
        <v>1490.5956395348835</v>
      </c>
    </row>
    <row r="111" spans="3:16" hidden="1" outlineLevel="1" x14ac:dyDescent="0.3">
      <c r="C111" t="s">
        <v>377</v>
      </c>
      <c r="D111" t="s">
        <v>18</v>
      </c>
      <c r="E111" t="s">
        <v>42</v>
      </c>
      <c r="F111" s="171" t="str">
        <f t="shared" ref="F111:F115" si="71">D111&amp;E111</f>
        <v>SubtransmissionAugmentation</v>
      </c>
      <c r="K111" s="6">
        <v>1144.4069010992209</v>
      </c>
      <c r="L111" s="6">
        <v>404.20667487682738</v>
      </c>
      <c r="M111" s="6">
        <v>307.94699093856883</v>
      </c>
      <c r="N111" s="6">
        <v>1714.1243019401263</v>
      </c>
      <c r="O111" s="6">
        <v>367.68362975716309</v>
      </c>
      <c r="P111" s="6">
        <v>3938.368498611906</v>
      </c>
    </row>
    <row r="112" spans="3:16" hidden="1" outlineLevel="1" x14ac:dyDescent="0.3">
      <c r="D112" t="s">
        <v>18</v>
      </c>
      <c r="E112" t="s">
        <v>44</v>
      </c>
      <c r="F112" s="171" t="str">
        <f t="shared" si="71"/>
        <v>SubtransmissionReplacement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</row>
    <row r="113" spans="3:16" hidden="1" outlineLevel="1" x14ac:dyDescent="0.3">
      <c r="D113" t="s">
        <v>22</v>
      </c>
      <c r="E113" t="s">
        <v>42</v>
      </c>
      <c r="F113" s="171" t="str">
        <f t="shared" si="71"/>
        <v>SCADA/Network controlAugmentation</v>
      </c>
      <c r="K113" s="6">
        <v>3012.9725960712094</v>
      </c>
      <c r="L113" s="6">
        <v>441.83082512317259</v>
      </c>
      <c r="M113" s="6">
        <v>336.61114859631476</v>
      </c>
      <c r="N113" s="6">
        <v>502.46292817679557</v>
      </c>
      <c r="O113" s="6">
        <v>11.080117863720073</v>
      </c>
      <c r="P113" s="6">
        <v>4304.9576158312129</v>
      </c>
    </row>
    <row r="114" spans="3:16" hidden="1" outlineLevel="1" x14ac:dyDescent="0.3">
      <c r="D114" t="s">
        <v>22</v>
      </c>
      <c r="E114" t="s">
        <v>44</v>
      </c>
      <c r="F114" s="171" t="str">
        <f t="shared" si="71"/>
        <v>SCADA/Network controlReplacement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</row>
    <row r="115" spans="3:16" hidden="1" outlineLevel="1" x14ac:dyDescent="0.3">
      <c r="D115" t="s">
        <v>195</v>
      </c>
      <c r="E115" t="s">
        <v>66</v>
      </c>
      <c r="F115" s="171" t="str">
        <f t="shared" si="71"/>
        <v>LandNon-Network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</row>
    <row r="116" spans="3:16" hidden="1" outlineLevel="1" x14ac:dyDescent="0.3">
      <c r="F116" s="171"/>
      <c r="K116" s="6">
        <v>4157.3794971704301</v>
      </c>
      <c r="L116" s="6">
        <v>846.03749999999991</v>
      </c>
      <c r="M116" s="6">
        <v>644.55813953488359</v>
      </c>
      <c r="N116" s="6">
        <v>2216.587230116922</v>
      </c>
      <c r="O116" s="6">
        <v>378.76374762088318</v>
      </c>
      <c r="P116" s="6">
        <v>8243.3261144431199</v>
      </c>
    </row>
    <row r="117" spans="3:16" hidden="1" outlineLevel="1" x14ac:dyDescent="0.3">
      <c r="F117" s="171"/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</row>
    <row r="118" spans="3:16" hidden="1" outlineLevel="1" x14ac:dyDescent="0.3">
      <c r="C118" t="s">
        <v>17</v>
      </c>
      <c r="D118" t="s">
        <v>19</v>
      </c>
      <c r="E118" t="s">
        <v>42</v>
      </c>
      <c r="F118" s="171" t="str">
        <f t="shared" si="69"/>
        <v>Distribution system assetsAugmentation</v>
      </c>
      <c r="K118" s="6">
        <v>529.65821395348837</v>
      </c>
      <c r="L118" s="6">
        <v>247.85730694884836</v>
      </c>
      <c r="M118" s="6">
        <v>163.1872465116279</v>
      </c>
      <c r="N118" s="6">
        <v>1243.0740930733916</v>
      </c>
      <c r="O118" s="6">
        <v>137.95023319690051</v>
      </c>
      <c r="P118" s="6">
        <v>2321.7270936842569</v>
      </c>
    </row>
    <row r="119" spans="3:16" hidden="1" outlineLevel="1" x14ac:dyDescent="0.3">
      <c r="D119" t="s">
        <v>19</v>
      </c>
      <c r="E119" t="s">
        <v>44</v>
      </c>
      <c r="F119" s="171" t="str">
        <f t="shared" si="69"/>
        <v>Distribution system assetsReplacement</v>
      </c>
      <c r="K119" s="39">
        <v>0</v>
      </c>
      <c r="L119" s="39">
        <v>5.9763401606130948</v>
      </c>
      <c r="M119" s="39">
        <v>0</v>
      </c>
      <c r="N119" s="39">
        <v>139.0981652465116</v>
      </c>
      <c r="O119" s="39">
        <v>0</v>
      </c>
      <c r="P119" s="39">
        <v>145.07450540712469</v>
      </c>
    </row>
    <row r="120" spans="3:16" hidden="1" outlineLevel="1" x14ac:dyDescent="0.3">
      <c r="K120" s="14">
        <v>529.65821395348837</v>
      </c>
      <c r="L120" s="14">
        <v>253.83364710946145</v>
      </c>
      <c r="M120" s="14">
        <v>163.1872465116279</v>
      </c>
      <c r="N120" s="14">
        <v>1382.1722583199032</v>
      </c>
      <c r="O120" s="14">
        <v>137.95023319690051</v>
      </c>
      <c r="P120" s="14">
        <v>2466.8015990913818</v>
      </c>
    </row>
    <row r="121" spans="3:16" hidden="1" outlineLevel="1" x14ac:dyDescent="0.3">
      <c r="K121" s="19">
        <f>K120-K73</f>
        <v>0</v>
      </c>
      <c r="L121" s="19">
        <f t="shared" ref="L121:P121" si="72">L120-L73</f>
        <v>0</v>
      </c>
      <c r="M121" s="19">
        <f t="shared" si="72"/>
        <v>0</v>
      </c>
      <c r="N121" s="19">
        <f t="shared" si="72"/>
        <v>0</v>
      </c>
      <c r="O121" s="19">
        <f t="shared" si="72"/>
        <v>0</v>
      </c>
      <c r="P121" s="19">
        <f t="shared" si="72"/>
        <v>0</v>
      </c>
    </row>
    <row r="122" spans="3:16" collapsed="1" x14ac:dyDescent="0.3"/>
  </sheetData>
  <mergeCells count="3">
    <mergeCell ref="G3:I3"/>
    <mergeCell ref="K3:P3"/>
    <mergeCell ref="R3:X3"/>
  </mergeCells>
  <pageMargins left="0.25" right="0.25" top="0.75" bottom="0.75" header="0.3" footer="0.3"/>
  <pageSetup paperSize="9" scale="72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B1:BA123"/>
  <sheetViews>
    <sheetView zoomScale="85" zoomScaleNormal="85" workbookViewId="0">
      <pane xSplit="3" ySplit="4" topLeftCell="G5" activePane="bottomRight" state="frozen"/>
      <selection activeCell="N1" sqref="N1"/>
      <selection pane="topRight" activeCell="N1" sqref="N1"/>
      <selection pane="bottomLeft" activeCell="N1" sqref="N1"/>
      <selection pane="bottomRight" activeCell="O5" sqref="O5"/>
    </sheetView>
  </sheetViews>
  <sheetFormatPr defaultRowHeight="14.4" outlineLevelRow="1" outlineLevelCol="1" x14ac:dyDescent="0.3"/>
  <cols>
    <col min="1" max="1" width="2.33203125" customWidth="1"/>
    <col min="2" max="2" width="3" customWidth="1"/>
    <col min="3" max="3" width="52" customWidth="1"/>
    <col min="4" max="4" width="20" hidden="1" customWidth="1" outlineLevel="1"/>
    <col min="5" max="6" width="15.33203125" hidden="1" customWidth="1" outlineLevel="1"/>
    <col min="7" max="7" width="9.33203125" customWidth="1" collapsed="1"/>
    <col min="8" max="8" width="8.6640625" customWidth="1"/>
    <col min="9" max="9" width="10.6640625" customWidth="1"/>
    <col min="10" max="10" width="2.33203125" customWidth="1"/>
    <col min="11" max="11" width="10.5546875" customWidth="1"/>
    <col min="12" max="12" width="9.44140625" bestFit="1" customWidth="1"/>
    <col min="13" max="13" width="10.88671875" customWidth="1"/>
    <col min="14" max="14" width="12.33203125" customWidth="1"/>
    <col min="15" max="15" width="9.109375" bestFit="1" customWidth="1"/>
    <col min="16" max="16" width="10.33203125" customWidth="1"/>
    <col min="17" max="18" width="9.33203125" bestFit="1" customWidth="1"/>
    <col min="19" max="19" width="10.33203125" customWidth="1"/>
    <col min="20" max="20" width="9.5546875" bestFit="1" customWidth="1"/>
    <col min="26" max="35" width="8.88671875" hidden="1" customWidth="1" outlineLevel="1"/>
    <col min="36" max="36" width="8.88671875" collapsed="1"/>
    <col min="47" max="47" width="9.5546875" bestFit="1" customWidth="1"/>
    <col min="52" max="52" width="11.33203125" customWidth="1"/>
  </cols>
  <sheetData>
    <row r="1" spans="2:33" x14ac:dyDescent="0.3">
      <c r="N1" s="567" t="s">
        <v>425</v>
      </c>
    </row>
    <row r="2" spans="2:33" x14ac:dyDescent="0.3">
      <c r="B2" s="22" t="str">
        <f>STN_6&amp;" Volumes &amp; Unit Rates"</f>
        <v>BGE Volumes &amp; Unit Rates</v>
      </c>
      <c r="R2" s="176"/>
      <c r="S2" s="176"/>
      <c r="T2" s="176"/>
      <c r="U2" s="176"/>
      <c r="V2" s="176"/>
      <c r="W2" s="176"/>
      <c r="X2" s="176"/>
    </row>
    <row r="3" spans="2:33" x14ac:dyDescent="0.3">
      <c r="B3" t="str">
        <f>STN_6</f>
        <v>BGE</v>
      </c>
      <c r="G3" s="596" t="s">
        <v>135</v>
      </c>
      <c r="H3" s="597"/>
      <c r="I3" s="598"/>
      <c r="K3" s="596" t="s">
        <v>633</v>
      </c>
      <c r="L3" s="597"/>
      <c r="M3" s="597"/>
      <c r="N3" s="597"/>
      <c r="O3" s="597"/>
      <c r="P3" s="598"/>
      <c r="R3" s="596" t="s">
        <v>352</v>
      </c>
      <c r="S3" s="597"/>
      <c r="T3" s="597"/>
      <c r="U3" s="597"/>
      <c r="V3" s="597"/>
      <c r="W3" s="597"/>
      <c r="X3" s="598"/>
    </row>
    <row r="4" spans="2:33" ht="45" customHeight="1" x14ac:dyDescent="0.3">
      <c r="D4" t="s">
        <v>362</v>
      </c>
      <c r="E4" t="s">
        <v>84</v>
      </c>
      <c r="G4" s="221" t="s">
        <v>634</v>
      </c>
      <c r="H4" s="230" t="s">
        <v>265</v>
      </c>
      <c r="I4" s="220" t="s">
        <v>293</v>
      </c>
      <c r="K4" s="220" t="s">
        <v>135</v>
      </c>
      <c r="L4" s="220" t="s">
        <v>290</v>
      </c>
      <c r="M4" s="295" t="s">
        <v>136</v>
      </c>
      <c r="N4" s="221" t="s">
        <v>137</v>
      </c>
      <c r="O4" s="220" t="s">
        <v>60</v>
      </c>
      <c r="P4" s="220" t="s">
        <v>291</v>
      </c>
      <c r="Q4" s="266" t="s">
        <v>114</v>
      </c>
      <c r="R4" s="298" t="s">
        <v>285</v>
      </c>
      <c r="S4" s="298" t="s">
        <v>289</v>
      </c>
      <c r="T4" s="298" t="s">
        <v>256</v>
      </c>
      <c r="U4" s="298" t="s">
        <v>286</v>
      </c>
      <c r="V4" s="298" t="s">
        <v>287</v>
      </c>
      <c r="W4" s="298" t="s">
        <v>288</v>
      </c>
      <c r="X4" s="298" t="s">
        <v>345</v>
      </c>
      <c r="Y4" s="460" t="s">
        <v>485</v>
      </c>
    </row>
    <row r="5" spans="2:33" x14ac:dyDescent="0.3">
      <c r="B5" s="248" t="s">
        <v>314</v>
      </c>
      <c r="C5" s="292"/>
      <c r="D5" s="292"/>
      <c r="E5" s="292"/>
      <c r="F5" s="292"/>
      <c r="G5" s="221"/>
      <c r="H5" s="293"/>
      <c r="I5" s="294"/>
      <c r="J5" s="292"/>
      <c r="K5" s="294"/>
      <c r="L5" s="294"/>
      <c r="M5" s="294"/>
      <c r="N5" s="295"/>
      <c r="O5" s="294"/>
      <c r="P5" s="294"/>
      <c r="R5" s="325">
        <f>Lab_Rates!$C$6*(1+Escalators!C5)*(1+Escalators!C15)</f>
        <v>158.45839054425579</v>
      </c>
      <c r="S5" s="325">
        <f>Lab_Rates!$C$7*(1+Escalators!C5)*(1+Escalators!C15)</f>
        <v>148.03349642950209</v>
      </c>
      <c r="T5" s="325">
        <f>Lab_Rates!$C$8*(1+Escalators!C5)*(1+Escalators!C15)</f>
        <v>172.01075289343555</v>
      </c>
      <c r="U5" s="325">
        <f>Lab_Rates!$C$9*(1+Escalators!C5)*(1+Escalators!C15)</f>
        <v>224.1352234672039</v>
      </c>
      <c r="V5" s="325">
        <f>Lab_Rates!$C$6*(1+Escalators!C5)*(1+Escalators!C15)</f>
        <v>158.45839054425579</v>
      </c>
      <c r="W5" s="325">
        <f>Lab_Rates!$C$10*(1+Escalators!C5)*(1+Escalators!C15)</f>
        <v>158.45839054425579</v>
      </c>
      <c r="X5" s="325">
        <f>Lab_Rates!$C$5*(1+Escalators!C5)*(1+Escalators!C15)</f>
        <v>130.31117643442087</v>
      </c>
    </row>
    <row r="6" spans="2:33" x14ac:dyDescent="0.3">
      <c r="B6" s="251"/>
      <c r="C6" s="171"/>
      <c r="D6" s="171"/>
      <c r="E6" s="171"/>
      <c r="F6" s="171"/>
      <c r="G6" s="271"/>
      <c r="H6" s="231"/>
      <c r="I6" s="264"/>
      <c r="K6" s="271"/>
      <c r="L6" s="271"/>
      <c r="M6" s="271"/>
      <c r="N6" s="222"/>
      <c r="O6" s="271"/>
      <c r="P6" s="223"/>
      <c r="R6" s="326"/>
      <c r="S6" s="326"/>
      <c r="T6" s="326"/>
      <c r="U6" s="326"/>
      <c r="V6" s="326"/>
      <c r="W6" s="326"/>
      <c r="X6" s="326"/>
    </row>
    <row r="7" spans="2:33" x14ac:dyDescent="0.3">
      <c r="B7" s="232" t="s">
        <v>315</v>
      </c>
      <c r="D7" t="s">
        <v>365</v>
      </c>
      <c r="E7" t="s">
        <v>365</v>
      </c>
      <c r="G7" s="309"/>
      <c r="H7" s="314"/>
      <c r="I7" s="315"/>
      <c r="K7" s="309"/>
      <c r="L7" s="271">
        <f>SUMPRODUCT(R$5:X$5,R7:X7)/Thousands</f>
        <v>0</v>
      </c>
      <c r="M7" s="447">
        <v>594.9767441860464</v>
      </c>
      <c r="N7" s="447"/>
      <c r="O7" s="309"/>
      <c r="P7" s="223">
        <f t="shared" ref="P7" si="0">SUM(K7:O7)</f>
        <v>594.9767441860464</v>
      </c>
      <c r="Q7" s="19"/>
      <c r="R7" s="327">
        <v>0</v>
      </c>
      <c r="S7" s="328"/>
      <c r="T7" s="328"/>
      <c r="U7" s="328"/>
      <c r="V7" s="328"/>
      <c r="W7" s="328"/>
      <c r="X7" s="328"/>
    </row>
    <row r="8" spans="2:33" x14ac:dyDescent="0.3">
      <c r="B8" s="234"/>
      <c r="C8" s="42"/>
      <c r="D8" s="42"/>
      <c r="E8" s="42"/>
      <c r="F8" s="42"/>
      <c r="G8" s="241"/>
      <c r="H8" s="284"/>
      <c r="I8" s="263"/>
      <c r="K8" s="241"/>
      <c r="L8" s="241"/>
      <c r="M8" s="241"/>
      <c r="N8" s="310"/>
      <c r="O8" s="310"/>
      <c r="P8" s="242"/>
      <c r="R8" s="326"/>
      <c r="S8" s="326"/>
      <c r="T8" s="326"/>
      <c r="U8" s="326"/>
      <c r="V8" s="326"/>
      <c r="W8" s="326"/>
      <c r="X8" s="326"/>
    </row>
    <row r="9" spans="2:33" x14ac:dyDescent="0.3">
      <c r="B9" s="237" t="s">
        <v>269</v>
      </c>
      <c r="C9" s="238"/>
      <c r="D9" s="292"/>
      <c r="E9" s="292"/>
      <c r="F9" s="292"/>
      <c r="G9" s="239"/>
      <c r="H9" s="285"/>
      <c r="I9" s="220"/>
      <c r="K9" s="239"/>
      <c r="L9" s="239"/>
      <c r="M9" s="354"/>
      <c r="N9" s="311"/>
      <c r="O9" s="311"/>
      <c r="P9" s="243"/>
      <c r="R9" s="326"/>
      <c r="S9" s="326"/>
      <c r="T9" s="326"/>
      <c r="U9" s="326"/>
      <c r="V9" s="326"/>
      <c r="W9" s="326"/>
      <c r="X9" s="326"/>
    </row>
    <row r="10" spans="2:33" x14ac:dyDescent="0.3">
      <c r="B10" s="232"/>
      <c r="C10" s="171" t="s">
        <v>270</v>
      </c>
      <c r="D10" s="171" t="s">
        <v>365</v>
      </c>
      <c r="E10" s="171" t="s">
        <v>365</v>
      </c>
      <c r="F10" s="171"/>
      <c r="G10" s="309"/>
      <c r="H10" s="314"/>
      <c r="I10" s="315"/>
      <c r="K10" s="307"/>
      <c r="L10" s="225">
        <f>SUMPRODUCT(R$5:X$5,R10:X10)/Thousands</f>
        <v>48.69400000000001</v>
      </c>
      <c r="M10" s="307"/>
      <c r="N10" s="306">
        <v>0</v>
      </c>
      <c r="O10" s="307"/>
      <c r="P10" s="223">
        <f>SUM(K10:O10)</f>
        <v>48.69400000000001</v>
      </c>
      <c r="Q10" s="19"/>
      <c r="R10" s="327">
        <v>207.21403142993012</v>
      </c>
      <c r="S10" s="327">
        <v>77.473237968352223</v>
      </c>
      <c r="T10" s="327">
        <v>15.400463648641695</v>
      </c>
      <c r="U10" s="327">
        <v>7.7699453535485574</v>
      </c>
      <c r="V10" s="327">
        <v>0</v>
      </c>
      <c r="W10" s="327">
        <v>0</v>
      </c>
      <c r="X10" s="327">
        <v>0</v>
      </c>
      <c r="Y10" s="14">
        <f>SUM(R10:X10)</f>
        <v>307.85767840047259</v>
      </c>
      <c r="AA10" s="15"/>
      <c r="AB10" s="15"/>
      <c r="AC10" s="15"/>
      <c r="AD10" s="15"/>
      <c r="AE10" s="15"/>
      <c r="AF10" s="15"/>
      <c r="AG10" s="15"/>
    </row>
    <row r="11" spans="2:33" x14ac:dyDescent="0.3">
      <c r="B11" s="232"/>
      <c r="C11" s="171" t="s">
        <v>271</v>
      </c>
      <c r="D11" s="171" t="s">
        <v>365</v>
      </c>
      <c r="E11" s="171" t="s">
        <v>365</v>
      </c>
      <c r="F11" s="171"/>
      <c r="G11" s="309"/>
      <c r="H11" s="314"/>
      <c r="I11" s="315"/>
      <c r="K11" s="307"/>
      <c r="L11" s="225">
        <f>SUMPRODUCT(R$5:X$5,R11:X11)/Thousands</f>
        <v>415.87900000000002</v>
      </c>
      <c r="M11" s="307"/>
      <c r="N11" s="447">
        <v>0</v>
      </c>
      <c r="O11" s="307"/>
      <c r="P11" s="223">
        <f>SUM(K11:O11)</f>
        <v>415.87900000000002</v>
      </c>
      <c r="Q11" s="19"/>
      <c r="R11" s="327">
        <v>287.37330189104176</v>
      </c>
      <c r="S11" s="327">
        <v>0</v>
      </c>
      <c r="T11" s="327">
        <v>576.73626530228296</v>
      </c>
      <c r="U11" s="327">
        <v>82.470745122980759</v>
      </c>
      <c r="V11" s="327">
        <v>766.32880504277796</v>
      </c>
      <c r="W11" s="327">
        <v>828.11406494935193</v>
      </c>
      <c r="X11" s="327">
        <v>0</v>
      </c>
      <c r="Y11" s="14">
        <f t="shared" ref="Y11:Y13" si="1">SUM(R11:X11)</f>
        <v>2541.0231823084355</v>
      </c>
      <c r="AA11" s="15"/>
      <c r="AB11" s="15"/>
      <c r="AC11" s="15"/>
      <c r="AD11" s="15"/>
      <c r="AE11" s="15"/>
      <c r="AF11" s="15"/>
      <c r="AG11" s="15"/>
    </row>
    <row r="12" spans="2:33" x14ac:dyDescent="0.3">
      <c r="B12" s="232"/>
      <c r="C12" s="171" t="s">
        <v>304</v>
      </c>
      <c r="D12" s="171" t="s">
        <v>365</v>
      </c>
      <c r="E12" s="171" t="s">
        <v>365</v>
      </c>
      <c r="F12" s="171"/>
      <c r="G12" s="309"/>
      <c r="H12" s="314"/>
      <c r="I12" s="315"/>
      <c r="K12" s="307"/>
      <c r="L12" s="225">
        <f>SUMPRODUCT(R$5:X$5,R12:X12)/Thousands</f>
        <v>307.46800000000013</v>
      </c>
      <c r="M12" s="307"/>
      <c r="N12" s="306">
        <v>0</v>
      </c>
      <c r="O12" s="307"/>
      <c r="P12" s="223">
        <f>SUM(K12:O12)</f>
        <v>307.46800000000013</v>
      </c>
      <c r="Q12" s="19"/>
      <c r="R12" s="327">
        <v>0</v>
      </c>
      <c r="S12" s="327">
        <v>0</v>
      </c>
      <c r="T12" s="327">
        <v>405.01700375226142</v>
      </c>
      <c r="U12" s="327">
        <v>0</v>
      </c>
      <c r="V12" s="327">
        <v>624.82884793906703</v>
      </c>
      <c r="W12" s="327">
        <v>248.97026402495129</v>
      </c>
      <c r="X12" s="327">
        <v>762.32846657711434</v>
      </c>
      <c r="Y12" s="14">
        <f t="shared" si="1"/>
        <v>2041.144582293394</v>
      </c>
      <c r="AA12" s="15"/>
      <c r="AB12" s="15"/>
      <c r="AC12" s="15"/>
      <c r="AD12" s="15"/>
      <c r="AE12" s="15"/>
      <c r="AF12" s="15"/>
      <c r="AG12" s="15"/>
    </row>
    <row r="13" spans="2:33" x14ac:dyDescent="0.3">
      <c r="B13" s="232"/>
      <c r="C13" s="171" t="s">
        <v>272</v>
      </c>
      <c r="D13" s="171" t="s">
        <v>365</v>
      </c>
      <c r="E13" s="171" t="s">
        <v>365</v>
      </c>
      <c r="F13" s="171"/>
      <c r="G13" s="309"/>
      <c r="H13" s="314"/>
      <c r="I13" s="315"/>
      <c r="K13" s="307"/>
      <c r="L13" s="225">
        <f>SUMPRODUCT(R$5:X$5,R13:X13)/Thousands</f>
        <v>199.98</v>
      </c>
      <c r="M13" s="307"/>
      <c r="N13" s="306">
        <v>0</v>
      </c>
      <c r="O13" s="307"/>
      <c r="P13" s="223">
        <f>SUM(K13:O13)</f>
        <v>199.98</v>
      </c>
      <c r="Q13" s="19"/>
      <c r="R13" s="327">
        <v>0</v>
      </c>
      <c r="S13" s="327">
        <v>0</v>
      </c>
      <c r="T13" s="327">
        <v>1162.6017364384888</v>
      </c>
      <c r="U13" s="327">
        <v>0</v>
      </c>
      <c r="V13" s="327">
        <v>0</v>
      </c>
      <c r="W13" s="327">
        <v>0</v>
      </c>
      <c r="X13" s="327">
        <v>0</v>
      </c>
      <c r="Y13" s="14">
        <f t="shared" si="1"/>
        <v>1162.6017364384888</v>
      </c>
      <c r="AA13" s="15"/>
      <c r="AB13" s="15"/>
      <c r="AC13" s="15"/>
      <c r="AD13" s="15"/>
      <c r="AE13" s="15"/>
      <c r="AF13" s="15"/>
      <c r="AG13" s="15"/>
    </row>
    <row r="14" spans="2:33" x14ac:dyDescent="0.3">
      <c r="B14" s="234"/>
      <c r="C14" s="42"/>
      <c r="D14" s="42"/>
      <c r="E14" s="42"/>
      <c r="F14" s="42"/>
      <c r="G14" s="241"/>
      <c r="H14" s="240"/>
      <c r="I14" s="263"/>
      <c r="K14" s="244"/>
      <c r="L14" s="245"/>
      <c r="M14" s="245"/>
      <c r="N14" s="246"/>
      <c r="O14" s="244"/>
      <c r="P14" s="247"/>
      <c r="R14" s="326"/>
      <c r="S14" s="326"/>
      <c r="T14" s="326"/>
      <c r="U14" s="326"/>
      <c r="V14" s="326"/>
      <c r="W14" s="326"/>
      <c r="X14" s="326"/>
    </row>
    <row r="15" spans="2:33" x14ac:dyDescent="0.3">
      <c r="B15" s="237" t="s">
        <v>261</v>
      </c>
      <c r="C15" s="238"/>
      <c r="D15" s="292"/>
      <c r="E15" s="292"/>
      <c r="F15" s="292"/>
      <c r="G15" s="297"/>
      <c r="H15" s="248"/>
      <c r="I15" s="243"/>
      <c r="K15" s="249"/>
      <c r="L15" s="249"/>
      <c r="M15" s="355"/>
      <c r="N15" s="249"/>
      <c r="O15" s="249"/>
      <c r="P15" s="250"/>
      <c r="Q15" s="11"/>
      <c r="R15" s="329"/>
      <c r="S15" s="326"/>
      <c r="T15" s="326"/>
      <c r="U15" s="326"/>
      <c r="V15" s="326"/>
      <c r="W15" s="326"/>
      <c r="X15" s="326"/>
      <c r="AA15" s="28"/>
      <c r="AB15" s="28"/>
      <c r="AC15" s="28"/>
      <c r="AD15" s="28"/>
      <c r="AE15" s="28"/>
      <c r="AF15" s="28"/>
      <c r="AG15" s="28"/>
    </row>
    <row r="16" spans="2:33" x14ac:dyDescent="0.3">
      <c r="B16" s="251" t="s">
        <v>263</v>
      </c>
      <c r="C16" s="171"/>
      <c r="D16" s="171"/>
      <c r="E16" s="171"/>
      <c r="F16" s="171"/>
      <c r="G16" s="228"/>
      <c r="H16" s="232"/>
      <c r="I16" s="224"/>
      <c r="J16" s="157"/>
      <c r="K16" s="225"/>
      <c r="L16" s="225"/>
      <c r="M16" s="225"/>
      <c r="N16" s="225"/>
      <c r="O16" s="225"/>
      <c r="P16" s="224"/>
      <c r="R16" s="326"/>
      <c r="S16" s="326"/>
      <c r="T16" s="326"/>
      <c r="U16" s="326"/>
      <c r="V16" s="326"/>
      <c r="W16" s="326"/>
      <c r="X16" s="326"/>
      <c r="AA16" s="28"/>
      <c r="AB16" s="28"/>
      <c r="AC16" s="28"/>
      <c r="AD16" s="28"/>
      <c r="AE16" s="28"/>
      <c r="AF16" s="28"/>
      <c r="AG16" s="28"/>
    </row>
    <row r="17" spans="2:33" x14ac:dyDescent="0.3">
      <c r="B17" s="232"/>
      <c r="C17" s="171" t="s">
        <v>306</v>
      </c>
      <c r="D17" s="171" t="str">
        <f>INDEX(Unit_Rates!$C$7:$K$54,MATCH($C17,Unit_Rates!$C$7:$C$54,0),5)</f>
        <v>Subtransmission</v>
      </c>
      <c r="E17" s="171" t="str">
        <f>INDEX(Unit_Rates!$C$7:$K$54,MATCH($C17,Unit_Rates!$C$7:$C$54,0),6)</f>
        <v>Augmentation</v>
      </c>
      <c r="F17" s="171" t="str">
        <f>D17&amp;E17</f>
        <v>SubtransmissionAugmentation</v>
      </c>
      <c r="G17" s="268">
        <f>INDEX(Unit_Rates!$C$7:$K$54,MATCH($C17,Unit_Rates!$C$7:$C$54,0),7)</f>
        <v>78.838847145488032</v>
      </c>
      <c r="H17" s="299"/>
      <c r="I17" s="264" t="s">
        <v>292</v>
      </c>
      <c r="J17" s="157"/>
      <c r="K17" s="226">
        <f>G17*$H17</f>
        <v>0</v>
      </c>
      <c r="L17" s="302">
        <f t="shared" ref="L17:L39" si="2">SUMPRODUCT(R$5:X$5,R17:X17)/Thousands</f>
        <v>0</v>
      </c>
      <c r="M17" s="307"/>
      <c r="N17" s="570"/>
      <c r="O17" s="571"/>
      <c r="P17" s="569"/>
      <c r="Q17" s="336">
        <f>P17-H17*VLOOKUP(C17,Unit_Rates!$C$7:$E$39,3,FALSE)</f>
        <v>0</v>
      </c>
      <c r="R17" s="327">
        <v>0</v>
      </c>
      <c r="S17" s="327">
        <v>0</v>
      </c>
      <c r="T17" s="327">
        <v>0</v>
      </c>
      <c r="U17" s="327">
        <v>0</v>
      </c>
      <c r="V17" s="327">
        <v>0</v>
      </c>
      <c r="W17" s="327">
        <v>0</v>
      </c>
      <c r="X17" s="327">
        <v>0</v>
      </c>
      <c r="Y17" s="14">
        <f t="shared" ref="Y17:Y39" si="3">SUM(R17:X17)</f>
        <v>0</v>
      </c>
      <c r="AA17" s="28"/>
      <c r="AB17" s="28"/>
      <c r="AC17" s="28"/>
      <c r="AD17" s="28"/>
      <c r="AE17" s="28"/>
      <c r="AF17" s="28"/>
      <c r="AG17" s="28"/>
    </row>
    <row r="18" spans="2:33" x14ac:dyDescent="0.3">
      <c r="B18" s="232"/>
      <c r="C18" s="171" t="s">
        <v>329</v>
      </c>
      <c r="D18" s="171" t="str">
        <f>INDEX(Unit_Rates!$C$7:$K$54,MATCH($C18,Unit_Rates!$C$7:$C$54,0),5)</f>
        <v>Subtransmission</v>
      </c>
      <c r="E18" s="171" t="str">
        <f>INDEX(Unit_Rates!$C$7:$K$54,MATCH($C18,Unit_Rates!$C$7:$C$54,0),6)</f>
        <v>Augmentation</v>
      </c>
      <c r="F18" s="171" t="str">
        <f t="shared" ref="F18:F39" si="4">D18&amp;E18</f>
        <v>SubtransmissionAugmentation</v>
      </c>
      <c r="G18" s="268">
        <f>INDEX(Unit_Rates!$C$7:$K$54,MATCH($C18,Unit_Rates!$C$7:$C$54,0),7)</f>
        <v>90.745458563535905</v>
      </c>
      <c r="H18" s="299">
        <v>2</v>
      </c>
      <c r="I18" s="264" t="s">
        <v>292</v>
      </c>
      <c r="J18" s="157"/>
      <c r="K18" s="226">
        <f>G18*$H18</f>
        <v>181.49091712707181</v>
      </c>
      <c r="L18" s="302">
        <f t="shared" si="2"/>
        <v>0</v>
      </c>
      <c r="M18" s="307"/>
      <c r="N18" s="570"/>
      <c r="O18" s="571"/>
      <c r="P18" s="569"/>
      <c r="Q18" s="336">
        <f>P18-H18*VLOOKUP(C18,Unit_Rates!$C$7:$E$39,3,FALSE)</f>
        <v>0</v>
      </c>
      <c r="R18" s="327">
        <v>0</v>
      </c>
      <c r="S18" s="327">
        <v>0</v>
      </c>
      <c r="T18" s="327">
        <v>0</v>
      </c>
      <c r="U18" s="327">
        <v>0</v>
      </c>
      <c r="V18" s="327">
        <v>0</v>
      </c>
      <c r="W18" s="327">
        <v>0</v>
      </c>
      <c r="X18" s="327">
        <v>0</v>
      </c>
      <c r="Y18" s="14">
        <f t="shared" si="3"/>
        <v>0</v>
      </c>
      <c r="AA18" s="28"/>
      <c r="AB18" s="28"/>
      <c r="AC18" s="28"/>
      <c r="AD18" s="28"/>
      <c r="AE18" s="28"/>
      <c r="AF18" s="28"/>
      <c r="AG18" s="28"/>
    </row>
    <row r="19" spans="2:33" x14ac:dyDescent="0.3">
      <c r="B19" s="232"/>
      <c r="C19" s="171" t="s">
        <v>502</v>
      </c>
      <c r="D19" s="171" t="str">
        <f>INDEX(Unit_Rates!$C$7:$K$54,MATCH($C19,Unit_Rates!$C$7:$C$54,0),5)</f>
        <v>Subtransmission</v>
      </c>
      <c r="E19" s="171" t="str">
        <f>INDEX(Unit_Rates!$C$7:$K$54,MATCH($C19,Unit_Rates!$C$7:$C$54,0),6)</f>
        <v>Augmentation</v>
      </c>
      <c r="F19" s="171" t="str">
        <f t="shared" si="4"/>
        <v>SubtransmissionAugmentation</v>
      </c>
      <c r="G19" s="268">
        <f>INDEX(Unit_Rates!$C$7:$K$54,MATCH($C19,Unit_Rates!$C$7:$C$54,0),7)</f>
        <v>25.236519337016578</v>
      </c>
      <c r="H19" s="299">
        <v>1</v>
      </c>
      <c r="I19" s="264" t="s">
        <v>292</v>
      </c>
      <c r="J19" s="157"/>
      <c r="K19" s="226">
        <f>G19*H19</f>
        <v>25.236519337016578</v>
      </c>
      <c r="L19" s="302">
        <f t="shared" si="2"/>
        <v>0</v>
      </c>
      <c r="M19" s="307"/>
      <c r="N19" s="568"/>
      <c r="O19" s="573"/>
      <c r="P19" s="569"/>
      <c r="Q19" s="336">
        <f>P19-H19*VLOOKUP(C19,Unit_Rates!$C$7:$E$39,3,FALSE)</f>
        <v>0</v>
      </c>
      <c r="R19" s="327">
        <v>0</v>
      </c>
      <c r="S19" s="327">
        <v>0</v>
      </c>
      <c r="T19" s="327">
        <v>0</v>
      </c>
      <c r="U19" s="327">
        <v>0</v>
      </c>
      <c r="V19" s="327">
        <v>0</v>
      </c>
      <c r="W19" s="327">
        <v>0</v>
      </c>
      <c r="X19" s="327">
        <v>0</v>
      </c>
      <c r="Y19" s="14">
        <f t="shared" si="3"/>
        <v>0</v>
      </c>
    </row>
    <row r="20" spans="2:33" x14ac:dyDescent="0.3">
      <c r="B20" s="232"/>
      <c r="C20" s="171" t="s">
        <v>503</v>
      </c>
      <c r="D20" s="171" t="str">
        <f>INDEX(Unit_Rates!$C$7:$K$54,MATCH($C20,Unit_Rates!$C$7:$C$54,0),5)</f>
        <v>Subtransmission</v>
      </c>
      <c r="E20" s="171" t="str">
        <f>INDEX(Unit_Rates!$C$7:$K$54,MATCH($C20,Unit_Rates!$C$7:$C$54,0),6)</f>
        <v>Augmentation</v>
      </c>
      <c r="F20" s="171" t="str">
        <f t="shared" si="4"/>
        <v>SubtransmissionAugmentation</v>
      </c>
      <c r="G20" s="268">
        <f>INDEX(Unit_Rates!$C$7:$K$54,MATCH($C20,Unit_Rates!$C$7:$C$54,0),7)</f>
        <v>38.571335174953965</v>
      </c>
      <c r="H20" s="299">
        <v>1</v>
      </c>
      <c r="I20" s="264" t="s">
        <v>292</v>
      </c>
      <c r="J20" s="157"/>
      <c r="K20" s="226">
        <f>G20*H20</f>
        <v>38.571335174953965</v>
      </c>
      <c r="L20" s="302">
        <f t="shared" si="2"/>
        <v>0</v>
      </c>
      <c r="M20" s="307"/>
      <c r="N20" s="568"/>
      <c r="O20" s="573"/>
      <c r="P20" s="569"/>
      <c r="Q20" s="336">
        <f>P20-H20*VLOOKUP(C20,Unit_Rates!$C$7:$E$39,3,FALSE)</f>
        <v>0</v>
      </c>
      <c r="R20" s="327">
        <v>0</v>
      </c>
      <c r="S20" s="327">
        <v>0</v>
      </c>
      <c r="T20" s="327">
        <v>0</v>
      </c>
      <c r="U20" s="327">
        <v>0</v>
      </c>
      <c r="V20" s="327">
        <v>0</v>
      </c>
      <c r="W20" s="327">
        <v>0</v>
      </c>
      <c r="X20" s="327">
        <v>0</v>
      </c>
      <c r="Y20" s="14">
        <f t="shared" si="3"/>
        <v>0</v>
      </c>
      <c r="AA20" s="28"/>
      <c r="AB20" s="28"/>
      <c r="AC20" s="28"/>
      <c r="AD20" s="28"/>
      <c r="AE20" s="28"/>
      <c r="AF20" s="28"/>
      <c r="AG20" s="28"/>
    </row>
    <row r="21" spans="2:33" x14ac:dyDescent="0.3">
      <c r="B21" s="232"/>
      <c r="C21" s="171" t="s">
        <v>266</v>
      </c>
      <c r="D21" s="171" t="str">
        <f>INDEX(Unit_Rates!$C$7:$K$54,MATCH($C21,Unit_Rates!$C$7:$C$54,0),5)</f>
        <v>SCADA/Network control</v>
      </c>
      <c r="E21" s="171" t="str">
        <f>INDEX(Unit_Rates!$C$7:$K$54,MATCH($C21,Unit_Rates!$C$7:$C$54,0),6)</f>
        <v>Augmentation</v>
      </c>
      <c r="F21" s="171" t="str">
        <f t="shared" si="4"/>
        <v>SCADA/Network controlAugmentation</v>
      </c>
      <c r="G21" s="268">
        <f>INDEX(Unit_Rates!$C$7:$K$54,MATCH($C21,Unit_Rates!$C$7:$C$54,0),7)</f>
        <v>1084.7777777777778</v>
      </c>
      <c r="H21" s="299">
        <v>2</v>
      </c>
      <c r="I21" s="264" t="s">
        <v>292</v>
      </c>
      <c r="J21" s="157"/>
      <c r="K21" s="226">
        <f>G21*H21</f>
        <v>2169.5555555555557</v>
      </c>
      <c r="L21" s="302">
        <f t="shared" si="2"/>
        <v>0</v>
      </c>
      <c r="M21" s="307"/>
      <c r="N21" s="568"/>
      <c r="O21" s="573"/>
      <c r="P21" s="569"/>
      <c r="Q21" s="336">
        <f>P21-H21*VLOOKUP(C21,Unit_Rates!$C$7:$E$39,3,FALSE)</f>
        <v>0</v>
      </c>
      <c r="R21" s="327">
        <v>0</v>
      </c>
      <c r="S21" s="327">
        <v>0</v>
      </c>
      <c r="T21" s="327">
        <v>0</v>
      </c>
      <c r="U21" s="327">
        <v>0</v>
      </c>
      <c r="V21" s="327">
        <v>0</v>
      </c>
      <c r="W21" s="327">
        <v>0</v>
      </c>
      <c r="X21" s="327">
        <v>0</v>
      </c>
      <c r="Y21" s="14">
        <f t="shared" si="3"/>
        <v>0</v>
      </c>
      <c r="AA21" s="28"/>
      <c r="AB21" s="28"/>
      <c r="AC21" s="28"/>
      <c r="AD21" s="28"/>
      <c r="AE21" s="28"/>
      <c r="AF21" s="28"/>
      <c r="AG21" s="28"/>
    </row>
    <row r="22" spans="2:33" x14ac:dyDescent="0.3">
      <c r="B22" s="232"/>
      <c r="C22" s="171" t="s">
        <v>308</v>
      </c>
      <c r="D22" s="171" t="str">
        <f>INDEX(Unit_Rates!$C$7:$K$54,MATCH($C22,Unit_Rates!$C$7:$C$54,0),5)</f>
        <v>Subtransmission</v>
      </c>
      <c r="E22" s="171" t="str">
        <f>INDEX(Unit_Rates!$C$7:$K$54,MATCH($C22,Unit_Rates!$C$7:$C$54,0),6)</f>
        <v>Augmentation</v>
      </c>
      <c r="F22" s="171" t="str">
        <f t="shared" si="4"/>
        <v>SubtransmissionAugmentation</v>
      </c>
      <c r="G22" s="268">
        <f>INDEX(Unit_Rates!$C$7:$K$54,MATCH($C22,Unit_Rates!$C$7:$C$54,0),7)</f>
        <v>0</v>
      </c>
      <c r="H22" s="299">
        <v>2</v>
      </c>
      <c r="I22" s="264" t="s">
        <v>292</v>
      </c>
      <c r="J22" s="157"/>
      <c r="K22" s="226">
        <f>G22*H22</f>
        <v>0</v>
      </c>
      <c r="L22" s="302">
        <f t="shared" si="2"/>
        <v>0</v>
      </c>
      <c r="M22" s="307"/>
      <c r="N22" s="568"/>
      <c r="O22" s="573"/>
      <c r="P22" s="569"/>
      <c r="Q22" s="336">
        <f>P22-H22*VLOOKUP(C22,Unit_Rates!$C$7:$E$39,3,FALSE)</f>
        <v>0</v>
      </c>
      <c r="R22" s="327">
        <v>0</v>
      </c>
      <c r="S22" s="327">
        <v>0</v>
      </c>
      <c r="T22" s="327">
        <v>0</v>
      </c>
      <c r="U22" s="327">
        <v>0</v>
      </c>
      <c r="V22" s="327">
        <v>0</v>
      </c>
      <c r="W22" s="327">
        <v>0</v>
      </c>
      <c r="X22" s="327">
        <v>0</v>
      </c>
      <c r="Y22" s="14">
        <f t="shared" si="3"/>
        <v>0</v>
      </c>
      <c r="AA22" s="28"/>
      <c r="AB22" s="28"/>
      <c r="AC22" s="28"/>
      <c r="AD22" s="28"/>
      <c r="AE22" s="28"/>
      <c r="AF22" s="28"/>
      <c r="AG22" s="28"/>
    </row>
    <row r="23" spans="2:33" x14ac:dyDescent="0.3">
      <c r="B23" s="232"/>
      <c r="C23" s="171" t="s">
        <v>280</v>
      </c>
      <c r="D23" s="171" t="str">
        <f>INDEX(Unit_Rates!$C$7:$K$54,MATCH($C23,Unit_Rates!$C$7:$C$54,0),5)</f>
        <v>Subtransmission</v>
      </c>
      <c r="E23" s="171" t="str">
        <f>INDEX(Unit_Rates!$C$7:$K$54,MATCH($C23,Unit_Rates!$C$7:$C$54,0),6)</f>
        <v>Augmentation</v>
      </c>
      <c r="F23" s="171" t="str">
        <f t="shared" si="4"/>
        <v>SubtransmissionAugmentation</v>
      </c>
      <c r="G23" s="268">
        <f>INDEX(Unit_Rates!$C$7:$K$54,MATCH($C23,Unit_Rates!$C$7:$C$54,0),7)</f>
        <v>1249.4511627906975</v>
      </c>
      <c r="H23" s="299"/>
      <c r="I23" s="264" t="s">
        <v>292</v>
      </c>
      <c r="J23" s="157"/>
      <c r="K23" s="226">
        <f t="shared" ref="K23:K39" si="5">G23*H23</f>
        <v>0</v>
      </c>
      <c r="L23" s="302">
        <f t="shared" si="2"/>
        <v>0</v>
      </c>
      <c r="M23" s="307"/>
      <c r="N23" s="568"/>
      <c r="O23" s="573"/>
      <c r="P23" s="569"/>
      <c r="Q23" s="336">
        <f>P23-H23*VLOOKUP(C23,Unit_Rates!$C$7:$E$39,3,FALSE)</f>
        <v>0</v>
      </c>
      <c r="R23" s="327">
        <v>0</v>
      </c>
      <c r="S23" s="327">
        <v>0</v>
      </c>
      <c r="T23" s="327">
        <v>0</v>
      </c>
      <c r="U23" s="327">
        <v>0</v>
      </c>
      <c r="V23" s="327">
        <v>0</v>
      </c>
      <c r="W23" s="327">
        <v>0</v>
      </c>
      <c r="X23" s="327">
        <v>0</v>
      </c>
      <c r="Y23" s="14">
        <f t="shared" si="3"/>
        <v>0</v>
      </c>
      <c r="AA23" s="28"/>
      <c r="AB23" s="28"/>
      <c r="AC23" s="28"/>
      <c r="AD23" s="28"/>
      <c r="AE23" s="28"/>
      <c r="AF23" s="28"/>
      <c r="AG23" s="28"/>
    </row>
    <row r="24" spans="2:33" x14ac:dyDescent="0.3">
      <c r="B24" s="232"/>
      <c r="C24" s="171" t="s">
        <v>279</v>
      </c>
      <c r="D24" s="171" t="str">
        <f>INDEX(Unit_Rates!$C$7:$K$54,MATCH($C24,Unit_Rates!$C$7:$C$54,0),5)</f>
        <v>Subtransmission</v>
      </c>
      <c r="E24" s="171" t="str">
        <f>INDEX(Unit_Rates!$C$7:$K$54,MATCH($C24,Unit_Rates!$C$7:$C$54,0),6)</f>
        <v>Augmentation</v>
      </c>
      <c r="F24" s="171" t="str">
        <f t="shared" si="4"/>
        <v>SubtransmissionAugmentation</v>
      </c>
      <c r="G24" s="268">
        <f>INDEX(Unit_Rates!$C$7:$K$54,MATCH($C24,Unit_Rates!$C$7:$C$54,0),7)</f>
        <v>1378.3627906976742</v>
      </c>
      <c r="H24" s="299"/>
      <c r="I24" s="264" t="s">
        <v>292</v>
      </c>
      <c r="J24" s="157"/>
      <c r="K24" s="226">
        <f t="shared" si="5"/>
        <v>0</v>
      </c>
      <c r="L24" s="302">
        <f t="shared" si="2"/>
        <v>0</v>
      </c>
      <c r="M24" s="307"/>
      <c r="N24" s="568"/>
      <c r="O24" s="573"/>
      <c r="P24" s="569"/>
      <c r="Q24" s="336">
        <f>P24-H24*VLOOKUP(C24,Unit_Rates!$C$7:$E$39,3,FALSE)</f>
        <v>0</v>
      </c>
      <c r="R24" s="327">
        <v>0</v>
      </c>
      <c r="S24" s="327">
        <v>0</v>
      </c>
      <c r="T24" s="327">
        <v>0</v>
      </c>
      <c r="U24" s="327">
        <v>0</v>
      </c>
      <c r="V24" s="327">
        <v>0</v>
      </c>
      <c r="W24" s="327">
        <v>0</v>
      </c>
      <c r="X24" s="327">
        <v>0</v>
      </c>
      <c r="Y24" s="14">
        <f t="shared" si="3"/>
        <v>0</v>
      </c>
    </row>
    <row r="25" spans="2:33" x14ac:dyDescent="0.3">
      <c r="B25" s="232"/>
      <c r="C25" s="171" t="s">
        <v>518</v>
      </c>
      <c r="D25" s="171" t="str">
        <f>INDEX(Unit_Rates!$C$7:$K$54,MATCH($C25,Unit_Rates!$C$7:$C$54,0),5)</f>
        <v>Subtransmission</v>
      </c>
      <c r="E25" s="171" t="str">
        <f>INDEX(Unit_Rates!$C$7:$K$54,MATCH($C25,Unit_Rates!$C$7:$C$54,0),6)</f>
        <v>Augmentation</v>
      </c>
      <c r="F25" s="171" t="str">
        <f t="shared" si="4"/>
        <v>SubtransmissionAugmentation</v>
      </c>
      <c r="G25" s="268">
        <f>INDEX(Unit_Rates!$C$7:$K$54,MATCH($C25,Unit_Rates!$C$7:$C$54,0),7)</f>
        <v>196.83714790697672</v>
      </c>
      <c r="H25" s="299">
        <v>2</v>
      </c>
      <c r="I25" s="264" t="s">
        <v>292</v>
      </c>
      <c r="J25" s="157"/>
      <c r="K25" s="226">
        <f t="shared" si="5"/>
        <v>393.67429581395345</v>
      </c>
      <c r="L25" s="302">
        <f t="shared" si="2"/>
        <v>0</v>
      </c>
      <c r="M25" s="307"/>
      <c r="N25" s="568"/>
      <c r="O25" s="573"/>
      <c r="P25" s="569"/>
      <c r="Q25" s="336">
        <f>P25-H25*VLOOKUP(C25,Unit_Rates!$C$7:$E$39,3,FALSE)</f>
        <v>0</v>
      </c>
      <c r="R25" s="327">
        <v>0</v>
      </c>
      <c r="S25" s="327">
        <v>0</v>
      </c>
      <c r="T25" s="327">
        <v>0</v>
      </c>
      <c r="U25" s="327">
        <v>0</v>
      </c>
      <c r="V25" s="327">
        <v>0</v>
      </c>
      <c r="W25" s="327">
        <v>0</v>
      </c>
      <c r="X25" s="327">
        <v>0</v>
      </c>
      <c r="Y25" s="14">
        <f t="shared" si="3"/>
        <v>0</v>
      </c>
    </row>
    <row r="26" spans="2:33" x14ac:dyDescent="0.3">
      <c r="B26" s="232"/>
      <c r="C26" s="236" t="s">
        <v>373</v>
      </c>
      <c r="D26" s="171" t="str">
        <f>INDEX(Unit_Rates!$C$7:$K$54,MATCH($C26,Unit_Rates!$C$7:$C$54,0),5)</f>
        <v>Subtransmission</v>
      </c>
      <c r="E26" s="171" t="str">
        <f>INDEX(Unit_Rates!$C$7:$K$54,MATCH($C26,Unit_Rates!$C$7:$C$54,0),6)</f>
        <v>Augmentation</v>
      </c>
      <c r="F26" s="171" t="str">
        <f t="shared" si="4"/>
        <v>SubtransmissionAugmentation</v>
      </c>
      <c r="G26" s="268">
        <f>INDEX(Unit_Rates!$C$7:$K$54,MATCH($C26,Unit_Rates!$C$7:$C$54,0),7)</f>
        <v>0</v>
      </c>
      <c r="H26" s="299">
        <v>1</v>
      </c>
      <c r="I26" s="264" t="s">
        <v>292</v>
      </c>
      <c r="J26" s="157"/>
      <c r="K26" s="226">
        <f t="shared" ref="K26" si="6">G26*H26</f>
        <v>0</v>
      </c>
      <c r="L26" s="302">
        <f t="shared" si="2"/>
        <v>0</v>
      </c>
      <c r="M26" s="307"/>
      <c r="N26" s="568"/>
      <c r="O26" s="573"/>
      <c r="P26" s="569"/>
      <c r="Q26" s="336">
        <f>P26-H26*VLOOKUP(C26,Unit_Rates!$C$7:$E$39,3,FALSE)</f>
        <v>0</v>
      </c>
      <c r="R26" s="327">
        <v>0</v>
      </c>
      <c r="S26" s="327">
        <v>0</v>
      </c>
      <c r="T26" s="327">
        <v>0</v>
      </c>
      <c r="U26" s="327">
        <v>0</v>
      </c>
      <c r="V26" s="327">
        <v>0</v>
      </c>
      <c r="W26" s="327">
        <v>0</v>
      </c>
      <c r="X26" s="327">
        <v>0</v>
      </c>
      <c r="Y26" s="14">
        <f t="shared" si="3"/>
        <v>0</v>
      </c>
    </row>
    <row r="27" spans="2:33" x14ac:dyDescent="0.3">
      <c r="B27" s="232"/>
      <c r="C27" s="236" t="s">
        <v>350</v>
      </c>
      <c r="D27" s="171" t="str">
        <f>INDEX(Unit_Rates!$C$7:$K$54,MATCH($C27,Unit_Rates!$C$7:$C$54,0),5)</f>
        <v>Subtransmission</v>
      </c>
      <c r="E27" s="171" t="str">
        <f>INDEX(Unit_Rates!$C$7:$K$54,MATCH($C27,Unit_Rates!$C$7:$C$54,0),6)</f>
        <v>Augmentation</v>
      </c>
      <c r="F27" s="171" t="str">
        <f t="shared" si="4"/>
        <v>SubtransmissionAugmentation</v>
      </c>
      <c r="G27" s="268">
        <f>INDEX(Unit_Rates!$C$7:$K$54,MATCH($C27,Unit_Rates!$C$7:$C$54,0),7)</f>
        <v>62.900871086556172</v>
      </c>
      <c r="H27" s="299"/>
      <c r="I27" s="264" t="s">
        <v>292</v>
      </c>
      <c r="J27" s="157"/>
      <c r="K27" s="226">
        <f t="shared" ref="K27:K30" si="7">G27*H27</f>
        <v>0</v>
      </c>
      <c r="L27" s="302">
        <f t="shared" si="2"/>
        <v>0</v>
      </c>
      <c r="M27" s="307"/>
      <c r="N27" s="568"/>
      <c r="O27" s="573"/>
      <c r="P27" s="569"/>
      <c r="Q27" s="336">
        <f>P27-H27*VLOOKUP(C27,Unit_Rates!$C$7:$E$39,3,FALSE)</f>
        <v>0</v>
      </c>
      <c r="R27" s="327">
        <v>0</v>
      </c>
      <c r="S27" s="327">
        <v>0</v>
      </c>
      <c r="T27" s="327">
        <v>0</v>
      </c>
      <c r="U27" s="327">
        <v>0</v>
      </c>
      <c r="V27" s="327">
        <v>0</v>
      </c>
      <c r="W27" s="327">
        <v>0</v>
      </c>
      <c r="X27" s="327">
        <v>0</v>
      </c>
      <c r="Y27" s="14">
        <f t="shared" si="3"/>
        <v>0</v>
      </c>
    </row>
    <row r="28" spans="2:33" x14ac:dyDescent="0.3">
      <c r="B28" s="232"/>
      <c r="C28" s="236" t="s">
        <v>334</v>
      </c>
      <c r="D28" s="171" t="str">
        <f>INDEX(Unit_Rates!$C$7:$K$54,MATCH($C28,Unit_Rates!$C$7:$C$54,0),5)</f>
        <v>Subtransmission</v>
      </c>
      <c r="E28" s="171" t="str">
        <f>INDEX(Unit_Rates!$C$7:$K$54,MATCH($C28,Unit_Rates!$C$7:$C$54,0),6)</f>
        <v>Augmentation</v>
      </c>
      <c r="F28" s="171" t="str">
        <f t="shared" si="4"/>
        <v>SubtransmissionAugmentation</v>
      </c>
      <c r="G28" s="268">
        <f>INDEX(Unit_Rates!$C$7:$K$54,MATCH($C28,Unit_Rates!$C$7:$C$54,0),7)</f>
        <v>6.8116309209302308</v>
      </c>
      <c r="H28" s="299"/>
      <c r="I28" s="264" t="s">
        <v>292</v>
      </c>
      <c r="J28" s="157"/>
      <c r="K28" s="226">
        <f t="shared" ref="K28" si="8">G28*H28</f>
        <v>0</v>
      </c>
      <c r="L28" s="302">
        <f t="shared" si="2"/>
        <v>0</v>
      </c>
      <c r="M28" s="307"/>
      <c r="N28" s="568"/>
      <c r="O28" s="573"/>
      <c r="P28" s="569"/>
      <c r="Q28" s="336">
        <f>P28-H28*VLOOKUP(C28,Unit_Rates!$C$7:$E$39,3,FALSE)</f>
        <v>0</v>
      </c>
      <c r="R28" s="327">
        <v>0</v>
      </c>
      <c r="S28" s="327">
        <v>0</v>
      </c>
      <c r="T28" s="327">
        <v>0</v>
      </c>
      <c r="U28" s="327">
        <v>0</v>
      </c>
      <c r="V28" s="327">
        <v>0</v>
      </c>
      <c r="W28" s="327">
        <v>0</v>
      </c>
      <c r="X28" s="327">
        <v>0</v>
      </c>
      <c r="Y28" s="14">
        <f t="shared" si="3"/>
        <v>0</v>
      </c>
    </row>
    <row r="29" spans="2:33" x14ac:dyDescent="0.3">
      <c r="B29" s="232"/>
      <c r="C29" s="236" t="s">
        <v>333</v>
      </c>
      <c r="D29" s="171" t="str">
        <f>INDEX(Unit_Rates!$C$7:$K$54,MATCH($C29,Unit_Rates!$C$7:$C$54,0),5)</f>
        <v>Subtransmission</v>
      </c>
      <c r="E29" s="171" t="str">
        <f>INDEX(Unit_Rates!$C$7:$K$54,MATCH($C29,Unit_Rates!$C$7:$C$54,0),6)</f>
        <v>Augmentation</v>
      </c>
      <c r="F29" s="171" t="str">
        <f t="shared" si="4"/>
        <v>SubtransmissionAugmentation</v>
      </c>
      <c r="G29" s="268">
        <f>INDEX(Unit_Rates!$C$7:$K$54,MATCH($C29,Unit_Rates!$C$7:$C$54,0),7)</f>
        <v>0</v>
      </c>
      <c r="H29" s="299"/>
      <c r="I29" s="264" t="s">
        <v>292</v>
      </c>
      <c r="J29" s="157"/>
      <c r="K29" s="226">
        <f t="shared" si="7"/>
        <v>0</v>
      </c>
      <c r="L29" s="302">
        <f t="shared" si="2"/>
        <v>0</v>
      </c>
      <c r="M29" s="307"/>
      <c r="N29" s="568"/>
      <c r="O29" s="573"/>
      <c r="P29" s="569"/>
      <c r="Q29" s="336">
        <f>P29-H29*VLOOKUP(C29,Unit_Rates!$C$7:$E$39,3,FALSE)</f>
        <v>0</v>
      </c>
      <c r="R29" s="327">
        <v>0</v>
      </c>
      <c r="S29" s="327">
        <v>0</v>
      </c>
      <c r="T29" s="327">
        <v>0</v>
      </c>
      <c r="U29" s="327">
        <v>0</v>
      </c>
      <c r="V29" s="327">
        <v>0</v>
      </c>
      <c r="W29" s="327">
        <v>0</v>
      </c>
      <c r="X29" s="327">
        <v>0</v>
      </c>
      <c r="Y29" s="14">
        <f t="shared" si="3"/>
        <v>0</v>
      </c>
    </row>
    <row r="30" spans="2:33" ht="15" x14ac:dyDescent="0.25">
      <c r="B30" s="232"/>
      <c r="C30" s="236" t="s">
        <v>493</v>
      </c>
      <c r="D30" s="171" t="str">
        <f>INDEX(Unit_Rates!$C$7:$K$54,MATCH($C30,Unit_Rates!$C$7:$C$54,0),5)</f>
        <v>Subtransmission</v>
      </c>
      <c r="E30" s="171" t="str">
        <f>INDEX(Unit_Rates!$C$7:$K$54,MATCH($C30,Unit_Rates!$C$7:$C$54,0),6)</f>
        <v>Augmentation</v>
      </c>
      <c r="F30" s="171" t="str">
        <f t="shared" ref="F30" si="9">D30&amp;E30</f>
        <v>SubtransmissionAugmentation</v>
      </c>
      <c r="G30" s="268">
        <f>INDEX(Unit_Rates!$C$7:$K$54,MATCH($C30,Unit_Rates!$C$7:$C$54,0),7)</f>
        <v>0</v>
      </c>
      <c r="H30" s="299">
        <f ca="1">OFFSET(Feeder_Vols!$C$6,MATCH($B$3,Feeder_Vols!$B$7:$B$15,0),0)</f>
        <v>6</v>
      </c>
      <c r="I30" s="264" t="s">
        <v>292</v>
      </c>
      <c r="J30" s="157"/>
      <c r="K30" s="226">
        <f t="shared" ca="1" si="7"/>
        <v>0</v>
      </c>
      <c r="L30" s="302">
        <f t="shared" si="2"/>
        <v>0</v>
      </c>
      <c r="M30" s="356"/>
      <c r="N30" s="568"/>
      <c r="O30" s="568"/>
      <c r="P30" s="569"/>
      <c r="Q30" s="336">
        <f ca="1">P30-H30*VLOOKUP(C30,Unit_Rates!$C$7:$E$39,3,FALSE)</f>
        <v>0</v>
      </c>
      <c r="R30" s="327">
        <v>0</v>
      </c>
      <c r="S30" s="327">
        <v>0</v>
      </c>
      <c r="T30" s="327">
        <v>0</v>
      </c>
      <c r="U30" s="327">
        <v>0</v>
      </c>
      <c r="V30" s="327">
        <v>0</v>
      </c>
      <c r="W30" s="327">
        <v>0</v>
      </c>
      <c r="X30" s="327">
        <v>0</v>
      </c>
      <c r="Y30" s="14">
        <f t="shared" si="3"/>
        <v>0</v>
      </c>
    </row>
    <row r="31" spans="2:33" ht="15" x14ac:dyDescent="0.25">
      <c r="B31" s="232"/>
      <c r="C31" s="236" t="s">
        <v>335</v>
      </c>
      <c r="D31" s="171" t="str">
        <f>INDEX(Unit_Rates!$C$7:$K$54,MATCH($C31,Unit_Rates!$C$7:$C$54,0),5)</f>
        <v>Subtransmission</v>
      </c>
      <c r="E31" s="171" t="str">
        <f>INDEX(Unit_Rates!$C$7:$K$54,MATCH($C31,Unit_Rates!$C$7:$C$54,0),6)</f>
        <v>Augmentation</v>
      </c>
      <c r="F31" s="171" t="str">
        <f t="shared" si="4"/>
        <v>SubtransmissionAugmentation</v>
      </c>
      <c r="G31" s="268">
        <f>INDEX(Unit_Rates!$C$7:$K$54,MATCH($C31,Unit_Rates!$C$7:$C$54,0),7)</f>
        <v>0</v>
      </c>
      <c r="H31" s="299">
        <v>6</v>
      </c>
      <c r="I31" s="264" t="s">
        <v>292</v>
      </c>
      <c r="J31" s="157"/>
      <c r="K31" s="226">
        <f t="shared" ref="K31:K32" si="10">G31*H31</f>
        <v>0</v>
      </c>
      <c r="L31" s="302">
        <f t="shared" si="2"/>
        <v>0</v>
      </c>
      <c r="M31" s="307"/>
      <c r="N31" s="568"/>
      <c r="O31" s="573"/>
      <c r="P31" s="569"/>
      <c r="Q31" s="336">
        <f>P31-H31*VLOOKUP(C31,Unit_Rates!$C$7:$E$39,3,FALSE)</f>
        <v>0</v>
      </c>
      <c r="R31" s="327">
        <v>0</v>
      </c>
      <c r="S31" s="327">
        <v>0</v>
      </c>
      <c r="T31" s="327">
        <v>0</v>
      </c>
      <c r="U31" s="327">
        <v>0</v>
      </c>
      <c r="V31" s="327">
        <v>0</v>
      </c>
      <c r="W31" s="327">
        <v>0</v>
      </c>
      <c r="X31" s="327">
        <v>0</v>
      </c>
      <c r="Y31" s="14">
        <f t="shared" si="3"/>
        <v>0</v>
      </c>
    </row>
    <row r="32" spans="2:33" ht="15" x14ac:dyDescent="0.25">
      <c r="B32" s="232"/>
      <c r="C32" s="236" t="s">
        <v>336</v>
      </c>
      <c r="D32" s="171" t="str">
        <f>INDEX(Unit_Rates!$C$7:$K$54,MATCH($C32,Unit_Rates!$C$7:$C$54,0),5)</f>
        <v>Subtransmission</v>
      </c>
      <c r="E32" s="171" t="str">
        <f>INDEX(Unit_Rates!$C$7:$K$54,MATCH($C32,Unit_Rates!$C$7:$C$54,0),6)</f>
        <v>Augmentation</v>
      </c>
      <c r="F32" s="171" t="str">
        <f t="shared" si="4"/>
        <v>SubtransmissionAugmentation</v>
      </c>
      <c r="G32" s="268">
        <f>INDEX(Unit_Rates!$C$7:$K$54,MATCH($C32,Unit_Rates!$C$7:$C$54,0),7)</f>
        <v>0.60844172586161538</v>
      </c>
      <c r="H32" s="299">
        <v>2</v>
      </c>
      <c r="I32" s="264" t="s">
        <v>292</v>
      </c>
      <c r="J32" s="157"/>
      <c r="K32" s="226">
        <f t="shared" si="10"/>
        <v>1.2168834517232308</v>
      </c>
      <c r="L32" s="302">
        <f t="shared" si="2"/>
        <v>0</v>
      </c>
      <c r="M32" s="307"/>
      <c r="N32" s="568"/>
      <c r="O32" s="573"/>
      <c r="P32" s="569"/>
      <c r="Q32" s="336">
        <f>P32-H32*VLOOKUP(C32,Unit_Rates!$C$7:$E$39,3,FALSE)</f>
        <v>0</v>
      </c>
      <c r="R32" s="327">
        <v>0</v>
      </c>
      <c r="S32" s="327">
        <v>0</v>
      </c>
      <c r="T32" s="327">
        <v>0</v>
      </c>
      <c r="U32" s="327">
        <v>0</v>
      </c>
      <c r="V32" s="327">
        <v>0</v>
      </c>
      <c r="W32" s="327">
        <v>0</v>
      </c>
      <c r="X32" s="327">
        <v>0</v>
      </c>
      <c r="Y32" s="14">
        <f t="shared" si="3"/>
        <v>0</v>
      </c>
    </row>
    <row r="33" spans="2:53" ht="15" x14ac:dyDescent="0.25">
      <c r="B33" s="232"/>
      <c r="C33" s="171" t="s">
        <v>495</v>
      </c>
      <c r="D33" s="171" t="str">
        <f>INDEX(Unit_Rates!$C$7:$K$54,MATCH($C33,Unit_Rates!$C$7:$C$54,0),5)</f>
        <v>Subtransmission</v>
      </c>
      <c r="E33" s="171" t="str">
        <f>INDEX(Unit_Rates!$C$7:$K$54,MATCH($C33,Unit_Rates!$C$7:$C$54,0),6)</f>
        <v>Augmentation</v>
      </c>
      <c r="F33" s="171" t="str">
        <f t="shared" si="4"/>
        <v>SubtransmissionAugmentation</v>
      </c>
      <c r="G33" s="268">
        <f>INDEX(Unit_Rates!$C$7:$K$54,MATCH($C33,Unit_Rates!$C$7:$C$54,0),7)</f>
        <v>0</v>
      </c>
      <c r="H33" s="299">
        <v>1</v>
      </c>
      <c r="I33" s="264" t="s">
        <v>292</v>
      </c>
      <c r="J33" s="157"/>
      <c r="K33" s="226">
        <f t="shared" ref="K33" si="11">G33*H33</f>
        <v>0</v>
      </c>
      <c r="L33" s="302">
        <f t="shared" si="2"/>
        <v>0</v>
      </c>
      <c r="M33" s="307"/>
      <c r="N33" s="568"/>
      <c r="O33" s="573"/>
      <c r="P33" s="569"/>
      <c r="Q33" s="336">
        <f>P33-H33*VLOOKUP(C33,Unit_Rates!$C$7:$E$39,3,FALSE)</f>
        <v>0</v>
      </c>
      <c r="R33" s="327">
        <v>0</v>
      </c>
      <c r="S33" s="327">
        <v>0</v>
      </c>
      <c r="T33" s="327">
        <v>0</v>
      </c>
      <c r="U33" s="327">
        <v>0</v>
      </c>
      <c r="V33" s="327">
        <v>0</v>
      </c>
      <c r="W33" s="327">
        <v>0</v>
      </c>
      <c r="X33" s="327">
        <v>0</v>
      </c>
      <c r="Y33" s="14">
        <f t="shared" si="3"/>
        <v>0</v>
      </c>
    </row>
    <row r="34" spans="2:53" x14ac:dyDescent="0.3">
      <c r="B34" s="232"/>
      <c r="C34" s="171" t="s">
        <v>209</v>
      </c>
      <c r="D34" s="171" t="str">
        <f>INDEX(Unit_Rates!$C$7:$K$54,MATCH($C34,Unit_Rates!$C$7:$C$54,0),5)</f>
        <v>Subtransmission</v>
      </c>
      <c r="E34" s="171" t="str">
        <f>INDEX(Unit_Rates!$C$7:$K$54,MATCH($C34,Unit_Rates!$C$7:$C$54,0),6)</f>
        <v>Augmentation</v>
      </c>
      <c r="F34" s="171" t="str">
        <f t="shared" si="4"/>
        <v>SubtransmissionAugmentation</v>
      </c>
      <c r="G34" s="268">
        <f>INDEX(Unit_Rates!$C$7:$K$54,MATCH($C34,Unit_Rates!$C$7:$C$54,0),7)</f>
        <v>94.457808471454882</v>
      </c>
      <c r="H34" s="299">
        <v>2</v>
      </c>
      <c r="I34" s="264" t="s">
        <v>292</v>
      </c>
      <c r="J34" s="157"/>
      <c r="K34" s="226">
        <f t="shared" si="5"/>
        <v>188.91561694290976</v>
      </c>
      <c r="L34" s="302">
        <f t="shared" si="2"/>
        <v>0</v>
      </c>
      <c r="M34" s="307"/>
      <c r="N34" s="568"/>
      <c r="O34" s="573"/>
      <c r="P34" s="569"/>
      <c r="Q34" s="336">
        <f>P34-H34*VLOOKUP(C34,Unit_Rates!$C$7:$E$39,3,FALSE)</f>
        <v>0</v>
      </c>
      <c r="R34" s="327">
        <v>0</v>
      </c>
      <c r="S34" s="327">
        <v>0</v>
      </c>
      <c r="T34" s="327">
        <v>0</v>
      </c>
      <c r="U34" s="327">
        <v>0</v>
      </c>
      <c r="V34" s="327">
        <v>0</v>
      </c>
      <c r="W34" s="327">
        <v>0</v>
      </c>
      <c r="X34" s="327">
        <v>0</v>
      </c>
      <c r="Y34" s="14">
        <f t="shared" si="3"/>
        <v>0</v>
      </c>
    </row>
    <row r="35" spans="2:53" x14ac:dyDescent="0.3">
      <c r="B35" s="232"/>
      <c r="C35" s="171" t="s">
        <v>212</v>
      </c>
      <c r="D35" s="171" t="str">
        <f>INDEX(Unit_Rates!$C$7:$K$54,MATCH($C35,Unit_Rates!$C$7:$C$54,0),5)</f>
        <v>Subtransmission</v>
      </c>
      <c r="E35" s="171" t="str">
        <f>INDEX(Unit_Rates!$C$7:$K$54,MATCH($C35,Unit_Rates!$C$7:$C$54,0),6)</f>
        <v>Augmentation</v>
      </c>
      <c r="F35" s="171" t="str">
        <f t="shared" si="4"/>
        <v>SubtransmissionAugmentation</v>
      </c>
      <c r="G35" s="268">
        <f>INDEX(Unit_Rates!$C$7:$K$54,MATCH($C35,Unit_Rates!$C$7:$C$54,0),7)</f>
        <v>0</v>
      </c>
      <c r="H35" s="299"/>
      <c r="I35" s="264" t="s">
        <v>292</v>
      </c>
      <c r="J35" s="157"/>
      <c r="K35" s="226">
        <f t="shared" si="5"/>
        <v>0</v>
      </c>
      <c r="L35" s="302">
        <f t="shared" si="2"/>
        <v>0</v>
      </c>
      <c r="M35" s="307"/>
      <c r="N35" s="568"/>
      <c r="O35" s="573"/>
      <c r="P35" s="569"/>
      <c r="Q35" s="336">
        <f>P35-H35*VLOOKUP(C35,Unit_Rates!$C$7:$E$39,3,FALSE)</f>
        <v>0</v>
      </c>
      <c r="R35" s="327">
        <v>0</v>
      </c>
      <c r="S35" s="327">
        <v>0</v>
      </c>
      <c r="T35" s="327">
        <v>0</v>
      </c>
      <c r="U35" s="327">
        <v>0</v>
      </c>
      <c r="V35" s="327">
        <v>0</v>
      </c>
      <c r="W35" s="327">
        <v>0</v>
      </c>
      <c r="X35" s="327">
        <v>0</v>
      </c>
      <c r="Y35" s="14">
        <f t="shared" si="3"/>
        <v>0</v>
      </c>
    </row>
    <row r="36" spans="2:53" x14ac:dyDescent="0.3">
      <c r="B36" s="232"/>
      <c r="C36" s="171" t="s">
        <v>364</v>
      </c>
      <c r="D36" s="171" t="str">
        <f>INDEX(Unit_Rates!$C$7:$K$54,MATCH($C36,Unit_Rates!$C$7:$C$54,0),5)</f>
        <v>Subtransmission</v>
      </c>
      <c r="E36" s="171" t="str">
        <f>INDEX(Unit_Rates!$C$7:$K$54,MATCH($C36,Unit_Rates!$C$7:$C$54,0),6)</f>
        <v>Augmentation</v>
      </c>
      <c r="F36" s="171" t="str">
        <f t="shared" si="4"/>
        <v>SubtransmissionAugmentation</v>
      </c>
      <c r="G36" s="268">
        <f>INDEX(Unit_Rates!$C$7:$K$54,MATCH($C36,Unit_Rates!$C$7:$C$54,0),7)</f>
        <v>226.61039779005526</v>
      </c>
      <c r="H36" s="299">
        <v>1</v>
      </c>
      <c r="I36" s="264" t="s">
        <v>292</v>
      </c>
      <c r="J36" s="157"/>
      <c r="K36" s="226">
        <f t="shared" si="5"/>
        <v>226.61039779005526</v>
      </c>
      <c r="L36" s="302">
        <f t="shared" si="2"/>
        <v>0</v>
      </c>
      <c r="M36" s="307"/>
      <c r="N36" s="568"/>
      <c r="O36" s="573"/>
      <c r="P36" s="569"/>
      <c r="Q36" s="336">
        <f>P36-H36*VLOOKUP(C36,Unit_Rates!$C$7:$E$39,3,FALSE)</f>
        <v>0</v>
      </c>
      <c r="R36" s="327">
        <v>0</v>
      </c>
      <c r="S36" s="327">
        <v>0</v>
      </c>
      <c r="T36" s="327">
        <v>0</v>
      </c>
      <c r="U36" s="327">
        <v>0</v>
      </c>
      <c r="V36" s="327">
        <v>0</v>
      </c>
      <c r="W36" s="327">
        <v>0</v>
      </c>
      <c r="X36" s="327">
        <v>0</v>
      </c>
      <c r="Y36" s="14">
        <f t="shared" si="3"/>
        <v>0</v>
      </c>
    </row>
    <row r="37" spans="2:53" x14ac:dyDescent="0.3">
      <c r="B37" s="232"/>
      <c r="C37" s="236" t="s">
        <v>273</v>
      </c>
      <c r="D37" s="171" t="str">
        <f>INDEX(Unit_Rates!$C$7:$K$54,MATCH($C37,Unit_Rates!$C$7:$C$54,0),5)</f>
        <v>Subtransmission</v>
      </c>
      <c r="E37" s="171" t="str">
        <f>INDEX(Unit_Rates!$C$7:$K$54,MATCH($C37,Unit_Rates!$C$7:$C$54,0),6)</f>
        <v>Augmentation</v>
      </c>
      <c r="F37" s="171" t="str">
        <f t="shared" si="4"/>
        <v>SubtransmissionAugmentation</v>
      </c>
      <c r="G37" s="268">
        <f>INDEX(Unit_Rates!$C$7:$K$54,MATCH($C37,Unit_Rates!$C$7:$C$54,0),7)</f>
        <v>362.24270165745855</v>
      </c>
      <c r="H37" s="299"/>
      <c r="I37" s="264" t="s">
        <v>292</v>
      </c>
      <c r="J37" s="157"/>
      <c r="K37" s="226">
        <f t="shared" si="5"/>
        <v>0</v>
      </c>
      <c r="L37" s="302">
        <f t="shared" si="2"/>
        <v>0</v>
      </c>
      <c r="M37" s="307"/>
      <c r="N37" s="568"/>
      <c r="O37" s="573"/>
      <c r="P37" s="569"/>
      <c r="Q37" s="336">
        <f>P37-H37*VLOOKUP(C37,Unit_Rates!$C$7:$E$39,3,FALSE)</f>
        <v>0</v>
      </c>
      <c r="R37" s="327">
        <v>0</v>
      </c>
      <c r="S37" s="327">
        <v>0</v>
      </c>
      <c r="T37" s="327">
        <v>0</v>
      </c>
      <c r="U37" s="327">
        <v>0</v>
      </c>
      <c r="V37" s="327">
        <v>0</v>
      </c>
      <c r="W37" s="327">
        <v>0</v>
      </c>
      <c r="X37" s="327">
        <v>0</v>
      </c>
      <c r="Y37" s="14">
        <f t="shared" si="3"/>
        <v>0</v>
      </c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</row>
    <row r="38" spans="2:53" x14ac:dyDescent="0.3">
      <c r="B38" s="232"/>
      <c r="C38" s="171" t="s">
        <v>303</v>
      </c>
      <c r="D38" s="171" t="s">
        <v>18</v>
      </c>
      <c r="E38" s="171" t="s">
        <v>42</v>
      </c>
      <c r="F38" s="171" t="str">
        <f t="shared" si="4"/>
        <v>SubtransmissionAugmentation</v>
      </c>
      <c r="G38" s="441">
        <v>0.12991152445262946</v>
      </c>
      <c r="H38" s="299">
        <v>900</v>
      </c>
      <c r="I38" s="264" t="s">
        <v>318</v>
      </c>
      <c r="J38" s="157"/>
      <c r="K38" s="226">
        <f t="shared" si="5"/>
        <v>116.92037200736651</v>
      </c>
      <c r="L38" s="302">
        <f t="shared" si="2"/>
        <v>0</v>
      </c>
      <c r="M38" s="356"/>
      <c r="N38" s="568"/>
      <c r="O38" s="573"/>
      <c r="P38" s="569"/>
      <c r="Q38" s="290"/>
      <c r="R38" s="327">
        <v>0</v>
      </c>
      <c r="S38" s="327">
        <v>0</v>
      </c>
      <c r="T38" s="327">
        <v>0</v>
      </c>
      <c r="U38" s="327">
        <v>0</v>
      </c>
      <c r="V38" s="327">
        <v>0</v>
      </c>
      <c r="W38" s="327">
        <v>0</v>
      </c>
      <c r="X38" s="327">
        <v>0</v>
      </c>
      <c r="Y38" s="14">
        <f t="shared" si="3"/>
        <v>0</v>
      </c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</row>
    <row r="39" spans="2:53" x14ac:dyDescent="0.3">
      <c r="B39" s="232"/>
      <c r="C39" s="171" t="s">
        <v>60</v>
      </c>
      <c r="D39" s="171" t="s">
        <v>18</v>
      </c>
      <c r="E39" s="171" t="s">
        <v>42</v>
      </c>
      <c r="F39" s="171" t="str">
        <f t="shared" si="4"/>
        <v>SubtransmissionAugmentation</v>
      </c>
      <c r="G39" s="441">
        <v>7.8644493554327815</v>
      </c>
      <c r="H39" s="468">
        <v>1</v>
      </c>
      <c r="I39" s="264" t="s">
        <v>292</v>
      </c>
      <c r="J39" s="157"/>
      <c r="K39" s="226">
        <f t="shared" si="5"/>
        <v>7.8644493554327815</v>
      </c>
      <c r="L39" s="227">
        <f t="shared" si="2"/>
        <v>0</v>
      </c>
      <c r="M39" s="307"/>
      <c r="N39" s="568"/>
      <c r="O39" s="573"/>
      <c r="P39" s="569"/>
      <c r="Q39" s="290"/>
      <c r="R39" s="327">
        <v>0</v>
      </c>
      <c r="S39" s="327">
        <v>0</v>
      </c>
      <c r="T39" s="327">
        <v>0</v>
      </c>
      <c r="U39" s="327">
        <v>0</v>
      </c>
      <c r="V39" s="327">
        <v>0</v>
      </c>
      <c r="W39" s="327">
        <v>0</v>
      </c>
      <c r="X39" s="327">
        <v>0</v>
      </c>
      <c r="Y39" s="14">
        <f t="shared" si="3"/>
        <v>0</v>
      </c>
      <c r="AO39" s="236"/>
      <c r="AP39" s="318"/>
      <c r="AQ39" s="546"/>
      <c r="AR39" s="318"/>
      <c r="AS39" s="318"/>
      <c r="AT39" s="318"/>
      <c r="AU39" s="318"/>
      <c r="AV39" s="318"/>
      <c r="AW39" s="318"/>
      <c r="AX39" s="547"/>
      <c r="AY39" s="548"/>
      <c r="AZ39" s="318"/>
      <c r="BA39" s="236"/>
    </row>
    <row r="40" spans="2:53" x14ac:dyDescent="0.3">
      <c r="B40" s="232"/>
      <c r="C40" s="171"/>
      <c r="D40" s="171"/>
      <c r="E40" s="171"/>
      <c r="F40" s="171"/>
      <c r="G40" s="268"/>
      <c r="H40" s="232"/>
      <c r="I40" s="224"/>
      <c r="J40" s="157"/>
      <c r="K40" s="225"/>
      <c r="L40" s="224"/>
      <c r="M40" s="224"/>
      <c r="N40" s="225"/>
      <c r="O40" s="225"/>
      <c r="P40" s="224"/>
      <c r="Q40" s="291"/>
      <c r="R40" s="326"/>
      <c r="S40" s="326"/>
      <c r="T40" s="326"/>
      <c r="U40" s="326"/>
      <c r="V40" s="326"/>
      <c r="W40" s="326"/>
      <c r="X40" s="326"/>
      <c r="Y40" s="14"/>
      <c r="AO40" s="236"/>
      <c r="AP40" s="318"/>
      <c r="AQ40" s="274"/>
      <c r="AR40" s="549"/>
      <c r="AS40" s="236"/>
      <c r="AT40" s="549"/>
      <c r="AU40" s="549"/>
      <c r="AV40" s="549"/>
      <c r="AW40" s="415"/>
      <c r="AX40" s="547"/>
      <c r="AY40" s="236"/>
      <c r="AZ40" s="416"/>
      <c r="BA40" s="236"/>
    </row>
    <row r="41" spans="2:53" x14ac:dyDescent="0.3">
      <c r="B41" s="251" t="s">
        <v>307</v>
      </c>
      <c r="C41" s="171"/>
      <c r="D41" s="171"/>
      <c r="E41" s="171"/>
      <c r="F41" s="171"/>
      <c r="G41" s="268"/>
      <c r="H41" s="277"/>
      <c r="I41" s="266"/>
      <c r="J41" s="274"/>
      <c r="K41" s="226"/>
      <c r="L41" s="226"/>
      <c r="M41" s="226"/>
      <c r="N41" s="281"/>
      <c r="O41" s="226"/>
      <c r="P41" s="223"/>
      <c r="Q41" s="290"/>
      <c r="R41" s="326"/>
      <c r="S41" s="326"/>
      <c r="T41" s="326"/>
      <c r="U41" s="326"/>
      <c r="V41" s="326"/>
      <c r="W41" s="326"/>
      <c r="X41" s="326"/>
      <c r="AO41" s="236"/>
      <c r="AP41" s="318"/>
      <c r="AQ41" s="274"/>
      <c r="AR41" s="549"/>
      <c r="AS41" s="549"/>
      <c r="AT41" s="549"/>
      <c r="AU41" s="549"/>
      <c r="AV41" s="549"/>
      <c r="AW41" s="415"/>
      <c r="AX41" s="547"/>
      <c r="AY41" s="236"/>
      <c r="AZ41" s="416"/>
      <c r="BA41" s="236"/>
    </row>
    <row r="42" spans="2:53" x14ac:dyDescent="0.3">
      <c r="B42" s="232"/>
      <c r="C42" s="276" t="s">
        <v>500</v>
      </c>
      <c r="D42" s="276" t="str">
        <f>Unit_Rates!G44</f>
        <v>SCADA/Network control</v>
      </c>
      <c r="E42" s="276" t="str">
        <f>Unit_Rates!H44</f>
        <v>Augmentation</v>
      </c>
      <c r="F42" s="171" t="str">
        <f t="shared" ref="F42:F52" si="12">D42&amp;E42</f>
        <v>SCADA/Network controlAugmentation</v>
      </c>
      <c r="G42" s="268">
        <f>INDEX(Unit_Rates!$C$7:$K$54,MATCH($C42,Unit_Rates!$C$7:$C$54,0),7)</f>
        <v>58.317856353591161</v>
      </c>
      <c r="H42" s="299">
        <v>1</v>
      </c>
      <c r="I42" s="264" t="s">
        <v>292</v>
      </c>
      <c r="J42" s="157"/>
      <c r="K42" s="225">
        <f>G42*H42</f>
        <v>58.317856353591161</v>
      </c>
      <c r="L42" s="225">
        <f t="shared" ref="L42:L52" si="13">SUMPRODUCT(R$5:X$5,R42:X42)/Thousands</f>
        <v>0</v>
      </c>
      <c r="M42" s="307"/>
      <c r="N42" s="568"/>
      <c r="O42" s="573"/>
      <c r="P42" s="569"/>
      <c r="Q42" s="336">
        <f>P42-H42*VLOOKUP(C42,Unit_Rates!$C$44:$E$54,3,FALSE)</f>
        <v>0</v>
      </c>
      <c r="R42" s="327">
        <v>0</v>
      </c>
      <c r="S42" s="327">
        <v>0</v>
      </c>
      <c r="T42" s="327">
        <v>0</v>
      </c>
      <c r="U42" s="327">
        <v>0</v>
      </c>
      <c r="V42" s="327">
        <v>0</v>
      </c>
      <c r="W42" s="327">
        <v>0</v>
      </c>
      <c r="X42" s="327">
        <v>0</v>
      </c>
      <c r="Y42" s="14">
        <f t="shared" ref="Y42:Y51" si="14">SUM(R42:X42)</f>
        <v>0</v>
      </c>
      <c r="AO42" s="236"/>
      <c r="AP42" s="318"/>
      <c r="AQ42" s="274"/>
      <c r="AR42" s="549"/>
      <c r="AS42" s="549"/>
      <c r="AT42" s="549"/>
      <c r="AU42" s="549"/>
      <c r="AV42" s="549"/>
      <c r="AW42" s="415"/>
      <c r="AX42" s="547"/>
      <c r="AY42" s="236"/>
      <c r="AZ42" s="416"/>
      <c r="BA42" s="236"/>
    </row>
    <row r="43" spans="2:53" x14ac:dyDescent="0.3">
      <c r="B43" s="232"/>
      <c r="C43" s="276" t="s">
        <v>319</v>
      </c>
      <c r="D43" s="276" t="str">
        <f>Unit_Rates!G46</f>
        <v>SCADA/Network control</v>
      </c>
      <c r="E43" s="276" t="str">
        <f>Unit_Rates!H46</f>
        <v>Augmentation</v>
      </c>
      <c r="F43" s="171" t="str">
        <f t="shared" si="12"/>
        <v>SCADA/Network controlAugmentation</v>
      </c>
      <c r="G43" s="268">
        <f>INDEX(Unit_Rates!$C$7:$K$54,MATCH($C43,Unit_Rates!$C$7:$C$54,0),7)</f>
        <v>5.88950276243094</v>
      </c>
      <c r="H43" s="299">
        <v>2</v>
      </c>
      <c r="I43" s="264" t="s">
        <v>292</v>
      </c>
      <c r="J43" s="157"/>
      <c r="K43" s="225">
        <f>G43*H43</f>
        <v>11.77900552486188</v>
      </c>
      <c r="L43" s="225">
        <f t="shared" si="13"/>
        <v>0</v>
      </c>
      <c r="M43" s="307"/>
      <c r="N43" s="568"/>
      <c r="O43" s="573"/>
      <c r="P43" s="569"/>
      <c r="Q43" s="336">
        <f>P43-H43*VLOOKUP(C43,Unit_Rates!$C$44:$E$54,3,FALSE)</f>
        <v>0</v>
      </c>
      <c r="R43" s="327">
        <v>0</v>
      </c>
      <c r="S43" s="327">
        <v>0</v>
      </c>
      <c r="T43" s="327">
        <v>0</v>
      </c>
      <c r="U43" s="327">
        <v>0</v>
      </c>
      <c r="V43" s="327">
        <v>0</v>
      </c>
      <c r="W43" s="327">
        <v>0</v>
      </c>
      <c r="X43" s="327">
        <v>0</v>
      </c>
      <c r="Y43" s="14">
        <f t="shared" si="14"/>
        <v>0</v>
      </c>
      <c r="AO43" s="236"/>
      <c r="AP43" s="318"/>
      <c r="AQ43" s="274"/>
      <c r="AR43" s="549"/>
      <c r="AS43" s="555"/>
      <c r="AT43" s="550"/>
      <c r="AU43" s="550"/>
      <c r="AV43" s="236"/>
      <c r="AW43" s="415"/>
      <c r="AX43" s="547"/>
      <c r="AY43" s="236"/>
      <c r="AZ43" s="416"/>
      <c r="BA43" s="236"/>
    </row>
    <row r="44" spans="2:53" x14ac:dyDescent="0.3">
      <c r="B44" s="232"/>
      <c r="C44" s="276" t="s">
        <v>321</v>
      </c>
      <c r="D44" s="276" t="str">
        <f>Unit_Rates!G47</f>
        <v>SCADA/Network control</v>
      </c>
      <c r="E44" s="276" t="str">
        <f>Unit_Rates!H47</f>
        <v>Augmentation</v>
      </c>
      <c r="F44" s="171" t="str">
        <f t="shared" si="12"/>
        <v>SCADA/Network controlAugmentation</v>
      </c>
      <c r="G44" s="268">
        <f>INDEX(Unit_Rates!$C$7:$K$54,MATCH($C44,Unit_Rates!$C$7:$C$54,0),7)</f>
        <v>8.2030957642725593</v>
      </c>
      <c r="H44" s="299">
        <v>2</v>
      </c>
      <c r="I44" s="264" t="s">
        <v>292</v>
      </c>
      <c r="J44" s="157"/>
      <c r="K44" s="225">
        <f>G44*H44</f>
        <v>16.406191528545119</v>
      </c>
      <c r="L44" s="225">
        <f t="shared" si="13"/>
        <v>0</v>
      </c>
      <c r="M44" s="307"/>
      <c r="N44" s="568"/>
      <c r="O44" s="573"/>
      <c r="P44" s="569"/>
      <c r="Q44" s="336">
        <f>P44-H44*VLOOKUP(C44,Unit_Rates!$C$44:$E$54,3,FALSE)</f>
        <v>0</v>
      </c>
      <c r="R44" s="327">
        <v>0</v>
      </c>
      <c r="S44" s="327">
        <v>0</v>
      </c>
      <c r="T44" s="327">
        <v>0</v>
      </c>
      <c r="U44" s="327">
        <v>0</v>
      </c>
      <c r="V44" s="327">
        <v>0</v>
      </c>
      <c r="W44" s="327">
        <v>0</v>
      </c>
      <c r="X44" s="327">
        <v>0</v>
      </c>
      <c r="Y44" s="14">
        <f t="shared" si="14"/>
        <v>0</v>
      </c>
      <c r="AO44" s="236"/>
      <c r="AP44" s="236"/>
      <c r="AQ44" s="236"/>
      <c r="AR44" s="236"/>
      <c r="AS44" s="236"/>
      <c r="AT44" s="236"/>
      <c r="AU44" s="236"/>
      <c r="AV44" s="236"/>
      <c r="AW44" s="415"/>
      <c r="AX44" s="236"/>
      <c r="AY44" s="236"/>
      <c r="AZ44" s="416"/>
      <c r="BA44" s="236"/>
    </row>
    <row r="45" spans="2:53" x14ac:dyDescent="0.3">
      <c r="B45" s="232"/>
      <c r="C45" s="276" t="s">
        <v>520</v>
      </c>
      <c r="D45" s="276" t="str">
        <f>Unit_Rates!G48</f>
        <v>SCADA/Network control</v>
      </c>
      <c r="E45" s="276" t="str">
        <f>Unit_Rates!H48</f>
        <v>Augmentation</v>
      </c>
      <c r="F45" s="171" t="str">
        <f t="shared" si="12"/>
        <v>SCADA/Network controlAugmentation</v>
      </c>
      <c r="G45" s="268">
        <f>INDEX(Unit_Rates!$C$7:$K$54,MATCH($C45,Unit_Rates!$C$7:$C$54,0),7)</f>
        <v>92.456849907918979</v>
      </c>
      <c r="H45" s="299">
        <v>2</v>
      </c>
      <c r="I45" s="264" t="s">
        <v>292</v>
      </c>
      <c r="J45" s="157"/>
      <c r="K45" s="225">
        <f>G45*H45</f>
        <v>184.91369981583796</v>
      </c>
      <c r="L45" s="225">
        <f t="shared" si="13"/>
        <v>0</v>
      </c>
      <c r="M45" s="307"/>
      <c r="N45" s="568"/>
      <c r="O45" s="573"/>
      <c r="P45" s="569"/>
      <c r="Q45" s="336">
        <f>P45-H45*VLOOKUP(C45,Unit_Rates!$C$44:$E$54,3,FALSE)</f>
        <v>0</v>
      </c>
      <c r="R45" s="327">
        <v>0</v>
      </c>
      <c r="S45" s="327">
        <v>0</v>
      </c>
      <c r="T45" s="327">
        <v>0</v>
      </c>
      <c r="U45" s="327">
        <v>0</v>
      </c>
      <c r="V45" s="327">
        <v>0</v>
      </c>
      <c r="W45" s="327">
        <v>0</v>
      </c>
      <c r="X45" s="327">
        <v>0</v>
      </c>
      <c r="Y45" s="14">
        <f t="shared" si="14"/>
        <v>0</v>
      </c>
      <c r="AO45" s="236"/>
      <c r="AP45" s="236"/>
      <c r="AQ45" s="236"/>
      <c r="AR45" s="236"/>
      <c r="AS45" s="236"/>
      <c r="AT45" s="236"/>
      <c r="AU45" s="236"/>
      <c r="AV45" s="236"/>
      <c r="AW45" s="415"/>
      <c r="AX45" s="236"/>
      <c r="AY45" s="236"/>
      <c r="AZ45" s="416"/>
      <c r="BA45" s="236"/>
    </row>
    <row r="46" spans="2:53" x14ac:dyDescent="0.3">
      <c r="B46" s="232"/>
      <c r="C46" s="276" t="s">
        <v>526</v>
      </c>
      <c r="D46" s="276" t="str">
        <f>Unit_Rates!G49</f>
        <v>SCADA/Network control</v>
      </c>
      <c r="E46" s="276" t="str">
        <f>Unit_Rates!H49</f>
        <v>Augmentation</v>
      </c>
      <c r="F46" s="171" t="str">
        <f t="shared" ref="F46" si="15">D46&amp;E46</f>
        <v>SCADA/Network controlAugmentation</v>
      </c>
      <c r="G46" s="268">
        <f>INDEX(Unit_Rates!$C$7:$K$54,MATCH($C46,Unit_Rates!$C$7:$C$54,0),7)</f>
        <v>39.589237569060778</v>
      </c>
      <c r="H46" s="299">
        <v>1</v>
      </c>
      <c r="I46" s="264" t="s">
        <v>292</v>
      </c>
      <c r="J46" s="157"/>
      <c r="K46" s="225">
        <f>G46*H46</f>
        <v>39.589237569060778</v>
      </c>
      <c r="L46" s="225">
        <f t="shared" ref="L46" si="16">SUMPRODUCT(R$5:X$5,R46:X46)/Thousands</f>
        <v>0</v>
      </c>
      <c r="M46" s="307"/>
      <c r="N46" s="568"/>
      <c r="O46" s="573"/>
      <c r="P46" s="569"/>
      <c r="Q46" s="336">
        <f>P46-H46*VLOOKUP(C46,Unit_Rates!$C$44:$E$54,3,FALSE)</f>
        <v>0</v>
      </c>
      <c r="R46" s="327"/>
      <c r="S46" s="327"/>
      <c r="T46" s="327"/>
      <c r="U46" s="327"/>
      <c r="V46" s="327"/>
      <c r="W46" s="327"/>
      <c r="X46" s="327"/>
      <c r="Y46" s="14"/>
      <c r="AO46" s="236"/>
      <c r="AP46" s="236"/>
      <c r="AQ46" s="236"/>
      <c r="AR46" s="236"/>
      <c r="AS46" s="236"/>
      <c r="AT46" s="236"/>
      <c r="AU46" s="236"/>
      <c r="AV46" s="236"/>
      <c r="AW46" s="415"/>
      <c r="AX46" s="236"/>
      <c r="AY46" s="236"/>
      <c r="AZ46" s="416"/>
      <c r="BA46" s="236"/>
    </row>
    <row r="47" spans="2:53" x14ac:dyDescent="0.3">
      <c r="B47" s="232"/>
      <c r="C47" s="171" t="s">
        <v>332</v>
      </c>
      <c r="D47" s="171" t="s">
        <v>22</v>
      </c>
      <c r="E47" s="171" t="s">
        <v>42</v>
      </c>
      <c r="F47" s="171" t="str">
        <f t="shared" si="12"/>
        <v>SCADA/Network controlAugmentation</v>
      </c>
      <c r="G47" s="441">
        <v>34.82631825</v>
      </c>
      <c r="H47" s="299"/>
      <c r="I47" s="264" t="s">
        <v>292</v>
      </c>
      <c r="J47" s="157"/>
      <c r="K47" s="225">
        <f t="shared" ref="K47:K49" si="17">G47*H47</f>
        <v>0</v>
      </c>
      <c r="L47" s="225">
        <f t="shared" si="13"/>
        <v>0</v>
      </c>
      <c r="M47" s="307"/>
      <c r="N47" s="568"/>
      <c r="O47" s="573"/>
      <c r="P47" s="569"/>
      <c r="Q47" s="290"/>
      <c r="R47" s="327">
        <v>0</v>
      </c>
      <c r="S47" s="327">
        <v>0</v>
      </c>
      <c r="T47" s="327">
        <v>0</v>
      </c>
      <c r="U47" s="327">
        <v>0</v>
      </c>
      <c r="V47" s="327">
        <v>0</v>
      </c>
      <c r="W47" s="327">
        <v>0</v>
      </c>
      <c r="X47" s="327">
        <v>0</v>
      </c>
      <c r="Y47" s="14">
        <f t="shared" si="14"/>
        <v>0</v>
      </c>
      <c r="AO47" s="236"/>
      <c r="AP47" s="236"/>
      <c r="AQ47" s="236"/>
      <c r="AR47" s="236"/>
      <c r="AS47" s="236"/>
      <c r="AT47" s="236"/>
      <c r="AU47" s="236"/>
      <c r="AV47" s="236"/>
      <c r="AW47" s="415"/>
      <c r="AX47" s="236"/>
      <c r="AY47" s="236"/>
      <c r="AZ47" s="416"/>
      <c r="BA47" s="236"/>
    </row>
    <row r="48" spans="2:53" x14ac:dyDescent="0.3">
      <c r="B48" s="232"/>
      <c r="C48" s="171" t="s">
        <v>331</v>
      </c>
      <c r="D48" s="171" t="s">
        <v>22</v>
      </c>
      <c r="E48" s="171" t="s">
        <v>42</v>
      </c>
      <c r="F48" s="171" t="str">
        <f t="shared" si="12"/>
        <v>SCADA/Network controlAugmentation</v>
      </c>
      <c r="G48" s="441">
        <v>68.023925700000007</v>
      </c>
      <c r="H48" s="299"/>
      <c r="I48" s="264" t="s">
        <v>292</v>
      </c>
      <c r="J48" s="157"/>
      <c r="K48" s="225">
        <f t="shared" si="17"/>
        <v>0</v>
      </c>
      <c r="L48" s="225">
        <f t="shared" si="13"/>
        <v>0</v>
      </c>
      <c r="M48" s="307"/>
      <c r="N48" s="568"/>
      <c r="O48" s="573"/>
      <c r="P48" s="569"/>
      <c r="Q48" s="290"/>
      <c r="R48" s="327">
        <v>0</v>
      </c>
      <c r="S48" s="327">
        <v>0</v>
      </c>
      <c r="T48" s="327">
        <v>0</v>
      </c>
      <c r="U48" s="327">
        <v>0</v>
      </c>
      <c r="V48" s="327">
        <v>0</v>
      </c>
      <c r="W48" s="327">
        <v>0</v>
      </c>
      <c r="X48" s="327">
        <v>0</v>
      </c>
      <c r="Y48" s="14">
        <f t="shared" si="14"/>
        <v>0</v>
      </c>
      <c r="AO48" s="236"/>
      <c r="AP48" s="236"/>
      <c r="AQ48" s="236"/>
      <c r="AR48" s="236"/>
      <c r="AS48" s="236"/>
      <c r="AT48" s="236"/>
      <c r="AU48" s="236"/>
      <c r="AV48" s="236"/>
      <c r="AW48" s="415"/>
      <c r="AX48" s="236"/>
      <c r="AY48" s="236"/>
      <c r="AZ48" s="416"/>
      <c r="BA48" s="236"/>
    </row>
    <row r="49" spans="2:53" x14ac:dyDescent="0.3">
      <c r="B49" s="232"/>
      <c r="C49" s="171" t="s">
        <v>330</v>
      </c>
      <c r="D49" s="171" t="str">
        <f>Unit_Rates!G54</f>
        <v>SCADA/Network control</v>
      </c>
      <c r="E49" s="171" t="str">
        <f>Unit_Rates!H54</f>
        <v>Augmentation</v>
      </c>
      <c r="F49" s="171" t="str">
        <f t="shared" si="12"/>
        <v>SCADA/Network controlAugmentation</v>
      </c>
      <c r="G49" s="268">
        <f>INDEX(Unit_Rates!$C$7:$K$54,MATCH($C49,Unit_Rates!$C$7:$C$54,0),7)</f>
        <v>87.015440147329656</v>
      </c>
      <c r="H49" s="299"/>
      <c r="I49" s="264" t="s">
        <v>292</v>
      </c>
      <c r="J49" s="157"/>
      <c r="K49" s="225">
        <f t="shared" si="17"/>
        <v>0</v>
      </c>
      <c r="L49" s="225">
        <f t="shared" si="13"/>
        <v>0</v>
      </c>
      <c r="M49" s="307"/>
      <c r="N49" s="568"/>
      <c r="O49" s="573"/>
      <c r="P49" s="569"/>
      <c r="Q49" s="336">
        <f>P49-H49*VLOOKUP(C49,Unit_Rates!$C$44:$E$54,3,FALSE)</f>
        <v>0</v>
      </c>
      <c r="R49" s="327">
        <v>0</v>
      </c>
      <c r="S49" s="327">
        <v>0</v>
      </c>
      <c r="T49" s="327">
        <v>0</v>
      </c>
      <c r="U49" s="327">
        <v>0</v>
      </c>
      <c r="V49" s="327">
        <v>0</v>
      </c>
      <c r="W49" s="327">
        <v>0</v>
      </c>
      <c r="X49" s="327">
        <v>0</v>
      </c>
      <c r="Y49" s="14">
        <f t="shared" si="14"/>
        <v>0</v>
      </c>
      <c r="AO49" s="236"/>
      <c r="AP49" s="318"/>
      <c r="AQ49" s="318"/>
      <c r="AR49" s="551"/>
      <c r="AS49" s="551"/>
      <c r="AT49" s="551"/>
      <c r="AU49" s="551"/>
      <c r="AV49" s="551"/>
      <c r="AW49" s="551"/>
      <c r="AX49" s="547"/>
      <c r="AY49" s="236"/>
      <c r="AZ49" s="416"/>
      <c r="BA49" s="236"/>
    </row>
    <row r="50" spans="2:53" x14ac:dyDescent="0.3">
      <c r="B50" s="232"/>
      <c r="C50" s="171" t="s">
        <v>324</v>
      </c>
      <c r="D50" s="171" t="s">
        <v>22</v>
      </c>
      <c r="E50" s="171" t="s">
        <v>42</v>
      </c>
      <c r="F50" s="171" t="str">
        <f t="shared" si="12"/>
        <v>SCADA/Network controlAugmentation</v>
      </c>
      <c r="G50" s="441">
        <v>21.945268876611419</v>
      </c>
      <c r="H50" s="299">
        <v>1</v>
      </c>
      <c r="I50" s="264" t="s">
        <v>292</v>
      </c>
      <c r="J50" s="157"/>
      <c r="K50" s="225">
        <f>G50*H50</f>
        <v>21.945268876611419</v>
      </c>
      <c r="L50" s="225">
        <f t="shared" si="13"/>
        <v>0</v>
      </c>
      <c r="M50" s="307"/>
      <c r="N50" s="568"/>
      <c r="O50" s="573"/>
      <c r="P50" s="569"/>
      <c r="Q50" s="290"/>
      <c r="R50" s="327">
        <v>0</v>
      </c>
      <c r="S50" s="327">
        <v>0</v>
      </c>
      <c r="T50" s="327">
        <v>0</v>
      </c>
      <c r="U50" s="327">
        <v>0</v>
      </c>
      <c r="V50" s="327">
        <v>0</v>
      </c>
      <c r="W50" s="327">
        <v>0</v>
      </c>
      <c r="X50" s="327">
        <v>0</v>
      </c>
      <c r="Y50" s="14">
        <f t="shared" si="14"/>
        <v>0</v>
      </c>
      <c r="AO50" s="236"/>
      <c r="AP50" s="236"/>
      <c r="AQ50" s="558"/>
      <c r="AR50" s="554"/>
      <c r="AS50" s="554"/>
      <c r="AT50" s="554"/>
      <c r="AU50" s="554"/>
      <c r="AV50" s="554"/>
      <c r="AW50" s="554"/>
      <c r="AX50" s="236"/>
      <c r="AY50" s="236"/>
      <c r="AZ50" s="554"/>
      <c r="BA50" s="236"/>
    </row>
    <row r="51" spans="2:53" x14ac:dyDescent="0.3">
      <c r="B51" s="232"/>
      <c r="C51" s="171" t="s">
        <v>322</v>
      </c>
      <c r="D51" s="171" t="s">
        <v>22</v>
      </c>
      <c r="E51" s="171" t="s">
        <v>42</v>
      </c>
      <c r="F51" s="171" t="str">
        <f t="shared" si="12"/>
        <v>SCADA/Network controlAugmentation</v>
      </c>
      <c r="G51" s="441">
        <v>166.65329650092082</v>
      </c>
      <c r="H51" s="533">
        <v>1</v>
      </c>
      <c r="I51" s="264" t="s">
        <v>292</v>
      </c>
      <c r="J51" s="157"/>
      <c r="K51" s="225">
        <f t="shared" ref="K51" si="18">G51*H51</f>
        <v>166.65329650092082</v>
      </c>
      <c r="L51" s="225">
        <f t="shared" si="13"/>
        <v>0</v>
      </c>
      <c r="M51" s="307"/>
      <c r="N51" s="568"/>
      <c r="O51" s="573"/>
      <c r="P51" s="569"/>
      <c r="Q51" s="290"/>
      <c r="R51" s="327">
        <v>0</v>
      </c>
      <c r="S51" s="327">
        <v>0</v>
      </c>
      <c r="T51" s="327">
        <v>0</v>
      </c>
      <c r="U51" s="327">
        <v>0</v>
      </c>
      <c r="V51" s="327">
        <v>0</v>
      </c>
      <c r="W51" s="327">
        <v>0</v>
      </c>
      <c r="X51" s="327">
        <v>0</v>
      </c>
      <c r="Y51" s="14">
        <f t="shared" si="14"/>
        <v>0</v>
      </c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</row>
    <row r="52" spans="2:53" x14ac:dyDescent="0.3">
      <c r="B52" s="251" t="s">
        <v>281</v>
      </c>
      <c r="C52" s="171"/>
      <c r="D52" s="171" t="s">
        <v>18</v>
      </c>
      <c r="E52" s="236" t="s">
        <v>42</v>
      </c>
      <c r="F52" s="171" t="str">
        <f t="shared" si="12"/>
        <v>SubtransmissionAugmentation</v>
      </c>
      <c r="G52" s="441"/>
      <c r="H52" s="299"/>
      <c r="I52" s="264" t="s">
        <v>292</v>
      </c>
      <c r="J52" s="157"/>
      <c r="K52" s="225">
        <f>G52*H52</f>
        <v>0</v>
      </c>
      <c r="L52" s="225">
        <f t="shared" si="13"/>
        <v>0</v>
      </c>
      <c r="M52" s="307"/>
      <c r="N52" s="568"/>
      <c r="O52" s="573"/>
      <c r="P52" s="569"/>
      <c r="Q52" s="290"/>
      <c r="R52" s="327">
        <v>0</v>
      </c>
      <c r="S52" s="327">
        <v>0</v>
      </c>
      <c r="T52" s="327">
        <v>0</v>
      </c>
      <c r="U52" s="327">
        <v>0</v>
      </c>
      <c r="V52" s="327">
        <v>0</v>
      </c>
      <c r="W52" s="327">
        <v>0</v>
      </c>
      <c r="X52" s="327">
        <v>0</v>
      </c>
      <c r="Y52" s="14">
        <f t="shared" ref="Y52:Y60" si="19">SUM(R52:X52)</f>
        <v>0</v>
      </c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</row>
    <row r="53" spans="2:53" x14ac:dyDescent="0.3">
      <c r="B53" s="251" t="s">
        <v>312</v>
      </c>
      <c r="C53" s="171"/>
      <c r="D53" s="171"/>
      <c r="E53" s="171"/>
      <c r="F53" s="171"/>
      <c r="G53" s="265"/>
      <c r="H53" s="232"/>
      <c r="I53" s="224"/>
      <c r="J53" s="171"/>
      <c r="K53" s="225"/>
      <c r="L53" s="225"/>
      <c r="M53" s="225"/>
      <c r="N53" s="222"/>
      <c r="O53" s="225"/>
      <c r="P53" s="223"/>
      <c r="Q53" s="290"/>
      <c r="R53" s="326"/>
      <c r="S53" s="326"/>
      <c r="T53" s="326"/>
      <c r="U53" s="326"/>
      <c r="V53" s="326"/>
      <c r="W53" s="326"/>
      <c r="X53" s="326"/>
      <c r="Y53" s="14"/>
      <c r="AO53" s="236"/>
      <c r="AP53" s="318"/>
      <c r="AQ53" s="546"/>
      <c r="AR53" s="318"/>
      <c r="AS53" s="318"/>
      <c r="AT53" s="318"/>
      <c r="AU53" s="318"/>
      <c r="AV53" s="318"/>
      <c r="AW53" s="318"/>
      <c r="AX53" s="547"/>
      <c r="AY53" s="236"/>
      <c r="AZ53" s="236"/>
      <c r="BA53" s="236"/>
    </row>
    <row r="54" spans="2:53" x14ac:dyDescent="0.3">
      <c r="B54" s="232"/>
      <c r="C54" s="171" t="s">
        <v>311</v>
      </c>
      <c r="D54" s="171" t="s">
        <v>18</v>
      </c>
      <c r="E54" s="171" t="s">
        <v>42</v>
      </c>
      <c r="F54" s="171" t="str">
        <f t="shared" ref="F54:F60" si="20">D54&amp;E54</f>
        <v>SubtransmissionAugmentation</v>
      </c>
      <c r="G54" s="441">
        <v>0</v>
      </c>
      <c r="H54" s="299"/>
      <c r="I54" s="264" t="s">
        <v>292</v>
      </c>
      <c r="J54" s="171"/>
      <c r="K54" s="225">
        <f>G54*H54</f>
        <v>0</v>
      </c>
      <c r="L54" s="225">
        <f>SUMPRODUCT(R$5:X$5,R54:X54)/Thousands</f>
        <v>0</v>
      </c>
      <c r="M54" s="307"/>
      <c r="N54" s="568"/>
      <c r="O54" s="573"/>
      <c r="P54" s="569"/>
      <c r="Q54" s="290"/>
      <c r="R54" s="327">
        <v>0</v>
      </c>
      <c r="S54" s="327">
        <v>0</v>
      </c>
      <c r="T54" s="327">
        <v>0</v>
      </c>
      <c r="U54" s="327">
        <v>0</v>
      </c>
      <c r="V54" s="327">
        <v>0</v>
      </c>
      <c r="W54" s="327">
        <v>0</v>
      </c>
      <c r="X54" s="327">
        <v>0</v>
      </c>
      <c r="Y54" s="14">
        <f t="shared" si="19"/>
        <v>0</v>
      </c>
      <c r="AO54" s="236"/>
      <c r="AP54" s="318"/>
      <c r="AQ54" s="236"/>
      <c r="AR54" s="274"/>
      <c r="AS54" s="555"/>
      <c r="AT54" s="556"/>
      <c r="AU54" s="274"/>
      <c r="AV54" s="274"/>
      <c r="AW54" s="415"/>
      <c r="AX54" s="547"/>
      <c r="AY54" s="236"/>
      <c r="AZ54" s="236"/>
      <c r="BA54" s="236"/>
    </row>
    <row r="55" spans="2:53" x14ac:dyDescent="0.3">
      <c r="B55" s="232"/>
      <c r="C55" s="236" t="s">
        <v>316</v>
      </c>
      <c r="D55" s="236" t="str">
        <f>Unit_Rates!G39</f>
        <v>Subtransmission</v>
      </c>
      <c r="E55" s="236" t="str">
        <f>Unit_Rates!H39</f>
        <v>Augmentation</v>
      </c>
      <c r="F55" s="171" t="str">
        <f t="shared" si="20"/>
        <v>SubtransmissionAugmentation</v>
      </c>
      <c r="G55" s="268">
        <f>Unit_Rates!$I$39</f>
        <v>123.95348837209301</v>
      </c>
      <c r="H55" s="299"/>
      <c r="I55" s="264" t="s">
        <v>292</v>
      </c>
      <c r="J55" s="171"/>
      <c r="K55" s="225">
        <f>G55*H55</f>
        <v>0</v>
      </c>
      <c r="L55" s="225">
        <f>SUMPRODUCT(R$5:X$5,R55:X55)/Thousands</f>
        <v>0</v>
      </c>
      <c r="M55" s="307"/>
      <c r="N55" s="568"/>
      <c r="O55" s="568"/>
      <c r="P55" s="569"/>
      <c r="Q55" s="336">
        <f>P55-H55*VLOOKUP("Oil separator",Unit_Rates!$C$7:$E$39,3,FALSE)</f>
        <v>0</v>
      </c>
      <c r="R55" s="327">
        <v>0</v>
      </c>
      <c r="S55" s="327">
        <v>0</v>
      </c>
      <c r="T55" s="327">
        <v>0</v>
      </c>
      <c r="U55" s="327">
        <v>0</v>
      </c>
      <c r="V55" s="327">
        <v>0</v>
      </c>
      <c r="W55" s="327">
        <v>0</v>
      </c>
      <c r="X55" s="327">
        <v>0</v>
      </c>
      <c r="Y55" s="14">
        <f t="shared" si="19"/>
        <v>0</v>
      </c>
      <c r="AO55" s="236"/>
      <c r="AP55" s="318"/>
      <c r="AQ55" s="236"/>
      <c r="AR55" s="274"/>
      <c r="AS55" s="555"/>
      <c r="AT55" s="274"/>
      <c r="AU55" s="274"/>
      <c r="AV55" s="274"/>
      <c r="AW55" s="415"/>
      <c r="AX55" s="236"/>
      <c r="AY55" s="236"/>
      <c r="AZ55" s="236"/>
      <c r="BA55" s="236"/>
    </row>
    <row r="56" spans="2:53" x14ac:dyDescent="0.3">
      <c r="B56" s="232"/>
      <c r="C56" s="296" t="s">
        <v>317</v>
      </c>
      <c r="D56" s="372" t="s">
        <v>18</v>
      </c>
      <c r="E56" s="372" t="s">
        <v>42</v>
      </c>
      <c r="F56" s="171" t="str">
        <f t="shared" si="20"/>
        <v>SubtransmissionAugmentation</v>
      </c>
      <c r="G56" s="441">
        <v>0</v>
      </c>
      <c r="H56" s="299"/>
      <c r="I56" s="264" t="s">
        <v>292</v>
      </c>
      <c r="J56" s="171"/>
      <c r="K56" s="225">
        <f>G56*H56</f>
        <v>0</v>
      </c>
      <c r="L56" s="225">
        <f>SUMPRODUCT(R$5:X$5,R56:X56)/Thousands</f>
        <v>0</v>
      </c>
      <c r="M56" s="307"/>
      <c r="N56" s="568"/>
      <c r="O56" s="573"/>
      <c r="P56" s="569"/>
      <c r="Q56" s="290"/>
      <c r="R56" s="327">
        <v>0</v>
      </c>
      <c r="S56" s="327">
        <v>0</v>
      </c>
      <c r="T56" s="327">
        <v>0</v>
      </c>
      <c r="U56" s="327">
        <v>0</v>
      </c>
      <c r="V56" s="327">
        <v>0</v>
      </c>
      <c r="W56" s="327">
        <v>0</v>
      </c>
      <c r="X56" s="327">
        <v>0</v>
      </c>
      <c r="Y56" s="14">
        <f t="shared" si="19"/>
        <v>0</v>
      </c>
      <c r="AO56" s="236"/>
      <c r="AP56" s="318"/>
      <c r="AQ56" s="236"/>
      <c r="AR56" s="274"/>
      <c r="AS56" s="274"/>
      <c r="AT56" s="274"/>
      <c r="AU56" s="274"/>
      <c r="AV56" s="274"/>
      <c r="AW56" s="415"/>
      <c r="AX56" s="236"/>
      <c r="AY56" s="236"/>
      <c r="AZ56" s="236"/>
      <c r="BA56" s="236"/>
    </row>
    <row r="57" spans="2:53" x14ac:dyDescent="0.3">
      <c r="B57" s="313" t="s">
        <v>284</v>
      </c>
      <c r="C57" s="296"/>
      <c r="D57" s="171" t="s">
        <v>18</v>
      </c>
      <c r="E57" s="276" t="s">
        <v>42</v>
      </c>
      <c r="F57" s="171" t="str">
        <f t="shared" si="20"/>
        <v>SubtransmissionAugmentation</v>
      </c>
      <c r="G57" s="268">
        <v>0</v>
      </c>
      <c r="H57" s="299"/>
      <c r="I57" s="264" t="s">
        <v>292</v>
      </c>
      <c r="J57" s="171"/>
      <c r="K57" s="228">
        <v>0</v>
      </c>
      <c r="L57" s="228">
        <f>SUMPRODUCT(R$5:X$5,R57:X57)/Thousands</f>
        <v>0</v>
      </c>
      <c r="M57" s="307"/>
      <c r="N57" s="568"/>
      <c r="O57" s="566"/>
      <c r="P57" s="569"/>
      <c r="Q57" s="290"/>
      <c r="R57" s="327">
        <v>0</v>
      </c>
      <c r="S57" s="327">
        <v>0</v>
      </c>
      <c r="T57" s="327">
        <v>0</v>
      </c>
      <c r="U57" s="327">
        <v>0</v>
      </c>
      <c r="V57" s="327">
        <v>0</v>
      </c>
      <c r="W57" s="327">
        <v>0</v>
      </c>
      <c r="X57" s="327">
        <v>0</v>
      </c>
      <c r="Y57" s="14">
        <f t="shared" si="19"/>
        <v>0</v>
      </c>
      <c r="AO57" s="236"/>
      <c r="AP57" s="236"/>
      <c r="AQ57" s="236"/>
      <c r="AR57" s="415"/>
      <c r="AS57" s="415"/>
      <c r="AT57" s="415"/>
      <c r="AU57" s="415"/>
      <c r="AV57" s="415"/>
      <c r="AW57" s="415"/>
      <c r="AX57" s="236"/>
      <c r="AY57" s="236"/>
      <c r="AZ57" s="236"/>
      <c r="BA57" s="236"/>
    </row>
    <row r="58" spans="2:53" x14ac:dyDescent="0.3">
      <c r="B58" s="251" t="s">
        <v>268</v>
      </c>
      <c r="C58" s="171"/>
      <c r="D58" s="171" t="s">
        <v>195</v>
      </c>
      <c r="E58" s="276" t="s">
        <v>66</v>
      </c>
      <c r="F58" s="171" t="str">
        <f t="shared" si="20"/>
        <v>LandNon-Network</v>
      </c>
      <c r="G58" s="268">
        <v>0</v>
      </c>
      <c r="H58" s="299"/>
      <c r="I58" s="264" t="s">
        <v>292</v>
      </c>
      <c r="J58" s="171"/>
      <c r="K58" s="228">
        <v>0</v>
      </c>
      <c r="L58" s="228">
        <f>SUMPRODUCT(R$5:X$5,R58:X58)/Thousands</f>
        <v>0</v>
      </c>
      <c r="M58" s="307"/>
      <c r="N58" s="568"/>
      <c r="O58" s="566"/>
      <c r="P58" s="569"/>
      <c r="Q58" s="19"/>
      <c r="R58" s="327">
        <v>0</v>
      </c>
      <c r="S58" s="327">
        <v>0</v>
      </c>
      <c r="T58" s="327">
        <v>0</v>
      </c>
      <c r="U58" s="327">
        <v>0</v>
      </c>
      <c r="V58" s="327">
        <v>0</v>
      </c>
      <c r="W58" s="327">
        <v>0</v>
      </c>
      <c r="X58" s="327">
        <v>0</v>
      </c>
      <c r="Y58" s="14">
        <f t="shared" si="19"/>
        <v>0</v>
      </c>
      <c r="AO58" s="236"/>
      <c r="AP58" s="236"/>
      <c r="AQ58" s="558"/>
      <c r="AR58" s="554"/>
      <c r="AS58" s="554"/>
      <c r="AT58" s="554"/>
      <c r="AU58" s="554"/>
      <c r="AV58" s="554"/>
      <c r="AW58" s="554"/>
      <c r="AX58" s="236"/>
      <c r="AY58" s="236"/>
      <c r="AZ58" s="236"/>
      <c r="BA58" s="236"/>
    </row>
    <row r="59" spans="2:53" x14ac:dyDescent="0.3">
      <c r="B59" s="232"/>
      <c r="C59" s="171"/>
      <c r="D59" s="171"/>
      <c r="E59" s="171"/>
      <c r="F59" s="171"/>
      <c r="G59" s="224"/>
      <c r="H59" s="232"/>
      <c r="I59" s="224"/>
      <c r="J59" s="171"/>
      <c r="K59" s="228"/>
      <c r="L59" s="228"/>
      <c r="M59" s="228"/>
      <c r="N59" s="228"/>
      <c r="O59" s="228"/>
      <c r="P59" s="228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</row>
    <row r="60" spans="2:53" x14ac:dyDescent="0.3">
      <c r="B60" s="442" t="s">
        <v>427</v>
      </c>
      <c r="C60" s="171"/>
      <c r="D60" s="171" t="s">
        <v>18</v>
      </c>
      <c r="E60" s="430" t="s">
        <v>44</v>
      </c>
      <c r="F60" s="171" t="str">
        <f t="shared" si="20"/>
        <v>SubtransmissionReplacement</v>
      </c>
      <c r="G60" s="227">
        <v>0</v>
      </c>
      <c r="H60" s="299"/>
      <c r="I60" s="264" t="s">
        <v>292</v>
      </c>
      <c r="J60" s="171"/>
      <c r="K60" s="428">
        <f>G60*H60</f>
        <v>0</v>
      </c>
      <c r="L60" s="428">
        <f>SUMPRODUCT(R$5:X$5,R60:X60)/Thousands</f>
        <v>0</v>
      </c>
      <c r="M60" s="429"/>
      <c r="N60" s="574"/>
      <c r="O60" s="576"/>
      <c r="P60" s="577"/>
      <c r="R60" s="327">
        <v>0</v>
      </c>
      <c r="S60" s="327">
        <v>0</v>
      </c>
      <c r="T60" s="327">
        <v>0</v>
      </c>
      <c r="U60" s="327">
        <v>0</v>
      </c>
      <c r="V60" s="327">
        <v>0</v>
      </c>
      <c r="W60" s="327">
        <v>0</v>
      </c>
      <c r="X60" s="327">
        <v>0</v>
      </c>
      <c r="Y60" s="14">
        <f t="shared" si="19"/>
        <v>0</v>
      </c>
    </row>
    <row r="61" spans="2:53" x14ac:dyDescent="0.3">
      <c r="B61" s="232"/>
      <c r="C61" s="171"/>
      <c r="D61" s="171"/>
      <c r="E61" s="171"/>
      <c r="F61" s="171"/>
      <c r="G61" s="224"/>
      <c r="H61" s="232"/>
      <c r="I61" s="224"/>
      <c r="J61" s="171"/>
      <c r="K61" s="229"/>
      <c r="L61" s="229"/>
      <c r="M61" s="229"/>
      <c r="N61" s="229"/>
      <c r="O61" s="229"/>
      <c r="P61" s="229"/>
    </row>
    <row r="62" spans="2:53" x14ac:dyDescent="0.3">
      <c r="B62" s="251" t="s">
        <v>282</v>
      </c>
      <c r="C62" s="171"/>
      <c r="D62" s="171"/>
      <c r="E62" s="171"/>
      <c r="F62" s="171"/>
      <c r="G62" s="224"/>
      <c r="H62" s="232"/>
      <c r="I62" s="224"/>
      <c r="J62" s="171"/>
      <c r="K62" s="319">
        <v>3849.660898725469</v>
      </c>
      <c r="L62" s="319">
        <v>972.02100000000019</v>
      </c>
      <c r="M62" s="319">
        <v>594.9767441860464</v>
      </c>
      <c r="N62" s="319">
        <v>1860.8818171741832</v>
      </c>
      <c r="O62" s="319">
        <v>382.19352831727269</v>
      </c>
      <c r="P62" s="319">
        <v>7659.7339884029689</v>
      </c>
      <c r="Q62" s="178"/>
    </row>
    <row r="63" spans="2:53" x14ac:dyDescent="0.3">
      <c r="B63" s="259" t="s">
        <v>55</v>
      </c>
      <c r="C63" s="260"/>
      <c r="D63" s="260"/>
      <c r="E63" s="260"/>
      <c r="F63" s="260"/>
      <c r="G63" s="267"/>
      <c r="H63" s="259"/>
      <c r="I63" s="267"/>
      <c r="J63" s="260"/>
      <c r="K63" s="320">
        <f>K62-Direct_Capex_Totals!Q10</f>
        <v>0</v>
      </c>
      <c r="L63" s="321">
        <f>L62-Direct_Capex_Totals!R10</f>
        <v>0</v>
      </c>
      <c r="M63" s="321">
        <f>M62-Direct_Capex_Totals!S10</f>
        <v>0</v>
      </c>
      <c r="N63" s="321">
        <f>N62-Direct_Capex_Totals!T10</f>
        <v>0</v>
      </c>
      <c r="O63" s="321">
        <f>O62-Direct_Capex_Totals!U10</f>
        <v>0</v>
      </c>
      <c r="P63" s="322">
        <f>SUM(K63:O63)</f>
        <v>0</v>
      </c>
    </row>
    <row r="64" spans="2:53" ht="28.8" x14ac:dyDescent="0.3">
      <c r="B64" s="237" t="s">
        <v>262</v>
      </c>
      <c r="C64" s="238"/>
      <c r="D64" s="292"/>
      <c r="E64" s="292"/>
      <c r="F64" s="292"/>
      <c r="G64" s="273" t="s">
        <v>302</v>
      </c>
      <c r="H64" s="341" t="s">
        <v>265</v>
      </c>
      <c r="I64" s="18" t="s">
        <v>293</v>
      </c>
      <c r="J64" s="260"/>
      <c r="K64" s="18" t="s">
        <v>135</v>
      </c>
      <c r="L64" s="18" t="s">
        <v>290</v>
      </c>
      <c r="M64" s="273" t="s">
        <v>136</v>
      </c>
      <c r="N64" s="273" t="s">
        <v>137</v>
      </c>
      <c r="O64" s="18" t="s">
        <v>60</v>
      </c>
      <c r="P64" s="18" t="s">
        <v>291</v>
      </c>
    </row>
    <row r="65" spans="2:35" x14ac:dyDescent="0.3">
      <c r="B65" s="251"/>
      <c r="C65" s="171"/>
      <c r="D65" s="171"/>
      <c r="E65" s="171"/>
      <c r="F65" s="171"/>
      <c r="G65" s="224"/>
      <c r="H65" s="232"/>
      <c r="I65" s="224"/>
      <c r="J65" s="171"/>
      <c r="K65" s="235"/>
      <c r="L65" s="235"/>
      <c r="M65" s="235"/>
      <c r="N65" s="235"/>
      <c r="O65" s="235"/>
      <c r="P65" s="224"/>
    </row>
    <row r="66" spans="2:35" x14ac:dyDescent="0.3">
      <c r="B66" s="251" t="s">
        <v>17</v>
      </c>
      <c r="C66" s="171"/>
      <c r="D66" s="171"/>
      <c r="E66" s="171"/>
      <c r="F66" s="171"/>
      <c r="G66" s="224"/>
      <c r="H66" s="232"/>
      <c r="I66" s="224"/>
      <c r="J66" s="171"/>
      <c r="K66" s="235"/>
      <c r="L66" s="235"/>
      <c r="M66" s="235"/>
      <c r="N66" s="235"/>
      <c r="O66" s="235"/>
      <c r="P66" s="224"/>
      <c r="AI66" t="s">
        <v>486</v>
      </c>
    </row>
    <row r="67" spans="2:35" x14ac:dyDescent="0.3">
      <c r="B67" s="251"/>
      <c r="C67" s="282" t="s">
        <v>328</v>
      </c>
      <c r="D67" s="282" t="str">
        <f>IF($B$3="WYK2",Unit_Rates!G60,Unit_Rates!G61)</f>
        <v>Distribution system assets</v>
      </c>
      <c r="E67" s="282" t="str">
        <f>IF($B$3="WYK2",Unit_Rates!H60,Unit_Rates!H61)</f>
        <v>Augmentation</v>
      </c>
      <c r="F67" s="171" t="str">
        <f t="shared" ref="F67:F74" si="21">D67&amp;E67</f>
        <v>Distribution system assetsAugmentation</v>
      </c>
      <c r="G67" s="283">
        <v>0</v>
      </c>
      <c r="H67" s="455">
        <f>INDEX(Feeder_Vols!$E$7:$O$16,MATCH($B$3,Feeder_Vols!$B$7:$B$15,0),MATCH(1,Feeder_Vols!$E$6:$O$6,0))</f>
        <v>7</v>
      </c>
      <c r="I67" s="224" t="s">
        <v>297</v>
      </c>
      <c r="J67" s="282"/>
      <c r="K67" s="283"/>
      <c r="L67" s="283">
        <f t="shared" ref="L67:L74" si="22">SUMPRODUCT(R$5:X$5,R67:X67)/Thousands</f>
        <v>57.467228807579595</v>
      </c>
      <c r="M67" s="283">
        <f>$H67*IF($B$3="WYK2",Unit_Rates!K60,Unit_Rates!K61)</f>
        <v>126.92341395348836</v>
      </c>
      <c r="N67" s="283">
        <f>$H67*IF($B$3="WYK2",Unit_Rates!L60,Unit_Rates!L61)</f>
        <v>0</v>
      </c>
      <c r="O67" s="283">
        <f>$H67*IF($B$3="WYK2",Unit_Rates!M60,Unit_Rates!M61)</f>
        <v>0</v>
      </c>
      <c r="P67" s="228">
        <f t="shared" ref="P67:P74" si="23">SUM(K67:O67)</f>
        <v>184.39064276106797</v>
      </c>
      <c r="Q67" s="333"/>
      <c r="R67" s="327">
        <f>$AI67*Z67*$H67</f>
        <v>103.61842105263156</v>
      </c>
      <c r="S67" s="327">
        <f t="shared" ref="S67:X74" si="24">$AI67*AA67*$H67</f>
        <v>277.28873239436615</v>
      </c>
      <c r="T67" s="327">
        <f t="shared" si="24"/>
        <v>0</v>
      </c>
      <c r="U67" s="327">
        <f t="shared" si="24"/>
        <v>0</v>
      </c>
      <c r="V67" s="327">
        <f t="shared" si="24"/>
        <v>0</v>
      </c>
      <c r="W67" s="327">
        <f t="shared" si="24"/>
        <v>0</v>
      </c>
      <c r="X67" s="327">
        <f t="shared" si="24"/>
        <v>0</v>
      </c>
      <c r="Y67" s="14">
        <f t="shared" ref="Y67:Y74" si="25">SUM(R67:X67)</f>
        <v>380.90715344699771</v>
      </c>
      <c r="Z67" s="15">
        <v>0.27203065134099613</v>
      </c>
      <c r="AA67" s="15">
        <v>0.72796934865900376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6">
        <f>SUM(Z67:AF67)</f>
        <v>0.99999999999999989</v>
      </c>
      <c r="AH67" t="b">
        <f>AG67=1</f>
        <v>1</v>
      </c>
      <c r="AI67" s="390">
        <v>54.415307635285394</v>
      </c>
    </row>
    <row r="68" spans="2:35" x14ac:dyDescent="0.3">
      <c r="B68" s="251"/>
      <c r="C68" s="171" t="s">
        <v>231</v>
      </c>
      <c r="D68" s="171" t="str">
        <f>Unit_Rates!G62</f>
        <v>Distribution system assets</v>
      </c>
      <c r="E68" s="171" t="str">
        <f>Unit_Rates!H62</f>
        <v>Augmentation</v>
      </c>
      <c r="F68" s="171" t="str">
        <f t="shared" si="21"/>
        <v>Distribution system assetsAugmentation</v>
      </c>
      <c r="G68" s="565">
        <f>Unit_Rates!I62</f>
        <v>0</v>
      </c>
      <c r="H68" s="455">
        <f>INDEX(Feeder_Vols!$E$7:$O$16,MATCH($B$3,Feeder_Vols!$B$7:$B$15,0),MATCH(2,Feeder_Vols!$E$6:$O$6,0))</f>
        <v>38</v>
      </c>
      <c r="I68" s="224" t="s">
        <v>298</v>
      </c>
      <c r="J68" s="282"/>
      <c r="K68" s="565"/>
      <c r="L68" s="565"/>
      <c r="M68" s="565"/>
      <c r="N68" s="565"/>
      <c r="O68" s="565"/>
      <c r="P68" s="566"/>
      <c r="Q68" s="28">
        <f>P68-H68*Unit_Rates!$E$62</f>
        <v>0</v>
      </c>
      <c r="R68" s="563"/>
      <c r="S68" s="563"/>
      <c r="T68" s="563"/>
      <c r="U68" s="563"/>
      <c r="V68" s="563"/>
      <c r="W68" s="563"/>
      <c r="X68" s="563"/>
      <c r="Y68" s="564">
        <f t="shared" si="25"/>
        <v>0</v>
      </c>
      <c r="Z68" s="15">
        <v>0</v>
      </c>
      <c r="AA68" s="15">
        <v>0.14071351127025331</v>
      </c>
      <c r="AB68" s="15">
        <v>0.24322448098123187</v>
      </c>
      <c r="AC68" s="15">
        <v>0</v>
      </c>
      <c r="AD68" s="15">
        <v>0.1760177164995757</v>
      </c>
      <c r="AE68" s="15">
        <v>0.44004429124893918</v>
      </c>
      <c r="AF68" s="15">
        <v>0</v>
      </c>
      <c r="AG68" s="16">
        <f t="shared" ref="AG68:AG72" si="26">SUM(Z68:AF68)</f>
        <v>1</v>
      </c>
      <c r="AH68" t="b">
        <f t="shared" ref="AH68:AH72" si="27">AG68=1</f>
        <v>1</v>
      </c>
      <c r="AI68" s="562"/>
    </row>
    <row r="69" spans="2:35" x14ac:dyDescent="0.3">
      <c r="B69" s="251"/>
      <c r="C69" s="171" t="s">
        <v>235</v>
      </c>
      <c r="D69" s="171" t="str">
        <f>Unit_Rates!G63</f>
        <v>Distribution system assets</v>
      </c>
      <c r="E69" s="171" t="str">
        <f>Unit_Rates!H63</f>
        <v>Augmentation</v>
      </c>
      <c r="F69" s="171" t="str">
        <f t="shared" si="21"/>
        <v>Distribution system assetsAugmentation</v>
      </c>
      <c r="G69" s="565">
        <f>Unit_Rates!I63</f>
        <v>0</v>
      </c>
      <c r="H69" s="455">
        <f>INDEX(Feeder_Vols!$E$7:$O$16,MATCH($B$3,Feeder_Vols!$B$7:$B$15,0),MATCH(3,Feeder_Vols!$E$6:$O$6,0))</f>
        <v>3</v>
      </c>
      <c r="I69" s="224" t="s">
        <v>294</v>
      </c>
      <c r="J69" s="282"/>
      <c r="K69" s="565"/>
      <c r="L69" s="565"/>
      <c r="M69" s="565"/>
      <c r="N69" s="565"/>
      <c r="O69" s="565"/>
      <c r="P69" s="566"/>
      <c r="Q69" s="28">
        <f>P69-H69*Unit_Rates!$E$63</f>
        <v>0</v>
      </c>
      <c r="R69" s="563"/>
      <c r="S69" s="563"/>
      <c r="T69" s="563"/>
      <c r="U69" s="563"/>
      <c r="V69" s="563"/>
      <c r="W69" s="563"/>
      <c r="X69" s="563"/>
      <c r="Y69" s="564">
        <f t="shared" si="25"/>
        <v>0</v>
      </c>
      <c r="Z69" s="15">
        <v>0</v>
      </c>
      <c r="AA69" s="15">
        <v>0.11317869701862385</v>
      </c>
      <c r="AB69" s="15">
        <v>0.25101832039696309</v>
      </c>
      <c r="AC69" s="15">
        <v>0</v>
      </c>
      <c r="AD69" s="15">
        <v>0.18165799502411806</v>
      </c>
      <c r="AE69" s="15">
        <v>0.45414498756029509</v>
      </c>
      <c r="AF69" s="15">
        <v>0</v>
      </c>
      <c r="AG69" s="16">
        <f t="shared" si="26"/>
        <v>1</v>
      </c>
      <c r="AH69" t="b">
        <f t="shared" si="27"/>
        <v>1</v>
      </c>
      <c r="AI69" s="562"/>
    </row>
    <row r="70" spans="2:35" x14ac:dyDescent="0.3">
      <c r="B70" s="251"/>
      <c r="C70" s="171" t="s">
        <v>237</v>
      </c>
      <c r="D70" s="171" t="str">
        <f>Unit_Rates!G64</f>
        <v>Distribution system assets</v>
      </c>
      <c r="E70" s="171" t="str">
        <f>Unit_Rates!H64</f>
        <v>Augmentation</v>
      </c>
      <c r="F70" s="171" t="str">
        <f t="shared" si="21"/>
        <v>Distribution system assetsAugmentation</v>
      </c>
      <c r="G70" s="565">
        <f>Unit_Rates!I64</f>
        <v>0</v>
      </c>
      <c r="H70" s="455">
        <f>INDEX(Feeder_Vols!$E$7:$O$16,MATCH($B$3,Feeder_Vols!$B$7:$B$15,0),MATCH(4,Feeder_Vols!$E$6:$O$6,0))</f>
        <v>22</v>
      </c>
      <c r="I70" s="265" t="s">
        <v>299</v>
      </c>
      <c r="J70" s="282"/>
      <c r="K70" s="565"/>
      <c r="L70" s="565"/>
      <c r="M70" s="565"/>
      <c r="N70" s="565"/>
      <c r="O70" s="565"/>
      <c r="P70" s="566"/>
      <c r="Q70" s="28">
        <f>P70-H70*Unit_Rates!$E$64</f>
        <v>0</v>
      </c>
      <c r="R70" s="563"/>
      <c r="S70" s="563"/>
      <c r="T70" s="563"/>
      <c r="U70" s="563"/>
      <c r="V70" s="563"/>
      <c r="W70" s="563"/>
      <c r="X70" s="563"/>
      <c r="Y70" s="564">
        <f t="shared" si="25"/>
        <v>0</v>
      </c>
      <c r="Z70" s="15">
        <v>0</v>
      </c>
      <c r="AA70" s="15">
        <v>0.17737095137749856</v>
      </c>
      <c r="AB70" s="15">
        <v>0.23284844579258887</v>
      </c>
      <c r="AC70" s="15">
        <v>0</v>
      </c>
      <c r="AD70" s="15">
        <v>0.16850874366568935</v>
      </c>
      <c r="AE70" s="15">
        <v>0.42127185916422333</v>
      </c>
      <c r="AF70" s="15">
        <v>0</v>
      </c>
      <c r="AG70" s="16">
        <f t="shared" si="26"/>
        <v>1</v>
      </c>
      <c r="AH70" t="b">
        <f t="shared" si="27"/>
        <v>1</v>
      </c>
      <c r="AI70" s="562"/>
    </row>
    <row r="71" spans="2:35" x14ac:dyDescent="0.3">
      <c r="B71" s="251"/>
      <c r="C71" s="171" t="s">
        <v>233</v>
      </c>
      <c r="D71" s="171" t="str">
        <f>Unit_Rates!G65</f>
        <v>Distribution system assets</v>
      </c>
      <c r="E71" s="171" t="str">
        <f>Unit_Rates!H65</f>
        <v>Augmentation</v>
      </c>
      <c r="F71" s="171" t="str">
        <f t="shared" si="21"/>
        <v>Distribution system assetsAugmentation</v>
      </c>
      <c r="G71" s="283">
        <f>Unit_Rates!I65</f>
        <v>17.106573023255812</v>
      </c>
      <c r="H71" s="455">
        <f>INDEX(Feeder_Vols!$E$7:$O$16,MATCH($B$3,Feeder_Vols!$B$7:$B$15,0),MATCH(5,Feeder_Vols!$E$6:$O$6,0))</f>
        <v>31</v>
      </c>
      <c r="I71" s="265" t="s">
        <v>300</v>
      </c>
      <c r="J71" s="282"/>
      <c r="K71" s="283">
        <f t="shared" ref="K71" si="28">G71*H71</f>
        <v>530.30376372093019</v>
      </c>
      <c r="L71" s="283">
        <f t="shared" si="22"/>
        <v>101.10712209494115</v>
      </c>
      <c r="M71" s="283">
        <f>$H71*Unit_Rates!K65</f>
        <v>0</v>
      </c>
      <c r="N71" s="283">
        <f>$H71*Unit_Rates!L65</f>
        <v>936.31879258292383</v>
      </c>
      <c r="O71" s="283">
        <f>$H71*Unit_Rates!M65</f>
        <v>118.73312335358774</v>
      </c>
      <c r="P71" s="228">
        <f t="shared" si="23"/>
        <v>1686.4628017523828</v>
      </c>
      <c r="Q71" s="28">
        <f>P71-H71*Unit_Rates!$E$65</f>
        <v>2.4367400138964967</v>
      </c>
      <c r="R71" s="327">
        <f t="shared" ref="R71:R74" si="29">$AI71*Z71*$H71</f>
        <v>0</v>
      </c>
      <c r="S71" s="327">
        <f t="shared" si="24"/>
        <v>43.399999999999991</v>
      </c>
      <c r="T71" s="327">
        <f t="shared" si="24"/>
        <v>165.1335165224676</v>
      </c>
      <c r="U71" s="327">
        <f t="shared" si="24"/>
        <v>0</v>
      </c>
      <c r="V71" s="327">
        <f t="shared" si="24"/>
        <v>119.50451853599628</v>
      </c>
      <c r="W71" s="327">
        <f t="shared" si="24"/>
        <v>298.76129633999068</v>
      </c>
      <c r="X71" s="327">
        <f t="shared" si="24"/>
        <v>0</v>
      </c>
      <c r="Y71" s="14">
        <f t="shared" si="25"/>
        <v>626.79933139845457</v>
      </c>
      <c r="Z71" s="15">
        <v>0</v>
      </c>
      <c r="AA71" s="15">
        <v>6.9240660967474346E-2</v>
      </c>
      <c r="AB71" s="15">
        <v>0.26345515741702774</v>
      </c>
      <c r="AC71" s="15">
        <v>0</v>
      </c>
      <c r="AD71" s="15">
        <v>0.19065833760442799</v>
      </c>
      <c r="AE71" s="15">
        <v>0.47664584401106991</v>
      </c>
      <c r="AF71" s="15">
        <v>0</v>
      </c>
      <c r="AG71" s="16">
        <f t="shared" si="26"/>
        <v>1</v>
      </c>
      <c r="AH71" t="b">
        <f t="shared" si="27"/>
        <v>1</v>
      </c>
      <c r="AI71" s="5">
        <v>20.21933327091789</v>
      </c>
    </row>
    <row r="72" spans="2:35" x14ac:dyDescent="0.3">
      <c r="B72" s="251"/>
      <c r="C72" s="282" t="s">
        <v>344</v>
      </c>
      <c r="D72" s="282" t="str">
        <f>Unit_Rates!G66</f>
        <v>Distribution system assets</v>
      </c>
      <c r="E72" s="282" t="str">
        <f>Unit_Rates!H66</f>
        <v>Augmentation</v>
      </c>
      <c r="F72" s="171" t="str">
        <f t="shared" si="21"/>
        <v>Distribution system assetsAugmentation</v>
      </c>
      <c r="G72" s="283">
        <f>Unit_Rates!I66</f>
        <v>0</v>
      </c>
      <c r="H72" s="455">
        <f>INDEX(Feeder_Vols!$E$7:$O$16,MATCH($B$3,Feeder_Vols!$B$7:$B$15,0),MATCH(1,Feeder_Vols!$E$6:$O$6,0))</f>
        <v>7</v>
      </c>
      <c r="I72" s="224" t="s">
        <v>297</v>
      </c>
      <c r="J72" s="282"/>
      <c r="K72" s="283"/>
      <c r="L72" s="283">
        <f t="shared" si="22"/>
        <v>42.323369565217433</v>
      </c>
      <c r="M72" s="283">
        <f>$H72*Unit_Rates!K66</f>
        <v>0</v>
      </c>
      <c r="N72" s="283">
        <f>$H72*Unit_Rates!L66</f>
        <v>54.474863498483295</v>
      </c>
      <c r="O72" s="283">
        <f>$H72*Unit_Rates!M66</f>
        <v>0</v>
      </c>
      <c r="P72" s="228">
        <f t="shared" si="23"/>
        <v>96.798233063700735</v>
      </c>
      <c r="Q72" s="28">
        <f>P72-H72*Unit_Rates!$E$66</f>
        <v>-0.11722699696657912</v>
      </c>
      <c r="R72" s="327">
        <f t="shared" si="29"/>
        <v>0</v>
      </c>
      <c r="S72" s="327">
        <f t="shared" si="24"/>
        <v>0</v>
      </c>
      <c r="T72" s="327">
        <f t="shared" si="24"/>
        <v>0</v>
      </c>
      <c r="U72" s="327">
        <f t="shared" si="24"/>
        <v>0</v>
      </c>
      <c r="V72" s="327">
        <f t="shared" si="24"/>
        <v>0</v>
      </c>
      <c r="W72" s="327">
        <f t="shared" si="24"/>
        <v>0</v>
      </c>
      <c r="X72" s="327">
        <f t="shared" si="24"/>
        <v>324.78695015478337</v>
      </c>
      <c r="Y72" s="14">
        <f t="shared" si="25"/>
        <v>324.78695015478337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1</v>
      </c>
      <c r="AG72" s="16">
        <f t="shared" si="26"/>
        <v>1</v>
      </c>
      <c r="AH72" t="b">
        <f t="shared" si="27"/>
        <v>1</v>
      </c>
      <c r="AI72" s="5">
        <v>46.398135736397627</v>
      </c>
    </row>
    <row r="73" spans="2:35" x14ac:dyDescent="0.3">
      <c r="B73" s="251"/>
      <c r="C73" s="348" t="s">
        <v>342</v>
      </c>
      <c r="D73" s="363" t="str">
        <f>Unit_Rates!G67</f>
        <v>Distribution system assets</v>
      </c>
      <c r="E73" s="363" t="str">
        <f>Unit_Rates!H67</f>
        <v>Replacement</v>
      </c>
      <c r="F73" s="171" t="str">
        <f t="shared" si="21"/>
        <v>Distribution system assetsReplacement</v>
      </c>
      <c r="G73" s="283">
        <f>Unit_Rates!I67</f>
        <v>0</v>
      </c>
      <c r="H73" s="455">
        <f>INDEX(Feeder_Vols!$E$7:$O$16,MATCH($B$3,Feeder_Vols!$B$7:$B$15,0),MATCH(1,Feeder_Vols!$E$6:$N$6,0))+INDEX(Feeder_Vols!$E$7:$N$16,MATCH($B$3,Feeder_Vols!$B$7:$B$15,0),MATCH(6,Feeder_Vols!$E$6:$O$6,0))</f>
        <v>61</v>
      </c>
      <c r="I73" s="224" t="s">
        <v>346</v>
      </c>
      <c r="J73" s="282"/>
      <c r="K73" s="283"/>
      <c r="L73" s="283">
        <f t="shared" si="22"/>
        <v>0</v>
      </c>
      <c r="M73" s="283">
        <f>$H73*Unit_Rates!K67</f>
        <v>0</v>
      </c>
      <c r="N73" s="283">
        <f>$H73*Unit_Rates!L67</f>
        <v>31.756883720930229</v>
      </c>
      <c r="O73" s="283">
        <f>$H73*Unit_Rates!M67</f>
        <v>0</v>
      </c>
      <c r="P73" s="228">
        <f t="shared" si="23"/>
        <v>31.756883720930229</v>
      </c>
      <c r="Q73" s="28">
        <f>P73-H73*Unit_Rates!$E$67</f>
        <v>0</v>
      </c>
      <c r="R73" s="330"/>
      <c r="S73" s="330"/>
      <c r="T73" s="330"/>
      <c r="U73" s="330"/>
      <c r="V73" s="330"/>
      <c r="W73" s="330"/>
      <c r="X73" s="330"/>
      <c r="Y73" s="14">
        <f t="shared" si="25"/>
        <v>0</v>
      </c>
      <c r="Z73" s="15"/>
      <c r="AA73" s="15"/>
      <c r="AB73" s="15"/>
      <c r="AC73" s="15"/>
      <c r="AD73" s="15"/>
      <c r="AE73" s="15"/>
      <c r="AF73" s="15"/>
      <c r="AI73" s="5">
        <v>0</v>
      </c>
    </row>
    <row r="74" spans="2:35" x14ac:dyDescent="0.3">
      <c r="B74" s="251"/>
      <c r="C74" s="348" t="s">
        <v>418</v>
      </c>
      <c r="D74" s="363" t="str">
        <f>Unit_Rates!G68</f>
        <v>Distribution system assets</v>
      </c>
      <c r="E74" s="363" t="str">
        <f>Unit_Rates!H68</f>
        <v>Replacement</v>
      </c>
      <c r="F74" s="171" t="str">
        <f t="shared" si="21"/>
        <v>Distribution system assetsReplacement</v>
      </c>
      <c r="G74" s="283">
        <f>Unit_Rates!I68</f>
        <v>0</v>
      </c>
      <c r="H74" s="455">
        <f>INDEX(Feeder_Vols!$E$7:$O$16,MATCH($B$3,Feeder_Vols!$B$7:$B$15,0),MATCH(7,Feeder_Vols!$E$6:$O$6,0))</f>
        <v>34</v>
      </c>
      <c r="I74" s="224" t="s">
        <v>343</v>
      </c>
      <c r="J74" s="282"/>
      <c r="K74" s="342"/>
      <c r="L74" s="342">
        <f t="shared" si="22"/>
        <v>5.3472517226538221</v>
      </c>
      <c r="M74" s="342">
        <f>$H74*Unit_Rates!K68</f>
        <v>0</v>
      </c>
      <c r="N74" s="342">
        <f>$H74*Unit_Rates!L68</f>
        <v>99.302828390697641</v>
      </c>
      <c r="O74" s="342">
        <f>$H74*Unit_Rates!M68</f>
        <v>0</v>
      </c>
      <c r="P74" s="229">
        <f t="shared" si="23"/>
        <v>104.65008011335146</v>
      </c>
      <c r="Q74" s="28">
        <f>P74-H74*Unit_Rates!$E$68</f>
        <v>0.26088444117827692</v>
      </c>
      <c r="R74" s="327">
        <f t="shared" si="29"/>
        <v>0</v>
      </c>
      <c r="S74" s="327">
        <f t="shared" si="24"/>
        <v>0</v>
      </c>
      <c r="T74" s="327">
        <f t="shared" si="24"/>
        <v>0</v>
      </c>
      <c r="U74" s="327">
        <f t="shared" si="24"/>
        <v>0</v>
      </c>
      <c r="V74" s="327">
        <f t="shared" si="24"/>
        <v>0</v>
      </c>
      <c r="W74" s="327">
        <f t="shared" si="24"/>
        <v>0</v>
      </c>
      <c r="X74" s="327">
        <f t="shared" si="24"/>
        <v>41.03448275862069</v>
      </c>
      <c r="Y74" s="14">
        <f t="shared" si="25"/>
        <v>41.03448275862069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1</v>
      </c>
      <c r="AG74" s="16">
        <f>SUM(Z74:AF74)</f>
        <v>1</v>
      </c>
      <c r="AH74" t="b">
        <f>AG74=1</f>
        <v>1</v>
      </c>
      <c r="AI74" s="5">
        <v>1.2068965517241379</v>
      </c>
    </row>
    <row r="75" spans="2:35" x14ac:dyDescent="0.3">
      <c r="B75" s="251"/>
      <c r="C75" s="236" t="s">
        <v>301</v>
      </c>
      <c r="D75" s="236"/>
      <c r="E75" s="236"/>
      <c r="F75" s="236"/>
      <c r="G75" s="268"/>
      <c r="H75" s="231"/>
      <c r="I75" s="224"/>
      <c r="J75" s="171"/>
      <c r="K75" s="268">
        <v>578.29855441860457</v>
      </c>
      <c r="L75" s="268">
        <v>239.43922317367344</v>
      </c>
      <c r="M75" s="268">
        <v>126.92341395348836</v>
      </c>
      <c r="N75" s="268">
        <v>1517.1594225699716</v>
      </c>
      <c r="O75" s="268">
        <v>154.73440036352602</v>
      </c>
      <c r="P75" s="268">
        <v>2616.5550144792637</v>
      </c>
      <c r="Q75" s="28"/>
      <c r="R75" s="326"/>
      <c r="S75" s="326"/>
      <c r="T75" s="326"/>
      <c r="U75" s="326"/>
      <c r="V75" s="326"/>
      <c r="W75" s="326"/>
      <c r="X75" s="326"/>
      <c r="AI75" s="5"/>
    </row>
    <row r="76" spans="2:35" x14ac:dyDescent="0.3">
      <c r="B76" s="251" t="s">
        <v>295</v>
      </c>
      <c r="C76" s="171"/>
      <c r="D76" s="171"/>
      <c r="E76" s="171"/>
      <c r="F76" s="171"/>
      <c r="G76" s="228"/>
      <c r="H76" s="231"/>
      <c r="I76" s="224"/>
      <c r="J76" s="171"/>
      <c r="K76" s="268"/>
      <c r="L76" s="268"/>
      <c r="M76" s="268"/>
      <c r="N76" s="268"/>
      <c r="O76" s="268"/>
      <c r="P76" s="228"/>
      <c r="Q76" s="28"/>
      <c r="R76" s="326"/>
      <c r="S76" s="326"/>
      <c r="T76" s="326"/>
      <c r="U76" s="326"/>
      <c r="V76" s="326"/>
      <c r="W76" s="326"/>
      <c r="X76" s="326"/>
      <c r="AI76" s="5"/>
    </row>
    <row r="77" spans="2:35" x14ac:dyDescent="0.3">
      <c r="B77" s="251"/>
      <c r="C77" s="171" t="s">
        <v>264</v>
      </c>
      <c r="D77" s="171" t="str">
        <f>Unit_Rates!G76</f>
        <v>Distribution system assets</v>
      </c>
      <c r="E77" s="171" t="str">
        <f>Unit_Rates!H76</f>
        <v>Replacement</v>
      </c>
      <c r="F77" s="171" t="str">
        <f t="shared" ref="F77" si="30">D77&amp;E77</f>
        <v>Distribution system assetsReplacement</v>
      </c>
      <c r="G77" s="228">
        <f>Unit_Rates!I76</f>
        <v>0.27269767441860471</v>
      </c>
      <c r="H77" s="456">
        <f>INDEX(Feeder_Vols!$B$21:$D$29,MATCH($B$3,Feeder_Vols!$B$21:$B$29,0),3)</f>
        <v>626.0428939090649</v>
      </c>
      <c r="I77" s="266" t="s">
        <v>292</v>
      </c>
      <c r="J77" s="171"/>
      <c r="K77" s="268">
        <f>G77*H77</f>
        <v>170.72044125529527</v>
      </c>
      <c r="L77" s="268">
        <f>SUMPRODUCT(R$5:X$5,R77:X77)/Thousands</f>
        <v>85.233406820831306</v>
      </c>
      <c r="M77" s="268">
        <f>$H77*Unit_Rates!K76</f>
        <v>0</v>
      </c>
      <c r="N77" s="268">
        <f>$H77*Unit_Rates!L76</f>
        <v>327.07998408359055</v>
      </c>
      <c r="O77" s="268">
        <f>$H77*Unit_Rates!M76</f>
        <v>0</v>
      </c>
      <c r="P77" s="228">
        <f>SUM(K77:O77)</f>
        <v>583.03383215971712</v>
      </c>
      <c r="Q77" s="28">
        <f>P77-H77*Unit_Rates!$E$76</f>
        <v>-0.2360789423313463</v>
      </c>
      <c r="R77" s="327">
        <f t="shared" ref="R77:X77" si="31">$AI77*Z77*$H77</f>
        <v>15.18318222272211</v>
      </c>
      <c r="S77" s="327">
        <f t="shared" si="31"/>
        <v>0</v>
      </c>
      <c r="T77" s="327">
        <f t="shared" si="31"/>
        <v>189.52994329366538</v>
      </c>
      <c r="U77" s="327">
        <f t="shared" si="31"/>
        <v>0</v>
      </c>
      <c r="V77" s="327">
        <f t="shared" si="31"/>
        <v>0</v>
      </c>
      <c r="W77" s="327">
        <f t="shared" si="31"/>
        <v>0</v>
      </c>
      <c r="X77" s="327">
        <f t="shared" si="31"/>
        <v>385.4336775630407</v>
      </c>
      <c r="Y77" s="14">
        <f t="shared" ref="Y77:Y81" si="32">SUM(R77:X77)</f>
        <v>590.1468030794282</v>
      </c>
      <c r="Z77" s="15">
        <v>2.5727805595989302E-2</v>
      </c>
      <c r="AA77" s="15">
        <v>0</v>
      </c>
      <c r="AB77" s="15">
        <v>0.32115728206047139</v>
      </c>
      <c r="AC77" s="15">
        <v>0</v>
      </c>
      <c r="AD77" s="15">
        <v>0</v>
      </c>
      <c r="AE77" s="15">
        <v>0</v>
      </c>
      <c r="AF77" s="15">
        <v>0.65311491234353936</v>
      </c>
      <c r="AG77" s="16">
        <f>SUM(Z77:AF77)</f>
        <v>1</v>
      </c>
      <c r="AH77" t="b">
        <f>AG77=1</f>
        <v>1</v>
      </c>
      <c r="AI77" s="5">
        <v>0.94266193070973381</v>
      </c>
    </row>
    <row r="78" spans="2:35" x14ac:dyDescent="0.3">
      <c r="B78" s="251"/>
      <c r="C78" s="171" t="s">
        <v>511</v>
      </c>
      <c r="D78" s="171" t="str">
        <f>Unit_Rates!G77</f>
        <v>Distribution system assets</v>
      </c>
      <c r="E78" s="171" t="str">
        <f>Unit_Rates!H77</f>
        <v>Replacement</v>
      </c>
      <c r="F78" s="171" t="str">
        <f t="shared" ref="F78:F81" si="33">D78&amp;E78</f>
        <v>Distribution system assetsReplacement</v>
      </c>
      <c r="G78" s="268">
        <f>INDEX(Unit_Rates!$C$75:$K$80,MATCH($C78,Unit_Rates!$D$75:$D$80,0),7)</f>
        <v>0</v>
      </c>
      <c r="H78" s="456">
        <f>INDEX(Feeder_Vols!$H$21:$H$29,MATCH($B$3,Feeder_Vols!$G$21:$G$29,0),1)</f>
        <v>115</v>
      </c>
      <c r="I78" s="266" t="s">
        <v>292</v>
      </c>
      <c r="J78" s="171"/>
      <c r="K78" s="268">
        <f>G78*H78</f>
        <v>0</v>
      </c>
      <c r="L78" s="268">
        <f>SUMPRODUCT(R$5:X$5,R78:X78)/Thousands</f>
        <v>33.680073126142624</v>
      </c>
      <c r="M78" s="268">
        <f>$H78*Unit_Rates!K82</f>
        <v>0</v>
      </c>
      <c r="N78" s="268">
        <f>$H78*Unit_Rates!$L$77</f>
        <v>0</v>
      </c>
      <c r="O78" s="268">
        <f>$H78*Unit_Rates!M82</f>
        <v>0</v>
      </c>
      <c r="P78" s="228">
        <f>SUM(K78:O78)</f>
        <v>33.680073126142624</v>
      </c>
      <c r="Q78" s="28">
        <f>P78-H78*Unit_Rates!$E$77</f>
        <v>-0.1845677578352749</v>
      </c>
      <c r="R78" s="327">
        <f t="shared" ref="R78" si="34">$AI78*Z78*$H78</f>
        <v>0</v>
      </c>
      <c r="S78" s="327">
        <f t="shared" ref="S78" si="35">$AI78*AA78*$H78</f>
        <v>0</v>
      </c>
      <c r="T78" s="327">
        <f t="shared" ref="T78" si="36">$AI78*AB78*$H78</f>
        <v>0</v>
      </c>
      <c r="U78" s="327">
        <f t="shared" ref="U78" si="37">$AI78*AC78*$H78</f>
        <v>0</v>
      </c>
      <c r="V78" s="327">
        <f t="shared" ref="V78" si="38">$AI78*AD78*$H78</f>
        <v>212.54837317520355</v>
      </c>
      <c r="W78" s="327">
        <f t="shared" ref="W78" si="39">$AI78*AE78*$H78</f>
        <v>0</v>
      </c>
      <c r="X78" s="327">
        <f t="shared" ref="X78" si="40">$AI78*AF78*$H78</f>
        <v>0</v>
      </c>
      <c r="Y78" s="14">
        <f t="shared" si="32"/>
        <v>212.54837317520355</v>
      </c>
      <c r="Z78" s="15"/>
      <c r="AA78" s="15"/>
      <c r="AB78" s="15"/>
      <c r="AC78" s="15"/>
      <c r="AD78" s="15">
        <v>1</v>
      </c>
      <c r="AE78" s="15"/>
      <c r="AF78" s="15"/>
      <c r="AG78" s="16">
        <f>SUM(Z78:AF78)</f>
        <v>1</v>
      </c>
      <c r="AH78" t="b">
        <f>AG78=1</f>
        <v>1</v>
      </c>
      <c r="AI78" s="46">
        <v>1.8482467232626396</v>
      </c>
    </row>
    <row r="79" spans="2:35" x14ac:dyDescent="0.3">
      <c r="B79" s="251"/>
      <c r="C79" s="171" t="s">
        <v>512</v>
      </c>
      <c r="D79" s="171" t="str">
        <f>Unit_Rates!G78</f>
        <v>Distribution system assets</v>
      </c>
      <c r="E79" s="171" t="str">
        <f>Unit_Rates!H78</f>
        <v>Replacement</v>
      </c>
      <c r="F79" s="171" t="str">
        <f t="shared" si="33"/>
        <v>Distribution system assetsReplacement</v>
      </c>
      <c r="G79" s="268">
        <f>INDEX(Unit_Rates!$C$75:$K$80,MATCH($C79,Unit_Rates!$D$75:$D$80,0),7)</f>
        <v>0</v>
      </c>
      <c r="H79" s="456">
        <f>INDEX(Feeder_Vols!$I$21:$I$29,MATCH($B$3,Feeder_Vols!$G$21:$G$29,0),1)</f>
        <v>30</v>
      </c>
      <c r="I79" s="266" t="s">
        <v>292</v>
      </c>
      <c r="J79" s="171"/>
      <c r="K79" s="268">
        <f t="shared" ref="K79:K81" si="41">G79*H79</f>
        <v>0</v>
      </c>
      <c r="L79" s="268">
        <f>SUMPRODUCT(R$5:X$5,R79:X79)/Thousands</f>
        <v>292.870201096892</v>
      </c>
      <c r="M79" s="268"/>
      <c r="N79" s="268">
        <f>$H79*Unit_Rates!$L$78</f>
        <v>0</v>
      </c>
      <c r="O79" s="268"/>
      <c r="P79" s="228">
        <f t="shared" ref="P79:P81" si="42">SUM(K79:O79)</f>
        <v>292.870201096892</v>
      </c>
      <c r="Q79" s="28">
        <f>P79-H79*Unit_Rates!$E$78</f>
        <v>-1.6049370246549302</v>
      </c>
      <c r="R79" s="327">
        <f t="shared" ref="R79" si="43">$AI79*Z79*$H79</f>
        <v>0</v>
      </c>
      <c r="S79" s="327">
        <f t="shared" ref="S79" si="44">$AI79*AA79*$H79</f>
        <v>0</v>
      </c>
      <c r="T79" s="327">
        <f t="shared" ref="T79" si="45">$AI79*AB79*$H79</f>
        <v>0</v>
      </c>
      <c r="U79" s="327">
        <f t="shared" ref="U79" si="46">$AI79*AC79*$H79</f>
        <v>0</v>
      </c>
      <c r="V79" s="327">
        <f t="shared" ref="V79" si="47">$AI79*AD79*$H79</f>
        <v>1848.2467232626373</v>
      </c>
      <c r="W79" s="327">
        <f t="shared" ref="W79" si="48">$AI79*AE79*$H79</f>
        <v>0</v>
      </c>
      <c r="X79" s="327">
        <f t="shared" ref="X79" si="49">$AI79*AF79*$H79</f>
        <v>0</v>
      </c>
      <c r="Y79" s="14">
        <f t="shared" si="32"/>
        <v>1848.2467232626373</v>
      </c>
      <c r="Z79" s="15"/>
      <c r="AA79" s="15"/>
      <c r="AB79" s="15"/>
      <c r="AC79" s="15"/>
      <c r="AD79" s="15">
        <v>1</v>
      </c>
      <c r="AE79" s="15"/>
      <c r="AF79" s="15"/>
      <c r="AG79" s="16">
        <f>SUM(Z79:AF79)</f>
        <v>1</v>
      </c>
      <c r="AH79" t="b">
        <f>AG79=1</f>
        <v>1</v>
      </c>
      <c r="AI79" s="46">
        <v>61.608224108754577</v>
      </c>
    </row>
    <row r="80" spans="2:35" x14ac:dyDescent="0.3">
      <c r="B80" s="251"/>
      <c r="C80" s="171" t="s">
        <v>513</v>
      </c>
      <c r="D80" s="171" t="str">
        <f>Unit_Rates!G79</f>
        <v>Distribution system assets</v>
      </c>
      <c r="E80" s="171" t="str">
        <f>Unit_Rates!H79</f>
        <v>Replacement</v>
      </c>
      <c r="F80" s="171" t="str">
        <f t="shared" si="33"/>
        <v>Distribution system assetsReplacement</v>
      </c>
      <c r="G80" s="268">
        <f>INDEX(Unit_Rates!$C$75:$K$80,MATCH($C80,Unit_Rates!$D$75:$D$80,0),7)</f>
        <v>4.9079189686924494</v>
      </c>
      <c r="H80" s="456">
        <f>INDEX(Feeder_Vols!$J$21:$J$29,MATCH($B$3,Feeder_Vols!$G$21:$G$29,0),1)</f>
        <v>12</v>
      </c>
      <c r="I80" s="266" t="s">
        <v>292</v>
      </c>
      <c r="J80" s="171"/>
      <c r="K80" s="268">
        <f t="shared" si="41"/>
        <v>58.895027624309392</v>
      </c>
      <c r="L80" s="268">
        <f>SUMPRODUCT(R$5:X$5,R80:X80)/Thousands</f>
        <v>0</v>
      </c>
      <c r="M80" s="268"/>
      <c r="N80" s="268">
        <f>$H80*Unit_Rates!$L$79</f>
        <v>191.40883977900552</v>
      </c>
      <c r="O80" s="268"/>
      <c r="P80" s="228">
        <f t="shared" si="42"/>
        <v>250.30386740331491</v>
      </c>
      <c r="Q80" s="28">
        <f>P80-H80*Unit_Rates!$E$79</f>
        <v>0</v>
      </c>
      <c r="R80" s="330"/>
      <c r="S80" s="330"/>
      <c r="T80" s="330"/>
      <c r="U80" s="330"/>
      <c r="V80" s="330"/>
      <c r="W80" s="330"/>
      <c r="X80" s="330"/>
      <c r="Y80" s="14">
        <f t="shared" si="32"/>
        <v>0</v>
      </c>
      <c r="Z80" s="15"/>
      <c r="AA80" s="15"/>
      <c r="AB80" s="15"/>
      <c r="AC80" s="15"/>
      <c r="AD80" s="15"/>
      <c r="AE80" s="15"/>
      <c r="AF80" s="15"/>
      <c r="AG80" s="16"/>
      <c r="AI80" s="5"/>
    </row>
    <row r="81" spans="2:35" x14ac:dyDescent="0.3">
      <c r="B81" s="251"/>
      <c r="C81" s="171" t="s">
        <v>539</v>
      </c>
      <c r="D81" s="171" t="str">
        <f>Unit_Rates!G80</f>
        <v>Distribution system assets</v>
      </c>
      <c r="E81" s="171" t="str">
        <f>Unit_Rates!H80</f>
        <v>Replacement</v>
      </c>
      <c r="F81" s="171" t="str">
        <f t="shared" si="33"/>
        <v>Distribution system assetsReplacement</v>
      </c>
      <c r="G81" s="268">
        <f>INDEX(Unit_Rates!$C$75:$K$80,MATCH($C81,Unit_Rates!$D$75:$D$80,0),7)</f>
        <v>9.8158379373848997E-2</v>
      </c>
      <c r="H81" s="456">
        <f>INDEX(Feeder_Vols!$K$21:$K$29,MATCH($B$3,Feeder_Vols!$G$21:$G$29,0),1)</f>
        <v>3966.76</v>
      </c>
      <c r="I81" s="266" t="s">
        <v>510</v>
      </c>
      <c r="J81" s="171"/>
      <c r="K81" s="268">
        <f t="shared" si="41"/>
        <v>389.37073296500927</v>
      </c>
      <c r="L81" s="268">
        <f>SUMPRODUCT(R$5:X$5,R81:X81)/Thousands</f>
        <v>0</v>
      </c>
      <c r="M81" s="268"/>
      <c r="N81" s="268">
        <f>$H81*Unit_Rates!$L$80</f>
        <v>564.04244377311227</v>
      </c>
      <c r="O81" s="268"/>
      <c r="P81" s="228">
        <f t="shared" si="42"/>
        <v>953.41317673812159</v>
      </c>
      <c r="Q81" s="28">
        <f>P81-H81*Unit_Rates!$E$80</f>
        <v>0</v>
      </c>
      <c r="R81" s="330"/>
      <c r="S81" s="330"/>
      <c r="T81" s="330"/>
      <c r="U81" s="330"/>
      <c r="V81" s="330"/>
      <c r="W81" s="330"/>
      <c r="X81" s="330"/>
      <c r="Y81" s="14">
        <f t="shared" si="32"/>
        <v>0</v>
      </c>
      <c r="Z81" s="15"/>
      <c r="AA81" s="15"/>
      <c r="AB81" s="15"/>
      <c r="AC81" s="15"/>
      <c r="AD81" s="15"/>
      <c r="AE81" s="15"/>
      <c r="AF81" s="15"/>
      <c r="AG81" s="16"/>
      <c r="AI81" s="5"/>
    </row>
    <row r="82" spans="2:35" x14ac:dyDescent="0.3">
      <c r="B82" s="251" t="s">
        <v>46</v>
      </c>
      <c r="C82" s="171"/>
      <c r="D82" s="171"/>
      <c r="E82" s="171"/>
      <c r="F82" s="171"/>
      <c r="G82" s="228"/>
      <c r="H82" s="231"/>
      <c r="I82" s="224"/>
      <c r="J82" s="171"/>
      <c r="K82" s="268"/>
      <c r="L82" s="268"/>
      <c r="M82" s="268"/>
      <c r="N82" s="268"/>
      <c r="O82" s="268"/>
      <c r="P82" s="228"/>
      <c r="Q82" s="28"/>
      <c r="R82" s="329"/>
      <c r="S82" s="326"/>
      <c r="T82" s="326"/>
      <c r="U82" s="326"/>
      <c r="V82" s="326"/>
      <c r="W82" s="326"/>
      <c r="X82" s="326"/>
      <c r="Z82" s="15"/>
      <c r="AA82" s="15"/>
      <c r="AB82" s="15"/>
      <c r="AC82" s="15"/>
      <c r="AD82" s="15"/>
      <c r="AE82" s="15"/>
      <c r="AF82" s="15"/>
      <c r="AI82" s="5"/>
    </row>
    <row r="83" spans="2:35" x14ac:dyDescent="0.3">
      <c r="B83" s="251"/>
      <c r="C83" s="171" t="s">
        <v>221</v>
      </c>
      <c r="D83" s="171" t="str">
        <f>Unit_Rates!G86</f>
        <v>Distribution system assets</v>
      </c>
      <c r="E83" s="171" t="str">
        <f>Unit_Rates!H86</f>
        <v>Replacement</v>
      </c>
      <c r="F83" s="171" t="str">
        <f t="shared" ref="F83:F86" si="50">D83&amp;E83</f>
        <v>Distribution system assetsReplacement</v>
      </c>
      <c r="G83" s="228">
        <f>Unit_Rates!I86</f>
        <v>22.447723472706969</v>
      </c>
      <c r="H83" s="457">
        <f>INDEX(Feeder_Vols!$C$35:$F$43,MATCH($B$3,Feeder_Vols!$B$35:$B$43,0),1)</f>
        <v>4</v>
      </c>
      <c r="I83" s="264" t="s">
        <v>292</v>
      </c>
      <c r="J83" s="171"/>
      <c r="K83" s="268">
        <f>G83*H83</f>
        <v>89.790893890827874</v>
      </c>
      <c r="L83" s="268">
        <f>SUMPRODUCT(R$5:X$5,R83:X83)/Thousands</f>
        <v>25.605635047456119</v>
      </c>
      <c r="M83" s="268">
        <f>$H83*Unit_Rates!K86</f>
        <v>0</v>
      </c>
      <c r="N83" s="268">
        <f>$H83*Unit_Rates!L86</f>
        <v>42.318541468221412</v>
      </c>
      <c r="O83" s="268">
        <f>$H83*Unit_Rates!M86</f>
        <v>9.3096865482301158E-2</v>
      </c>
      <c r="P83" s="228">
        <f>SUM(K83:O83)</f>
        <v>157.80816727198768</v>
      </c>
      <c r="Q83" s="28">
        <f>P83-(H83*Unit_Rates!$E$86)</f>
        <v>-7.0922323361173767E-2</v>
      </c>
      <c r="R83" s="327">
        <f t="shared" ref="R83:X86" si="51">$AI83*Z83*$H83</f>
        <v>48.477650743848876</v>
      </c>
      <c r="S83" s="327">
        <f t="shared" si="51"/>
        <v>51.891569810317101</v>
      </c>
      <c r="T83" s="327">
        <f t="shared" si="51"/>
        <v>59.544265964161852</v>
      </c>
      <c r="U83" s="327">
        <f t="shared" si="51"/>
        <v>0</v>
      </c>
      <c r="V83" s="327">
        <f t="shared" si="51"/>
        <v>0</v>
      </c>
      <c r="W83" s="327">
        <f t="shared" si="51"/>
        <v>0</v>
      </c>
      <c r="X83" s="327">
        <f t="shared" si="51"/>
        <v>0</v>
      </c>
      <c r="Y83" s="14">
        <f t="shared" ref="Y83:Y91" si="52">SUM(R83:X83)</f>
        <v>159.91348651832783</v>
      </c>
      <c r="Z83" s="15">
        <v>0.30314923274650013</v>
      </c>
      <c r="AA83" s="15">
        <v>0.32449777026385929</v>
      </c>
      <c r="AB83" s="15">
        <v>0.37235299698964058</v>
      </c>
      <c r="AC83" s="15">
        <v>0</v>
      </c>
      <c r="AD83" s="15">
        <v>0</v>
      </c>
      <c r="AE83" s="15">
        <v>0</v>
      </c>
      <c r="AF83" s="15">
        <v>0</v>
      </c>
      <c r="AG83" s="16">
        <f t="shared" ref="AG83:AG86" si="53">SUM(Z83:AF83)</f>
        <v>1</v>
      </c>
      <c r="AH83" t="b">
        <f t="shared" ref="AH83:AH91" si="54">AG83=1</f>
        <v>1</v>
      </c>
      <c r="AI83" s="5">
        <v>39.978371629581957</v>
      </c>
    </row>
    <row r="84" spans="2:35" x14ac:dyDescent="0.3">
      <c r="B84" s="251"/>
      <c r="C84" s="171" t="s">
        <v>223</v>
      </c>
      <c r="D84" s="171" t="str">
        <f>Unit_Rates!G87</f>
        <v>Distribution system assets</v>
      </c>
      <c r="E84" s="171" t="str">
        <f>Unit_Rates!H87</f>
        <v>Replacement</v>
      </c>
      <c r="F84" s="171" t="str">
        <f t="shared" si="50"/>
        <v>Distribution system assetsReplacement</v>
      </c>
      <c r="G84" s="228">
        <f>Unit_Rates!I87</f>
        <v>21.323700104130506</v>
      </c>
      <c r="H84" s="457">
        <f>INDEX(Feeder_Vols!$C$35:$F$43,MATCH($B$3,Feeder_Vols!$B$35:$B$43,0),2)</f>
        <v>2</v>
      </c>
      <c r="I84" s="264" t="s">
        <v>292</v>
      </c>
      <c r="J84" s="171"/>
      <c r="K84" s="268">
        <f>G84*H84</f>
        <v>42.647400208261011</v>
      </c>
      <c r="L84" s="268">
        <f>SUMPRODUCT(R$5:X$5,R84:X84)/Thousands</f>
        <v>13.759577114427916</v>
      </c>
      <c r="M84" s="268">
        <f>$H84*Unit_Rates!K87</f>
        <v>8.7803471017007961</v>
      </c>
      <c r="N84" s="268">
        <f>$H84*Unit_Rates!L87</f>
        <v>47.664741409232889</v>
      </c>
      <c r="O84" s="268">
        <f>$H84*Unit_Rates!M87</f>
        <v>12.543353002429708</v>
      </c>
      <c r="P84" s="228">
        <f>SUM(K84:O84)</f>
        <v>125.39541883605233</v>
      </c>
      <c r="Q84" s="28">
        <f>P84-(H84*Unit_Rates!$E$87)</f>
        <v>-3.8111188244755567E-2</v>
      </c>
      <c r="R84" s="327">
        <f t="shared" si="51"/>
        <v>26.050202328512878</v>
      </c>
      <c r="S84" s="327">
        <f t="shared" si="51"/>
        <v>27.884723619253222</v>
      </c>
      <c r="T84" s="327">
        <f t="shared" si="51"/>
        <v>31.997016193405724</v>
      </c>
      <c r="U84" s="327">
        <f t="shared" si="51"/>
        <v>0</v>
      </c>
      <c r="V84" s="327">
        <f t="shared" si="51"/>
        <v>0</v>
      </c>
      <c r="W84" s="327">
        <f t="shared" si="51"/>
        <v>0</v>
      </c>
      <c r="X84" s="327">
        <f t="shared" si="51"/>
        <v>0</v>
      </c>
      <c r="Y84" s="14">
        <f t="shared" si="52"/>
        <v>85.931942141171831</v>
      </c>
      <c r="Z84" s="15">
        <v>0.30314923274650013</v>
      </c>
      <c r="AA84" s="15">
        <v>0.32449777026385929</v>
      </c>
      <c r="AB84" s="15">
        <v>0.37235299698964064</v>
      </c>
      <c r="AC84" s="15">
        <v>0</v>
      </c>
      <c r="AD84" s="15">
        <v>0</v>
      </c>
      <c r="AE84" s="15">
        <v>0</v>
      </c>
      <c r="AF84" s="15">
        <v>0</v>
      </c>
      <c r="AG84" s="16">
        <f t="shared" si="53"/>
        <v>1</v>
      </c>
      <c r="AH84" t="b">
        <f t="shared" si="54"/>
        <v>1</v>
      </c>
      <c r="AI84" s="5">
        <v>42.965971070585908</v>
      </c>
    </row>
    <row r="85" spans="2:35" x14ac:dyDescent="0.3">
      <c r="B85" s="251"/>
      <c r="C85" s="171" t="s">
        <v>225</v>
      </c>
      <c r="D85" s="171" t="str">
        <f>Unit_Rates!G88</f>
        <v>Distribution system assets</v>
      </c>
      <c r="E85" s="171" t="str">
        <f>Unit_Rates!H88</f>
        <v>Replacement</v>
      </c>
      <c r="F85" s="171" t="str">
        <f t="shared" si="50"/>
        <v>Distribution system assetsReplacement</v>
      </c>
      <c r="G85" s="228">
        <f>Unit_Rates!I88</f>
        <v>14.297621705426357</v>
      </c>
      <c r="H85" s="457">
        <f>INDEX(Feeder_Vols!$C$35:$F$43,MATCH($B$3,Feeder_Vols!$B$35:$B$43,0),3)</f>
        <v>0</v>
      </c>
      <c r="I85" s="264" t="s">
        <v>292</v>
      </c>
      <c r="J85" s="171"/>
      <c r="K85" s="268">
        <f>G85*H85</f>
        <v>0</v>
      </c>
      <c r="L85" s="268">
        <f>SUMPRODUCT(R$5:X$5,R85:X85)/Thousands</f>
        <v>0</v>
      </c>
      <c r="M85" s="268">
        <f>$H85*Unit_Rates!K88</f>
        <v>0</v>
      </c>
      <c r="N85" s="268">
        <f>$H85*Unit_Rates!L88</f>
        <v>0</v>
      </c>
      <c r="O85" s="268">
        <f>$H85*Unit_Rates!M88</f>
        <v>0</v>
      </c>
      <c r="P85" s="228">
        <f>SUM(K85:O85)</f>
        <v>0</v>
      </c>
      <c r="Q85" s="28">
        <f>P85-(H85*Unit_Rates!$E$88)</f>
        <v>0</v>
      </c>
      <c r="R85" s="327">
        <f t="shared" si="51"/>
        <v>0</v>
      </c>
      <c r="S85" s="327">
        <f t="shared" si="51"/>
        <v>0</v>
      </c>
      <c r="T85" s="327">
        <f t="shared" si="51"/>
        <v>0</v>
      </c>
      <c r="U85" s="327">
        <f t="shared" si="51"/>
        <v>0</v>
      </c>
      <c r="V85" s="327">
        <f t="shared" si="51"/>
        <v>0</v>
      </c>
      <c r="W85" s="327">
        <f t="shared" si="51"/>
        <v>0</v>
      </c>
      <c r="X85" s="327">
        <f t="shared" si="51"/>
        <v>0</v>
      </c>
      <c r="Y85" s="14">
        <f t="shared" si="52"/>
        <v>0</v>
      </c>
      <c r="Z85" s="15">
        <v>0.11818857666880556</v>
      </c>
      <c r="AA85" s="15">
        <v>0.49778875974979209</v>
      </c>
      <c r="AB85" s="15">
        <v>0.3840226635814023</v>
      </c>
      <c r="AC85" s="15">
        <v>0</v>
      </c>
      <c r="AD85" s="15">
        <v>0</v>
      </c>
      <c r="AE85" s="15">
        <v>0</v>
      </c>
      <c r="AF85" s="15">
        <v>0</v>
      </c>
      <c r="AG85" s="16">
        <f t="shared" si="53"/>
        <v>1</v>
      </c>
      <c r="AH85" t="b">
        <f t="shared" si="54"/>
        <v>1</v>
      </c>
      <c r="AI85" s="5">
        <v>144.70421211980818</v>
      </c>
    </row>
    <row r="86" spans="2:35" x14ac:dyDescent="0.3">
      <c r="B86" s="251"/>
      <c r="C86" s="171" t="s">
        <v>227</v>
      </c>
      <c r="D86" s="171" t="str">
        <f>Unit_Rates!G89</f>
        <v>Distribution system assets</v>
      </c>
      <c r="E86" s="171" t="str">
        <f>Unit_Rates!H89</f>
        <v>Replacement</v>
      </c>
      <c r="F86" s="171" t="str">
        <f t="shared" si="50"/>
        <v>Distribution system assetsReplacement</v>
      </c>
      <c r="G86" s="228">
        <f>Unit_Rates!I89</f>
        <v>182.28643631627907</v>
      </c>
      <c r="H86" s="457">
        <f>INDEX(Feeder_Vols!$C$35:$F$43,MATCH($B$3,Feeder_Vols!$B$35:$B$43,0),4)</f>
        <v>0</v>
      </c>
      <c r="I86" s="264" t="s">
        <v>292</v>
      </c>
      <c r="J86" s="171"/>
      <c r="K86" s="268">
        <f>G86*H86</f>
        <v>0</v>
      </c>
      <c r="L86" s="268">
        <f>SUMPRODUCT(R$5:X$5,R86:X86)/Thousands</f>
        <v>0</v>
      </c>
      <c r="M86" s="268">
        <f>$H86*Unit_Rates!K89</f>
        <v>0</v>
      </c>
      <c r="N86" s="268">
        <f>$H86*Unit_Rates!L89</f>
        <v>0</v>
      </c>
      <c r="O86" s="268">
        <f>$H86*Unit_Rates!M89</f>
        <v>0</v>
      </c>
      <c r="P86" s="228">
        <f>SUM(K86:O86)</f>
        <v>0</v>
      </c>
      <c r="Q86" s="28">
        <f>P86-(H86*Unit_Rates!$E$89)</f>
        <v>0</v>
      </c>
      <c r="R86" s="327">
        <f t="shared" si="51"/>
        <v>0</v>
      </c>
      <c r="S86" s="327">
        <f t="shared" si="51"/>
        <v>0</v>
      </c>
      <c r="T86" s="327">
        <f t="shared" si="51"/>
        <v>0</v>
      </c>
      <c r="U86" s="327">
        <f t="shared" si="51"/>
        <v>0</v>
      </c>
      <c r="V86" s="327">
        <f t="shared" si="51"/>
        <v>0</v>
      </c>
      <c r="W86" s="327">
        <f t="shared" si="51"/>
        <v>0</v>
      </c>
      <c r="X86" s="327">
        <f t="shared" si="51"/>
        <v>0</v>
      </c>
      <c r="Y86" s="14">
        <f t="shared" si="52"/>
        <v>0</v>
      </c>
      <c r="Z86" s="15">
        <v>0.69942688247564233</v>
      </c>
      <c r="AA86" s="15">
        <v>4.8454943655496512E-2</v>
      </c>
      <c r="AB86" s="15">
        <v>0.25211817386886121</v>
      </c>
      <c r="AC86" s="15">
        <v>0</v>
      </c>
      <c r="AD86" s="15">
        <v>0</v>
      </c>
      <c r="AE86" s="15">
        <v>0</v>
      </c>
      <c r="AF86" s="15">
        <v>0</v>
      </c>
      <c r="AG86" s="16">
        <f t="shared" si="53"/>
        <v>1</v>
      </c>
      <c r="AH86" t="b">
        <f t="shared" si="54"/>
        <v>1</v>
      </c>
      <c r="AI86" s="5">
        <v>220.41130997006761</v>
      </c>
    </row>
    <row r="87" spans="2:35" x14ac:dyDescent="0.3">
      <c r="B87" s="251" t="s">
        <v>296</v>
      </c>
      <c r="C87" s="171"/>
      <c r="D87" s="171"/>
      <c r="E87" s="171"/>
      <c r="F87" s="171"/>
      <c r="G87" s="228"/>
      <c r="H87" s="231"/>
      <c r="I87" s="264"/>
      <c r="J87" s="171"/>
      <c r="K87" s="268"/>
      <c r="L87" s="268"/>
      <c r="M87" s="268"/>
      <c r="N87" s="268"/>
      <c r="O87" s="268"/>
      <c r="P87" s="228"/>
      <c r="Q87" s="28"/>
      <c r="R87" s="326"/>
      <c r="S87" s="326"/>
      <c r="T87" s="326"/>
      <c r="U87" s="326"/>
      <c r="V87" s="326"/>
      <c r="W87" s="326"/>
      <c r="X87" s="326"/>
      <c r="Y87" s="14"/>
    </row>
    <row r="88" spans="2:35" x14ac:dyDescent="0.3">
      <c r="B88" s="232"/>
      <c r="C88" s="171" t="s">
        <v>553</v>
      </c>
      <c r="D88" s="171" t="str">
        <f>Unit_Rates!G95</f>
        <v>Distribution system assets</v>
      </c>
      <c r="E88" s="171" t="str">
        <f>Unit_Rates!H95</f>
        <v>Augmentation</v>
      </c>
      <c r="F88" s="171" t="str">
        <f t="shared" ref="F88" si="55">D88&amp;E88</f>
        <v>Distribution system assetsAugmentation</v>
      </c>
      <c r="G88" s="228">
        <f>Unit_Rates!I95</f>
        <v>490.33390034070919</v>
      </c>
      <c r="H88" s="456">
        <f>INDEX(Feeder_Vols!$C$48:$F$56,MATCH($B$3,Feeder_Vols!$B$48:$B$56,0),1)</f>
        <v>2</v>
      </c>
      <c r="I88" s="264" t="s">
        <v>292</v>
      </c>
      <c r="J88" s="171"/>
      <c r="K88" s="268">
        <f>G88*H88</f>
        <v>980.66780068141838</v>
      </c>
      <c r="L88" s="268">
        <f>SUMPRODUCT(R$5:X$5,R88:X88)/Thousands</f>
        <v>154.46856637254211</v>
      </c>
      <c r="M88" s="268">
        <f>$H88*Unit_Rates!K95</f>
        <v>0</v>
      </c>
      <c r="N88" s="268">
        <f>$H88*Unit_Rates!L95</f>
        <v>257.86643946685973</v>
      </c>
      <c r="O88" s="268">
        <f>$H88*Unit_Rates!M95</f>
        <v>77.360484410999646</v>
      </c>
      <c r="P88" s="228">
        <f>SUM(K88:O88)</f>
        <v>1470.3632909318196</v>
      </c>
      <c r="Q88" s="28">
        <f>P88-H88*Unit_Rates!$E95</f>
        <v>-0.25129730757385005</v>
      </c>
      <c r="R88" s="327">
        <f t="shared" ref="R88" si="56">$AI88*Z88*$H88</f>
        <v>170.17580073766442</v>
      </c>
      <c r="S88" s="327">
        <f t="shared" ref="S88" si="57">$AI88*AA88*$H88</f>
        <v>201.7927881147711</v>
      </c>
      <c r="T88" s="327">
        <f t="shared" ref="T88" si="58">$AI88*AB88*$H88</f>
        <v>567.58481232663962</v>
      </c>
      <c r="U88" s="327">
        <f t="shared" ref="U88" si="59">$AI88*AC88*$H88</f>
        <v>0</v>
      </c>
      <c r="V88" s="327">
        <f t="shared" ref="V88" si="60">$AI88*AD88*$H88</f>
        <v>0</v>
      </c>
      <c r="W88" s="327">
        <f t="shared" ref="W88" si="61">$AI88*AE88*$H88</f>
        <v>0</v>
      </c>
      <c r="X88" s="327">
        <f t="shared" ref="X88" si="62">$AI88*AF88*$H88</f>
        <v>0</v>
      </c>
      <c r="Y88" s="14">
        <f t="shared" si="52"/>
        <v>939.55340117907508</v>
      </c>
      <c r="Z88" s="15">
        <v>0.18112413889844414</v>
      </c>
      <c r="AA88" s="15">
        <v>0.21477521965386426</v>
      </c>
      <c r="AB88" s="15">
        <v>0.6041006414476916</v>
      </c>
      <c r="AC88" s="15">
        <v>0</v>
      </c>
      <c r="AD88" s="15">
        <v>0</v>
      </c>
      <c r="AE88" s="15">
        <v>0</v>
      </c>
      <c r="AF88" s="15">
        <v>0</v>
      </c>
      <c r="AG88" s="16">
        <f t="shared" ref="AG88:AG91" si="63">SUM(Z88:AF88)</f>
        <v>1</v>
      </c>
      <c r="AH88" t="b">
        <f t="shared" si="54"/>
        <v>1</v>
      </c>
      <c r="AI88" s="5">
        <v>469.77670058953754</v>
      </c>
    </row>
    <row r="89" spans="2:35" x14ac:dyDescent="0.3">
      <c r="B89" s="232"/>
      <c r="C89" s="171" t="s">
        <v>481</v>
      </c>
      <c r="D89" s="171" t="str">
        <f>Unit_Rates!G96</f>
        <v>Distribution system assets</v>
      </c>
      <c r="E89" s="171" t="str">
        <f>Unit_Rates!H96</f>
        <v>Augmentation</v>
      </c>
      <c r="F89" s="171" t="str">
        <f t="shared" ref="F89:F91" si="64">D89&amp;E89</f>
        <v>Distribution system assetsAugmentation</v>
      </c>
      <c r="G89" s="228">
        <f>Unit_Rates!I96</f>
        <v>440.92036005674521</v>
      </c>
      <c r="H89" s="456">
        <f>INDEX(Feeder_Vols!$C$48:$F$56,MATCH($B$3,Feeder_Vols!$B$48:$B$56,0),2)</f>
        <v>1</v>
      </c>
      <c r="I89" s="264" t="s">
        <v>292</v>
      </c>
      <c r="J89" s="171"/>
      <c r="K89" s="268">
        <f t="shared" ref="K89:K91" si="65">G89*H89</f>
        <v>440.92036005674521</v>
      </c>
      <c r="L89" s="268">
        <f>SUMPRODUCT(R$5:X$5,R89:X89)/Thousands</f>
        <v>79.652288193059732</v>
      </c>
      <c r="M89" s="268">
        <f>$H89*Unit_Rates!K96</f>
        <v>0</v>
      </c>
      <c r="N89" s="268">
        <f>$H89*Unit_Rates!L96</f>
        <v>427.32977883400093</v>
      </c>
      <c r="O89" s="268">
        <f>$H89*Unit_Rates!M96</f>
        <v>28.136878415674321</v>
      </c>
      <c r="P89" s="228">
        <f t="shared" ref="P89:P91" si="66">SUM(K89:O89)</f>
        <v>976.03930549948018</v>
      </c>
      <c r="Q89" s="28">
        <f>P89-H89*Unit_Rates!$E96</f>
        <v>-6.8867318017510115E-2</v>
      </c>
      <c r="R89" s="327">
        <f t="shared" ref="R89:X91" si="67">$AI89*Z89*$H89</f>
        <v>90.589321949566141</v>
      </c>
      <c r="S89" s="327">
        <f t="shared" si="67"/>
        <v>214.8398511467521</v>
      </c>
      <c r="T89" s="327">
        <f t="shared" si="67"/>
        <v>194.72129000876441</v>
      </c>
      <c r="U89" s="327">
        <f t="shared" si="67"/>
        <v>0</v>
      </c>
      <c r="V89" s="327">
        <f t="shared" si="67"/>
        <v>0</v>
      </c>
      <c r="W89" s="327">
        <f t="shared" si="67"/>
        <v>0</v>
      </c>
      <c r="X89" s="327">
        <f t="shared" si="67"/>
        <v>0</v>
      </c>
      <c r="Y89" s="14">
        <f t="shared" si="52"/>
        <v>500.15046310508262</v>
      </c>
      <c r="Z89" s="15">
        <v>0.18112413889844414</v>
      </c>
      <c r="AA89" s="15">
        <v>0.42955043930772852</v>
      </c>
      <c r="AB89" s="15">
        <v>0.3893254217938274</v>
      </c>
      <c r="AC89" s="15">
        <v>0</v>
      </c>
      <c r="AD89" s="15">
        <v>0</v>
      </c>
      <c r="AE89" s="15">
        <v>0</v>
      </c>
      <c r="AF89" s="15">
        <v>0</v>
      </c>
      <c r="AG89" s="16">
        <f t="shared" si="63"/>
        <v>1</v>
      </c>
      <c r="AH89" t="b">
        <f t="shared" si="54"/>
        <v>1</v>
      </c>
      <c r="AI89" s="5">
        <v>500.15046310508262</v>
      </c>
    </row>
    <row r="90" spans="2:35" x14ac:dyDescent="0.3">
      <c r="B90" s="232"/>
      <c r="C90" s="171" t="s">
        <v>480</v>
      </c>
      <c r="D90" s="171" t="str">
        <f>Unit_Rates!G97</f>
        <v>Distribution system assets</v>
      </c>
      <c r="E90" s="171" t="str">
        <f>Unit_Rates!H97</f>
        <v>Augmentation</v>
      </c>
      <c r="F90" s="171" t="str">
        <f t="shared" si="64"/>
        <v>Distribution system assetsAugmentation</v>
      </c>
      <c r="G90" s="228">
        <f>Unit_Rates!I97</f>
        <v>464.96470387554706</v>
      </c>
      <c r="H90" s="456">
        <f>INDEX(Feeder_Vols!$C$48:$F$56,MATCH($B$3,Feeder_Vols!$B$48:$B$56,0),3)</f>
        <v>0</v>
      </c>
      <c r="I90" s="264" t="s">
        <v>292</v>
      </c>
      <c r="J90" s="171"/>
      <c r="K90" s="268">
        <f t="shared" si="65"/>
        <v>0</v>
      </c>
      <c r="L90" s="268">
        <f>SUMPRODUCT(R$5:X$5,R90:X90)/Thousands</f>
        <v>0</v>
      </c>
      <c r="M90" s="268">
        <f>$H90*Unit_Rates!K97</f>
        <v>0</v>
      </c>
      <c r="N90" s="268">
        <f>$H90*Unit_Rates!L97</f>
        <v>0</v>
      </c>
      <c r="O90" s="268">
        <f>$H90*Unit_Rates!M97</f>
        <v>0</v>
      </c>
      <c r="P90" s="228">
        <f t="shared" si="66"/>
        <v>0</v>
      </c>
      <c r="Q90" s="28">
        <f>P90-H90*Unit_Rates!$E97</f>
        <v>0</v>
      </c>
      <c r="R90" s="327">
        <f t="shared" si="67"/>
        <v>0</v>
      </c>
      <c r="S90" s="327">
        <f t="shared" si="67"/>
        <v>0</v>
      </c>
      <c r="T90" s="327">
        <f t="shared" si="67"/>
        <v>0</v>
      </c>
      <c r="U90" s="327">
        <f t="shared" si="67"/>
        <v>0</v>
      </c>
      <c r="V90" s="327">
        <f t="shared" si="67"/>
        <v>0</v>
      </c>
      <c r="W90" s="327">
        <f t="shared" si="67"/>
        <v>0</v>
      </c>
      <c r="X90" s="327">
        <f t="shared" si="67"/>
        <v>0</v>
      </c>
      <c r="Y90" s="14">
        <f t="shared" si="52"/>
        <v>0</v>
      </c>
      <c r="Z90" s="15">
        <v>0.18112413889844414</v>
      </c>
      <c r="AA90" s="15">
        <v>0.42955043930772852</v>
      </c>
      <c r="AB90" s="15">
        <v>0.3893254217938274</v>
      </c>
      <c r="AC90" s="15">
        <v>0</v>
      </c>
      <c r="AD90" s="15">
        <v>0</v>
      </c>
      <c r="AE90" s="15">
        <v>0</v>
      </c>
      <c r="AF90" s="15">
        <v>0</v>
      </c>
      <c r="AG90" s="16">
        <f t="shared" si="63"/>
        <v>1</v>
      </c>
      <c r="AH90" t="b">
        <f t="shared" si="54"/>
        <v>1</v>
      </c>
      <c r="AI90" s="5">
        <v>416.11120533381393</v>
      </c>
    </row>
    <row r="91" spans="2:35" x14ac:dyDescent="0.3">
      <c r="B91" s="232"/>
      <c r="C91" s="171" t="s">
        <v>295</v>
      </c>
      <c r="D91" s="171" t="str">
        <f>Unit_Rates!G98</f>
        <v>Distribution system assets</v>
      </c>
      <c r="E91" s="171" t="str">
        <f>Unit_Rates!H98</f>
        <v>Replacement</v>
      </c>
      <c r="F91" s="171" t="str">
        <f t="shared" si="64"/>
        <v>Distribution system assetsReplacement</v>
      </c>
      <c r="G91" s="228">
        <f>Unit_Rates!I98</f>
        <v>26.699079189686927</v>
      </c>
      <c r="H91" s="456">
        <f>INDEX(Feeder_Vols!$C$48:$I$56,MATCH($B$3,Feeder_Vols!$B$48:$B$56,0),7)</f>
        <v>1</v>
      </c>
      <c r="I91" s="264" t="s">
        <v>292</v>
      </c>
      <c r="J91" s="171"/>
      <c r="K91" s="268">
        <f t="shared" si="65"/>
        <v>26.699079189686927</v>
      </c>
      <c r="L91" s="268">
        <f>SUMPRODUCT(R$5:X$5,R91:X91)/Thousands</f>
        <v>8.624745189044523</v>
      </c>
      <c r="M91" s="268">
        <f>$H91*Unit_Rates!K98</f>
        <v>5.4968692449355441</v>
      </c>
      <c r="N91" s="268">
        <f>$H91*Unit_Rates!L98</f>
        <v>29.840147329650094</v>
      </c>
      <c r="O91" s="268">
        <f>$H91*Unit_Rates!M98</f>
        <v>7.8526703499079193</v>
      </c>
      <c r="P91" s="228">
        <f t="shared" si="66"/>
        <v>78.513511303225016</v>
      </c>
      <c r="Q91" s="28">
        <f>P91-H91*Unit_Rates!$E98</f>
        <v>-1.3192195854188071E-2</v>
      </c>
      <c r="R91" s="327">
        <f t="shared" si="67"/>
        <v>16.328725464308661</v>
      </c>
      <c r="S91" s="327">
        <f t="shared" si="67"/>
        <v>17.478635708274062</v>
      </c>
      <c r="T91" s="327">
        <f t="shared" si="67"/>
        <v>20.056293095554889</v>
      </c>
      <c r="U91" s="327">
        <f t="shared" si="67"/>
        <v>0</v>
      </c>
      <c r="V91" s="327">
        <f t="shared" si="67"/>
        <v>0</v>
      </c>
      <c r="W91" s="327">
        <f t="shared" si="67"/>
        <v>0</v>
      </c>
      <c r="X91" s="327">
        <f t="shared" si="67"/>
        <v>0</v>
      </c>
      <c r="Y91" s="14">
        <f t="shared" si="52"/>
        <v>53.863654268137608</v>
      </c>
      <c r="Z91" s="15">
        <v>0.30314923274650013</v>
      </c>
      <c r="AA91" s="15">
        <v>0.32449777026385929</v>
      </c>
      <c r="AB91" s="15">
        <v>0.37235299698964064</v>
      </c>
      <c r="AC91" s="15">
        <v>0</v>
      </c>
      <c r="AD91" s="15">
        <v>0</v>
      </c>
      <c r="AE91" s="15">
        <v>0</v>
      </c>
      <c r="AF91" s="15">
        <v>0</v>
      </c>
      <c r="AG91" s="16">
        <f t="shared" si="63"/>
        <v>1</v>
      </c>
      <c r="AH91" t="b">
        <f t="shared" si="54"/>
        <v>1</v>
      </c>
      <c r="AI91" s="5">
        <v>53.863654268137608</v>
      </c>
    </row>
    <row r="92" spans="2:35" x14ac:dyDescent="0.3">
      <c r="B92" s="232"/>
      <c r="C92" s="171"/>
      <c r="D92" s="171"/>
      <c r="E92" s="171"/>
      <c r="F92" s="171"/>
      <c r="G92" s="224"/>
      <c r="H92" s="232"/>
      <c r="I92" s="224"/>
      <c r="J92" s="171"/>
      <c r="K92" s="235"/>
      <c r="L92" s="235"/>
      <c r="M92" s="235"/>
      <c r="N92" s="235"/>
      <c r="O92" s="235"/>
      <c r="P92" s="224"/>
    </row>
    <row r="93" spans="2:35" x14ac:dyDescent="0.3">
      <c r="B93" s="251" t="s">
        <v>283</v>
      </c>
      <c r="C93" s="171"/>
      <c r="D93" s="171"/>
      <c r="E93" s="171"/>
      <c r="F93" s="171"/>
      <c r="G93" s="224"/>
      <c r="H93" s="232"/>
      <c r="I93" s="224"/>
      <c r="J93" s="171"/>
      <c r="K93" s="319">
        <f>SUM(K75:K91)</f>
        <v>2778.0102902901581</v>
      </c>
      <c r="L93" s="319">
        <f t="shared" ref="L93:P93" si="68">SUM(L75:L91)</f>
        <v>933.33371613406973</v>
      </c>
      <c r="M93" s="319">
        <f t="shared" si="68"/>
        <v>141.20063030012469</v>
      </c>
      <c r="N93" s="319">
        <f t="shared" si="68"/>
        <v>3404.7103387136453</v>
      </c>
      <c r="O93" s="319">
        <f t="shared" si="68"/>
        <v>280.72088340801992</v>
      </c>
      <c r="P93" s="319">
        <f t="shared" si="68"/>
        <v>7537.9758588460154</v>
      </c>
    </row>
    <row r="94" spans="2:35" x14ac:dyDescent="0.3">
      <c r="B94" s="259" t="s">
        <v>55</v>
      </c>
      <c r="C94" s="260"/>
      <c r="D94" s="260"/>
      <c r="E94" s="260"/>
      <c r="F94" s="260"/>
      <c r="G94" s="260"/>
      <c r="H94" s="260"/>
      <c r="I94" s="260"/>
      <c r="J94" s="260"/>
      <c r="K94" s="323">
        <f>K93-SUMIF(Direct_Capex_Totals!$B$19:$B$109,$B$3,Direct_Capex_Totals!Q$19:Q$109)</f>
        <v>0</v>
      </c>
      <c r="L94" s="323">
        <f>L93-SUMIF(Direct_Capex_Totals!$B$19:$B$109,$B$3,Direct_Capex_Totals!R$19:R$109)</f>
        <v>0</v>
      </c>
      <c r="M94" s="323">
        <f>M93-SUMIF(Direct_Capex_Totals!$B$19:$B$109,$B$3,Direct_Capex_Totals!S$19:S$109)</f>
        <v>0</v>
      </c>
      <c r="N94" s="323">
        <f>N93-SUMIF(Direct_Capex_Totals!$B$19:$B$109,$B$3,Direct_Capex_Totals!T$19:T$109)</f>
        <v>0</v>
      </c>
      <c r="O94" s="323">
        <f>O93-SUMIF(Direct_Capex_Totals!$B$19:$B$109,$B$3,Direct_Capex_Totals!U$19:U$109)</f>
        <v>0</v>
      </c>
      <c r="P94" s="324">
        <f>SUM(K94:O94)</f>
        <v>0</v>
      </c>
      <c r="Q94" s="11"/>
    </row>
    <row r="95" spans="2:35" x14ac:dyDescent="0.3">
      <c r="B95" s="232"/>
      <c r="C95" s="171"/>
      <c r="D95" s="171"/>
      <c r="E95" s="171"/>
      <c r="F95" s="171"/>
      <c r="G95" s="171"/>
      <c r="H95" s="171"/>
      <c r="I95" s="171"/>
      <c r="J95" s="171"/>
      <c r="K95" s="157"/>
      <c r="L95" s="157"/>
      <c r="M95" s="157"/>
      <c r="N95" s="157"/>
      <c r="O95" s="157"/>
      <c r="P95" s="233"/>
    </row>
    <row r="96" spans="2:35" x14ac:dyDescent="0.3">
      <c r="B96" s="251" t="s">
        <v>103</v>
      </c>
      <c r="C96" s="252"/>
      <c r="D96" s="252"/>
      <c r="E96" s="252"/>
      <c r="F96" s="252"/>
      <c r="G96" s="252"/>
      <c r="H96" s="252"/>
      <c r="I96" s="252"/>
      <c r="J96" s="252"/>
      <c r="K96" s="26">
        <f t="shared" ref="K96:P96" si="69">K62+K93</f>
        <v>6627.6711890156275</v>
      </c>
      <c r="L96" s="26">
        <f t="shared" si="69"/>
        <v>1905.3547161340698</v>
      </c>
      <c r="M96" s="26">
        <f t="shared" si="69"/>
        <v>736.17737448617106</v>
      </c>
      <c r="N96" s="26">
        <f t="shared" si="69"/>
        <v>5265.592155887829</v>
      </c>
      <c r="O96" s="26">
        <f t="shared" si="69"/>
        <v>662.91441172529267</v>
      </c>
      <c r="P96" s="253">
        <f t="shared" si="69"/>
        <v>15197.709847248985</v>
      </c>
    </row>
    <row r="97" spans="2:16" x14ac:dyDescent="0.3">
      <c r="B97" s="258" t="s">
        <v>55</v>
      </c>
      <c r="C97" s="254"/>
      <c r="D97" s="254"/>
      <c r="E97" s="254"/>
      <c r="F97" s="254"/>
      <c r="G97" s="254"/>
      <c r="H97" s="254"/>
      <c r="I97" s="254"/>
      <c r="J97" s="254"/>
      <c r="K97" s="255">
        <f>K96-SUMIF(Direct_Capex_Totals!$B$132:$B$140,$B$3,Direct_Capex_Totals!Q$132:Q$140)</f>
        <v>0</v>
      </c>
      <c r="L97" s="255">
        <f>L96-SUMIF(Direct_Capex_Totals!$B$132:$B$140,$B$3,Direct_Capex_Totals!R$132:R$140)</f>
        <v>0</v>
      </c>
      <c r="M97" s="255">
        <f>M96-SUMIF(Direct_Capex_Totals!$B$132:$B$140,$B$3,Direct_Capex_Totals!S$132:S$140)</f>
        <v>0</v>
      </c>
      <c r="N97" s="256">
        <f>N96-SUMIF(Direct_Capex_Totals!$B$132:$B$140,$B$3,Direct_Capex_Totals!T$132:T$140)</f>
        <v>0</v>
      </c>
      <c r="O97" s="255">
        <f>O96-SUMIF(Direct_Capex_Totals!$B$132:$B$140,$B$3,Direct_Capex_Totals!U$132:U$140)</f>
        <v>0</v>
      </c>
      <c r="P97" s="257">
        <f>SUM(K97:O97)</f>
        <v>0</v>
      </c>
    </row>
    <row r="100" spans="2:16" hidden="1" outlineLevel="1" x14ac:dyDescent="0.3">
      <c r="C100" t="s">
        <v>261</v>
      </c>
      <c r="D100" t="s">
        <v>18</v>
      </c>
      <c r="E100" t="s">
        <v>42</v>
      </c>
      <c r="F100" s="171" t="str">
        <f t="shared" ref="F100:F120" si="70">D100&amp;E100</f>
        <v>SubtransmissionAugmentation</v>
      </c>
      <c r="K100" s="6">
        <v>1180.5007870004833</v>
      </c>
      <c r="L100" s="6">
        <v>0</v>
      </c>
      <c r="M100" s="6">
        <v>0</v>
      </c>
      <c r="N100" s="6">
        <v>1385.9415169900212</v>
      </c>
      <c r="O100" s="6">
        <v>377.76658540751214</v>
      </c>
      <c r="P100" s="6">
        <v>2944.2088893980167</v>
      </c>
    </row>
    <row r="101" spans="2:16" hidden="1" outlineLevel="1" x14ac:dyDescent="0.3">
      <c r="D101" t="s">
        <v>18</v>
      </c>
      <c r="E101" t="s">
        <v>44</v>
      </c>
      <c r="F101" s="171" t="str">
        <f t="shared" si="70"/>
        <v>SubtransmissionReplacement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idden="1" outlineLevel="1" x14ac:dyDescent="0.3">
      <c r="D102" t="s">
        <v>22</v>
      </c>
      <c r="E102" t="s">
        <v>42</v>
      </c>
      <c r="F102" s="171" t="str">
        <f t="shared" si="70"/>
        <v>SCADA/Network controlAugmentation</v>
      </c>
      <c r="K102" s="6">
        <v>2669.1601117249852</v>
      </c>
      <c r="L102" s="6">
        <v>0</v>
      </c>
      <c r="M102" s="6">
        <v>0</v>
      </c>
      <c r="N102" s="6">
        <v>474.94030018416208</v>
      </c>
      <c r="O102" s="6">
        <v>4.426942909760589</v>
      </c>
      <c r="P102" s="6">
        <v>3148.527354818908</v>
      </c>
    </row>
    <row r="103" spans="2:16" hidden="1" outlineLevel="1" x14ac:dyDescent="0.3">
      <c r="D103" t="s">
        <v>22</v>
      </c>
      <c r="E103" t="s">
        <v>44</v>
      </c>
      <c r="F103" s="171" t="str">
        <f t="shared" si="70"/>
        <v>SCADA/Network controlReplacement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</row>
    <row r="104" spans="2:16" hidden="1" outlineLevel="1" x14ac:dyDescent="0.3">
      <c r="D104" t="s">
        <v>195</v>
      </c>
      <c r="E104" t="s">
        <v>66</v>
      </c>
      <c r="F104" s="171" t="str">
        <f t="shared" si="70"/>
        <v>LandNon-Network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</row>
    <row r="105" spans="2:16" hidden="1" outlineLevel="1" x14ac:dyDescent="0.3">
      <c r="F105" s="171"/>
      <c r="K105" s="6">
        <v>3849.6608987254685</v>
      </c>
      <c r="L105" s="6">
        <v>0</v>
      </c>
      <c r="M105" s="6">
        <v>0</v>
      </c>
      <c r="N105" s="6">
        <v>1860.8818171741832</v>
      </c>
      <c r="O105" s="6">
        <v>382.19352831727275</v>
      </c>
      <c r="P105" s="6">
        <v>6092.7362442169251</v>
      </c>
    </row>
    <row r="106" spans="2:16" hidden="1" outlineLevel="1" x14ac:dyDescent="0.3">
      <c r="C106" t="s">
        <v>368</v>
      </c>
      <c r="D106" t="s">
        <v>18</v>
      </c>
      <c r="E106" t="s">
        <v>42</v>
      </c>
      <c r="F106" s="171" t="str">
        <f t="shared" ref="F106:F110" si="71">D106&amp;E106</f>
        <v>SubtransmissionAugmentation</v>
      </c>
      <c r="K106" s="6"/>
      <c r="L106" s="6">
        <v>469.71225311089597</v>
      </c>
      <c r="M106" s="6">
        <v>287.5121700665037</v>
      </c>
      <c r="N106" s="6">
        <v>0</v>
      </c>
      <c r="O106" s="6"/>
      <c r="P106" s="6">
        <v>757.22442317739967</v>
      </c>
    </row>
    <row r="107" spans="2:16" hidden="1" outlineLevel="1" x14ac:dyDescent="0.3">
      <c r="D107" t="s">
        <v>18</v>
      </c>
      <c r="E107" t="s">
        <v>44</v>
      </c>
      <c r="F107" s="171" t="str">
        <f t="shared" si="71"/>
        <v>SubtransmissionReplacement</v>
      </c>
      <c r="K107" s="6"/>
      <c r="L107" s="38">
        <v>0</v>
      </c>
      <c r="M107" s="38">
        <v>0</v>
      </c>
      <c r="N107" s="38">
        <v>0</v>
      </c>
      <c r="O107" s="6"/>
      <c r="P107" s="6">
        <v>0</v>
      </c>
    </row>
    <row r="108" spans="2:16" hidden="1" outlineLevel="1" x14ac:dyDescent="0.3">
      <c r="D108" t="s">
        <v>22</v>
      </c>
      <c r="E108" t="s">
        <v>42</v>
      </c>
      <c r="F108" s="171" t="str">
        <f t="shared" si="71"/>
        <v>SCADA/Network controlAugmentation</v>
      </c>
      <c r="K108" s="6"/>
      <c r="L108" s="6">
        <v>502.30874688910416</v>
      </c>
      <c r="M108" s="6">
        <v>307.4645741195427</v>
      </c>
      <c r="N108" s="6">
        <v>0</v>
      </c>
      <c r="O108" s="6"/>
      <c r="P108" s="6">
        <v>809.77332100864692</v>
      </c>
    </row>
    <row r="109" spans="2:16" hidden="1" outlineLevel="1" x14ac:dyDescent="0.3">
      <c r="D109" t="s">
        <v>22</v>
      </c>
      <c r="E109" t="s">
        <v>44</v>
      </c>
      <c r="F109" s="171" t="str">
        <f t="shared" si="71"/>
        <v>SCADA/Network controlReplacement</v>
      </c>
      <c r="K109" s="6"/>
      <c r="L109" s="6">
        <v>0</v>
      </c>
      <c r="M109" s="6">
        <v>0</v>
      </c>
      <c r="N109" s="6">
        <v>0</v>
      </c>
      <c r="O109" s="6"/>
      <c r="P109" s="6">
        <v>0</v>
      </c>
    </row>
    <row r="110" spans="2:16" hidden="1" outlineLevel="1" x14ac:dyDescent="0.3">
      <c r="D110" t="s">
        <v>195</v>
      </c>
      <c r="E110" t="s">
        <v>66</v>
      </c>
      <c r="F110" s="171" t="str">
        <f t="shared" si="71"/>
        <v>LandNon-Network</v>
      </c>
      <c r="K110" s="39"/>
      <c r="L110" s="39">
        <v>0</v>
      </c>
      <c r="M110" s="39">
        <v>0</v>
      </c>
      <c r="N110" s="39">
        <v>0</v>
      </c>
      <c r="O110" s="39"/>
      <c r="P110" s="39">
        <v>0</v>
      </c>
    </row>
    <row r="111" spans="2:16" hidden="1" outlineLevel="1" x14ac:dyDescent="0.3">
      <c r="F111" s="171"/>
      <c r="K111" s="6">
        <v>0</v>
      </c>
      <c r="L111" s="6">
        <v>972.02100000000019</v>
      </c>
      <c r="M111" s="6">
        <v>594.9767441860464</v>
      </c>
      <c r="N111" s="6">
        <v>0</v>
      </c>
      <c r="O111" s="6">
        <v>0</v>
      </c>
      <c r="P111" s="6">
        <v>1566.9977441860465</v>
      </c>
    </row>
    <row r="112" spans="2:16" hidden="1" outlineLevel="1" x14ac:dyDescent="0.3">
      <c r="C112" t="s">
        <v>377</v>
      </c>
      <c r="D112" t="s">
        <v>18</v>
      </c>
      <c r="E112" t="s">
        <v>42</v>
      </c>
      <c r="F112" s="171" t="str">
        <f t="shared" ref="F112:F116" si="72">D112&amp;E112</f>
        <v>SubtransmissionAugmentation</v>
      </c>
      <c r="K112" s="6">
        <v>1180.5007870004833</v>
      </c>
      <c r="L112" s="6">
        <v>469.71225311089597</v>
      </c>
      <c r="M112" s="6">
        <v>287.5121700665037</v>
      </c>
      <c r="N112" s="6">
        <v>1385.9415169900212</v>
      </c>
      <c r="O112" s="6">
        <v>377.76658540751214</v>
      </c>
      <c r="P112" s="6">
        <v>3701.4333125754165</v>
      </c>
    </row>
    <row r="113" spans="3:16" hidden="1" outlineLevel="1" x14ac:dyDescent="0.3">
      <c r="D113" t="s">
        <v>18</v>
      </c>
      <c r="E113" t="s">
        <v>44</v>
      </c>
      <c r="F113" s="171" t="str">
        <f t="shared" si="72"/>
        <v>SubtransmissionReplacement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</row>
    <row r="114" spans="3:16" hidden="1" outlineLevel="1" x14ac:dyDescent="0.3">
      <c r="D114" t="s">
        <v>22</v>
      </c>
      <c r="E114" t="s">
        <v>42</v>
      </c>
      <c r="F114" s="171" t="str">
        <f t="shared" si="72"/>
        <v>SCADA/Network controlAugmentation</v>
      </c>
      <c r="K114" s="6">
        <v>2669.1601117249852</v>
      </c>
      <c r="L114" s="6">
        <v>502.30874688910416</v>
      </c>
      <c r="M114" s="6">
        <v>307.4645741195427</v>
      </c>
      <c r="N114" s="6">
        <v>474.94030018416208</v>
      </c>
      <c r="O114" s="6">
        <v>4.426942909760589</v>
      </c>
      <c r="P114" s="6">
        <v>3958.3006758275551</v>
      </c>
    </row>
    <row r="115" spans="3:16" hidden="1" outlineLevel="1" x14ac:dyDescent="0.3">
      <c r="D115" t="s">
        <v>22</v>
      </c>
      <c r="E115" t="s">
        <v>44</v>
      </c>
      <c r="F115" s="171" t="str">
        <f t="shared" si="72"/>
        <v>SCADA/Network controlReplacement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3:16" hidden="1" outlineLevel="1" x14ac:dyDescent="0.3">
      <c r="D116" t="s">
        <v>195</v>
      </c>
      <c r="E116" t="s">
        <v>66</v>
      </c>
      <c r="F116" s="171" t="str">
        <f t="shared" si="72"/>
        <v>LandNon-Network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</row>
    <row r="117" spans="3:16" hidden="1" outlineLevel="1" x14ac:dyDescent="0.3">
      <c r="F117" s="171"/>
      <c r="K117" s="6">
        <v>3849.6608987254685</v>
      </c>
      <c r="L117" s="6">
        <v>972.02100000000019</v>
      </c>
      <c r="M117" s="6">
        <v>594.9767441860464</v>
      </c>
      <c r="N117" s="6">
        <v>1860.8818171741832</v>
      </c>
      <c r="O117" s="6">
        <v>382.19352831727275</v>
      </c>
      <c r="P117" s="6">
        <v>7659.7339884029716</v>
      </c>
    </row>
    <row r="118" spans="3:16" hidden="1" outlineLevel="1" x14ac:dyDescent="0.3">
      <c r="F118" s="171"/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</row>
    <row r="119" spans="3:16" hidden="1" outlineLevel="1" x14ac:dyDescent="0.3">
      <c r="C119" t="s">
        <v>17</v>
      </c>
      <c r="D119" t="s">
        <v>19</v>
      </c>
      <c r="E119" t="s">
        <v>42</v>
      </c>
      <c r="F119" s="171" t="str">
        <f t="shared" si="70"/>
        <v>Distribution system assetsAugmentation</v>
      </c>
      <c r="K119" s="6">
        <v>578.29855441860457</v>
      </c>
      <c r="L119" s="6">
        <v>234.09197145101962</v>
      </c>
      <c r="M119" s="6">
        <v>126.92341395348836</v>
      </c>
      <c r="N119" s="6">
        <v>1386.0997104583437</v>
      </c>
      <c r="O119" s="6">
        <v>154.73440036352602</v>
      </c>
      <c r="P119" s="6">
        <v>2480.1480506449825</v>
      </c>
    </row>
    <row r="120" spans="3:16" hidden="1" outlineLevel="1" x14ac:dyDescent="0.3">
      <c r="D120" t="s">
        <v>19</v>
      </c>
      <c r="E120" t="s">
        <v>44</v>
      </c>
      <c r="F120" s="171" t="str">
        <f t="shared" si="70"/>
        <v>Distribution system assetsReplacement</v>
      </c>
      <c r="K120" s="39">
        <v>0</v>
      </c>
      <c r="L120" s="39">
        <v>5.3472517226538221</v>
      </c>
      <c r="M120" s="39">
        <v>0</v>
      </c>
      <c r="N120" s="39">
        <v>131.05971211162787</v>
      </c>
      <c r="O120" s="39">
        <v>0</v>
      </c>
      <c r="P120" s="39">
        <v>136.4069638342817</v>
      </c>
    </row>
    <row r="121" spans="3:16" hidden="1" outlineLevel="1" x14ac:dyDescent="0.3">
      <c r="K121" s="14">
        <v>578.29855441860457</v>
      </c>
      <c r="L121" s="14">
        <v>239.43922317367344</v>
      </c>
      <c r="M121" s="14">
        <v>126.92341395348836</v>
      </c>
      <c r="N121" s="14">
        <v>1517.1594225699716</v>
      </c>
      <c r="O121" s="14">
        <v>154.73440036352602</v>
      </c>
      <c r="P121" s="14">
        <v>2616.5550144792642</v>
      </c>
    </row>
    <row r="122" spans="3:16" hidden="1" outlineLevel="1" x14ac:dyDescent="0.3">
      <c r="K122" s="19">
        <f>K121-K75</f>
        <v>0</v>
      </c>
      <c r="L122" s="19">
        <f t="shared" ref="L122:P122" si="73">L121-L75</f>
        <v>0</v>
      </c>
      <c r="M122" s="19">
        <f t="shared" si="73"/>
        <v>0</v>
      </c>
      <c r="N122" s="19">
        <f t="shared" si="73"/>
        <v>0</v>
      </c>
      <c r="O122" s="19">
        <f t="shared" si="73"/>
        <v>0</v>
      </c>
      <c r="P122" s="19">
        <f t="shared" si="73"/>
        <v>0</v>
      </c>
    </row>
    <row r="123" spans="3:16" collapsed="1" x14ac:dyDescent="0.3"/>
  </sheetData>
  <mergeCells count="3">
    <mergeCell ref="G3:I3"/>
    <mergeCell ref="K3:P3"/>
    <mergeCell ref="R3:X3"/>
  </mergeCells>
  <pageMargins left="0.25" right="0.25" top="0.75" bottom="0.75" header="0.3" footer="0.3"/>
  <pageSetup paperSize="9" scale="72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B1:BA120"/>
  <sheetViews>
    <sheetView zoomScale="85" zoomScaleNormal="85" workbookViewId="0">
      <pane xSplit="3" ySplit="4" topLeftCell="H5" activePane="bottomRight" state="frozen"/>
      <selection activeCell="N1" sqref="N1"/>
      <selection pane="topRight" activeCell="N1" sqref="N1"/>
      <selection pane="bottomLeft" activeCell="N1" sqref="N1"/>
      <selection pane="bottomRight" activeCell="O7" sqref="O7"/>
    </sheetView>
  </sheetViews>
  <sheetFormatPr defaultRowHeight="14.4" outlineLevelRow="1" outlineLevelCol="1" x14ac:dyDescent="0.3"/>
  <cols>
    <col min="1" max="1" width="2.33203125" customWidth="1"/>
    <col min="2" max="2" width="3" customWidth="1"/>
    <col min="3" max="3" width="52" customWidth="1"/>
    <col min="4" max="6" width="17.88671875" hidden="1" customWidth="1" outlineLevel="1"/>
    <col min="7" max="7" width="9.33203125" customWidth="1" collapsed="1"/>
    <col min="8" max="8" width="8.6640625" customWidth="1"/>
    <col min="9" max="9" width="10.6640625" customWidth="1"/>
    <col min="10" max="10" width="2.33203125" customWidth="1"/>
    <col min="11" max="11" width="10" bestFit="1" customWidth="1"/>
    <col min="12" max="12" width="9.44140625" bestFit="1" customWidth="1"/>
    <col min="13" max="13" width="11.6640625" customWidth="1"/>
    <col min="14" max="14" width="12.33203125" customWidth="1"/>
    <col min="15" max="15" width="9.109375" bestFit="1" customWidth="1"/>
    <col min="16" max="16" width="10.33203125" customWidth="1"/>
    <col min="17" max="18" width="9.33203125" bestFit="1" customWidth="1"/>
    <col min="19" max="19" width="10.33203125" customWidth="1"/>
    <col min="20" max="20" width="9.5546875" bestFit="1" customWidth="1"/>
    <col min="26" max="35" width="8.88671875" hidden="1" customWidth="1" outlineLevel="1"/>
    <col min="36" max="36" width="8.88671875" collapsed="1"/>
    <col min="41" max="41" width="37.88671875" customWidth="1"/>
  </cols>
  <sheetData>
    <row r="1" spans="2:33" x14ac:dyDescent="0.3">
      <c r="N1" s="567" t="s">
        <v>425</v>
      </c>
    </row>
    <row r="2" spans="2:33" x14ac:dyDescent="0.3">
      <c r="B2" s="22" t="str">
        <f>STN_7&amp;" Volumes &amp; Unit Rates"</f>
        <v>LDL Volumes &amp; Unit Rates</v>
      </c>
      <c r="R2" s="176"/>
      <c r="S2" s="176"/>
      <c r="T2" s="176"/>
      <c r="U2" s="176"/>
      <c r="V2" s="176"/>
      <c r="W2" s="176"/>
      <c r="X2" s="176"/>
    </row>
    <row r="3" spans="2:33" x14ac:dyDescent="0.3">
      <c r="B3" t="str">
        <f>STN_7</f>
        <v>LDL</v>
      </c>
      <c r="G3" s="596" t="s">
        <v>135</v>
      </c>
      <c r="H3" s="597"/>
      <c r="I3" s="598"/>
      <c r="K3" s="596" t="s">
        <v>633</v>
      </c>
      <c r="L3" s="597"/>
      <c r="M3" s="597"/>
      <c r="N3" s="597"/>
      <c r="O3" s="597"/>
      <c r="P3" s="598"/>
      <c r="R3" s="596" t="s">
        <v>352</v>
      </c>
      <c r="S3" s="597"/>
      <c r="T3" s="597"/>
      <c r="U3" s="597"/>
      <c r="V3" s="597"/>
      <c r="W3" s="597"/>
      <c r="X3" s="598"/>
    </row>
    <row r="4" spans="2:33" ht="45" customHeight="1" x14ac:dyDescent="0.3">
      <c r="D4" t="s">
        <v>362</v>
      </c>
      <c r="E4" t="s">
        <v>84</v>
      </c>
      <c r="G4" s="221" t="s">
        <v>634</v>
      </c>
      <c r="H4" s="230" t="s">
        <v>265</v>
      </c>
      <c r="I4" s="220" t="s">
        <v>293</v>
      </c>
      <c r="K4" s="220" t="s">
        <v>135</v>
      </c>
      <c r="L4" s="220" t="s">
        <v>290</v>
      </c>
      <c r="M4" s="295" t="s">
        <v>136</v>
      </c>
      <c r="N4" s="221" t="s">
        <v>137</v>
      </c>
      <c r="O4" s="220" t="s">
        <v>60</v>
      </c>
      <c r="P4" s="220" t="s">
        <v>291</v>
      </c>
      <c r="Q4" s="266" t="s">
        <v>114</v>
      </c>
      <c r="R4" s="298" t="s">
        <v>285</v>
      </c>
      <c r="S4" s="298" t="s">
        <v>289</v>
      </c>
      <c r="T4" s="298" t="s">
        <v>256</v>
      </c>
      <c r="U4" s="298" t="s">
        <v>286</v>
      </c>
      <c r="V4" s="298" t="s">
        <v>287</v>
      </c>
      <c r="W4" s="298" t="s">
        <v>288</v>
      </c>
      <c r="X4" s="298" t="s">
        <v>345</v>
      </c>
      <c r="Y4" s="460" t="s">
        <v>485</v>
      </c>
    </row>
    <row r="5" spans="2:33" x14ac:dyDescent="0.3">
      <c r="B5" s="248" t="s">
        <v>314</v>
      </c>
      <c r="C5" s="292"/>
      <c r="D5" s="292"/>
      <c r="E5" s="292"/>
      <c r="F5" s="292"/>
      <c r="G5" s="221"/>
      <c r="H5" s="293"/>
      <c r="I5" s="294"/>
      <c r="J5" s="292"/>
      <c r="K5" s="294"/>
      <c r="L5" s="294"/>
      <c r="M5" s="294"/>
      <c r="N5" s="295"/>
      <c r="O5" s="294"/>
      <c r="P5" s="294"/>
      <c r="R5" s="325">
        <f>Lab_Rates!$C$6*(1+Escalators!C5)*(1+Escalators!C15)</f>
        <v>158.45839054425579</v>
      </c>
      <c r="S5" s="325">
        <f>Lab_Rates!$C$7*(1+Escalators!C5)*(1+Escalators!C15)</f>
        <v>148.03349642950209</v>
      </c>
      <c r="T5" s="325">
        <f>Lab_Rates!$C$8*(1+Escalators!C5)*(1+Escalators!C15)</f>
        <v>172.01075289343555</v>
      </c>
      <c r="U5" s="325">
        <f>Lab_Rates!$C$9*(1+Escalators!C5)*(1+Escalators!C15)</f>
        <v>224.1352234672039</v>
      </c>
      <c r="V5" s="325">
        <f>Lab_Rates!$C$6*(1+Escalators!C5)*(1+Escalators!C15)</f>
        <v>158.45839054425579</v>
      </c>
      <c r="W5" s="325">
        <f>Lab_Rates!$C$10*(1+Escalators!C5)*(1+Escalators!C15)</f>
        <v>158.45839054425579</v>
      </c>
      <c r="X5" s="325">
        <f>Lab_Rates!$C$5*(1+Escalators!C5)*(1+Escalators!C15)</f>
        <v>130.31117643442087</v>
      </c>
    </row>
    <row r="6" spans="2:33" x14ac:dyDescent="0.3">
      <c r="B6" s="251"/>
      <c r="C6" s="171"/>
      <c r="D6" s="171"/>
      <c r="E6" s="171"/>
      <c r="F6" s="171"/>
      <c r="G6" s="271"/>
      <c r="H6" s="231"/>
      <c r="I6" s="264"/>
      <c r="K6" s="271"/>
      <c r="L6" s="271"/>
      <c r="M6" s="271"/>
      <c r="N6" s="222"/>
      <c r="O6" s="271"/>
      <c r="P6" s="223"/>
      <c r="R6" s="326"/>
      <c r="S6" s="326"/>
      <c r="T6" s="326"/>
      <c r="U6" s="326"/>
      <c r="V6" s="326"/>
      <c r="W6" s="326"/>
      <c r="X6" s="326"/>
    </row>
    <row r="7" spans="2:33" x14ac:dyDescent="0.3">
      <c r="B7" s="232" t="s">
        <v>315</v>
      </c>
      <c r="D7" t="s">
        <v>365</v>
      </c>
      <c r="E7" t="s">
        <v>365</v>
      </c>
      <c r="G7" s="309"/>
      <c r="H7" s="314"/>
      <c r="I7" s="315"/>
      <c r="K7" s="309"/>
      <c r="L7" s="271">
        <f>SUMPRODUCT(R$5:X$5,R7:X7)/Thousands</f>
        <v>0</v>
      </c>
      <c r="M7" s="447">
        <v>594.9767441860464</v>
      </c>
      <c r="N7" s="447"/>
      <c r="O7" s="309"/>
      <c r="P7" s="223">
        <f t="shared" ref="P7" si="0">SUM(K7:O7)</f>
        <v>594.9767441860464</v>
      </c>
      <c r="Q7" s="19"/>
      <c r="R7" s="327">
        <v>0</v>
      </c>
      <c r="S7" s="328"/>
      <c r="T7" s="328"/>
      <c r="U7" s="328"/>
      <c r="V7" s="328"/>
      <c r="W7" s="328"/>
      <c r="X7" s="328"/>
    </row>
    <row r="8" spans="2:33" x14ac:dyDescent="0.3">
      <c r="B8" s="234"/>
      <c r="C8" s="42"/>
      <c r="D8" s="42"/>
      <c r="E8" s="42"/>
      <c r="F8" s="42"/>
      <c r="G8" s="241"/>
      <c r="H8" s="284"/>
      <c r="I8" s="263"/>
      <c r="K8" s="241"/>
      <c r="L8" s="241"/>
      <c r="M8" s="310"/>
      <c r="N8" s="310"/>
      <c r="O8" s="310"/>
      <c r="P8" s="242"/>
      <c r="R8" s="326"/>
      <c r="S8" s="326"/>
      <c r="T8" s="326"/>
      <c r="U8" s="326"/>
      <c r="V8" s="326"/>
      <c r="W8" s="326"/>
      <c r="X8" s="326"/>
    </row>
    <row r="9" spans="2:33" x14ac:dyDescent="0.3">
      <c r="B9" s="237" t="s">
        <v>269</v>
      </c>
      <c r="C9" s="238"/>
      <c r="D9" s="292"/>
      <c r="E9" s="292"/>
      <c r="F9" s="292"/>
      <c r="G9" s="239"/>
      <c r="H9" s="285"/>
      <c r="I9" s="220"/>
      <c r="K9" s="239"/>
      <c r="L9" s="239"/>
      <c r="M9" s="311"/>
      <c r="N9" s="311"/>
      <c r="O9" s="311"/>
      <c r="P9" s="243"/>
      <c r="R9" s="326"/>
      <c r="S9" s="326"/>
      <c r="T9" s="326"/>
      <c r="U9" s="326"/>
      <c r="V9" s="326"/>
      <c r="W9" s="326"/>
      <c r="X9" s="326"/>
    </row>
    <row r="10" spans="2:33" x14ac:dyDescent="0.3">
      <c r="B10" s="232"/>
      <c r="C10" s="171" t="s">
        <v>270</v>
      </c>
      <c r="D10" s="171" t="s">
        <v>365</v>
      </c>
      <c r="E10" s="171" t="s">
        <v>365</v>
      </c>
      <c r="F10" s="171"/>
      <c r="G10" s="309"/>
      <c r="H10" s="314"/>
      <c r="I10" s="315"/>
      <c r="K10" s="307"/>
      <c r="L10" s="225">
        <f>SUMPRODUCT(R$5:X$5,R10:X10)/Thousands</f>
        <v>48.69400000000001</v>
      </c>
      <c r="M10" s="306"/>
      <c r="N10" s="306">
        <v>0</v>
      </c>
      <c r="O10" s="307"/>
      <c r="P10" s="223">
        <f>SUM(K10:O10)</f>
        <v>48.69400000000001</v>
      </c>
      <c r="Q10" s="19"/>
      <c r="R10" s="327">
        <v>207.21403142993012</v>
      </c>
      <c r="S10" s="327">
        <v>77.473237968352223</v>
      </c>
      <c r="T10" s="327">
        <v>15.400463648641695</v>
      </c>
      <c r="U10" s="327">
        <v>7.7699453535485574</v>
      </c>
      <c r="V10" s="327">
        <v>0</v>
      </c>
      <c r="W10" s="327">
        <v>0</v>
      </c>
      <c r="X10" s="327">
        <v>0</v>
      </c>
      <c r="Y10" s="14">
        <f>SUM(R10:X10)</f>
        <v>307.85767840047259</v>
      </c>
      <c r="AA10" s="15"/>
      <c r="AB10" s="15"/>
      <c r="AC10" s="15"/>
      <c r="AD10" s="15"/>
      <c r="AE10" s="15"/>
      <c r="AF10" s="15"/>
      <c r="AG10" s="15"/>
    </row>
    <row r="11" spans="2:33" x14ac:dyDescent="0.3">
      <c r="B11" s="232"/>
      <c r="C11" s="171" t="s">
        <v>271</v>
      </c>
      <c r="D11" s="171" t="s">
        <v>365</v>
      </c>
      <c r="E11" s="171" t="s">
        <v>365</v>
      </c>
      <c r="F11" s="171"/>
      <c r="G11" s="309"/>
      <c r="H11" s="314"/>
      <c r="I11" s="315"/>
      <c r="K11" s="307"/>
      <c r="L11" s="225">
        <f>SUMPRODUCT(R$5:X$5,R11:X11)/Thousands</f>
        <v>357.25400000000008</v>
      </c>
      <c r="M11" s="306"/>
      <c r="N11" s="447"/>
      <c r="O11" s="307"/>
      <c r="P11" s="223">
        <f>SUM(K11:O11)</f>
        <v>357.25400000000008</v>
      </c>
      <c r="Q11" s="19"/>
      <c r="R11" s="327">
        <v>191.62265490030043</v>
      </c>
      <c r="S11" s="327">
        <v>0</v>
      </c>
      <c r="T11" s="327">
        <v>432.63604833880453</v>
      </c>
      <c r="U11" s="327">
        <v>58.223223550947438</v>
      </c>
      <c r="V11" s="327">
        <v>718.58495587612663</v>
      </c>
      <c r="W11" s="327">
        <v>792.35967801274228</v>
      </c>
      <c r="X11" s="327">
        <v>0</v>
      </c>
      <c r="Y11" s="14">
        <f t="shared" ref="Y11:Y13" si="1">SUM(R11:X11)</f>
        <v>2193.4265606789213</v>
      </c>
      <c r="AA11" s="15"/>
      <c r="AB11" s="15"/>
      <c r="AC11" s="15"/>
      <c r="AD11" s="15"/>
      <c r="AE11" s="15"/>
      <c r="AF11" s="15"/>
      <c r="AG11" s="15"/>
    </row>
    <row r="12" spans="2:33" x14ac:dyDescent="0.3">
      <c r="B12" s="232"/>
      <c r="C12" s="171" t="s">
        <v>304</v>
      </c>
      <c r="D12" s="171" t="s">
        <v>365</v>
      </c>
      <c r="E12" s="171" t="s">
        <v>365</v>
      </c>
      <c r="F12" s="171"/>
      <c r="G12" s="309"/>
      <c r="H12" s="314"/>
      <c r="I12" s="315"/>
      <c r="K12" s="307"/>
      <c r="L12" s="225">
        <f>SUMPRODUCT(R$5:X$5,R12:X12)/Thousands</f>
        <v>233.22499999999997</v>
      </c>
      <c r="M12" s="306"/>
      <c r="N12" s="306">
        <v>0</v>
      </c>
      <c r="O12" s="307"/>
      <c r="P12" s="223">
        <f>SUM(K12:O12)</f>
        <v>233.22499999999997</v>
      </c>
      <c r="Q12" s="19"/>
      <c r="R12" s="327">
        <v>0</v>
      </c>
      <c r="S12" s="327">
        <v>0</v>
      </c>
      <c r="T12" s="327">
        <v>300.08177528310262</v>
      </c>
      <c r="U12" s="327">
        <v>0</v>
      </c>
      <c r="V12" s="327">
        <v>423.23186845391035</v>
      </c>
      <c r="W12" s="327">
        <v>134.66468541715329</v>
      </c>
      <c r="X12" s="327">
        <v>715.24423643174146</v>
      </c>
      <c r="Y12" s="14">
        <f t="shared" si="1"/>
        <v>1573.2225655859077</v>
      </c>
      <c r="AA12" s="15"/>
      <c r="AB12" s="15"/>
      <c r="AC12" s="15"/>
      <c r="AD12" s="15"/>
      <c r="AE12" s="15"/>
      <c r="AF12" s="15"/>
      <c r="AG12" s="15"/>
    </row>
    <row r="13" spans="2:33" x14ac:dyDescent="0.3">
      <c r="B13" s="232"/>
      <c r="C13" s="171" t="s">
        <v>272</v>
      </c>
      <c r="D13" s="171" t="s">
        <v>365</v>
      </c>
      <c r="E13" s="171" t="s">
        <v>365</v>
      </c>
      <c r="F13" s="171"/>
      <c r="G13" s="309"/>
      <c r="H13" s="314"/>
      <c r="I13" s="315"/>
      <c r="K13" s="307"/>
      <c r="L13" s="225">
        <f>SUMPRODUCT(R$5:X$5,R13:X13)/Thousands</f>
        <v>124.9875</v>
      </c>
      <c r="M13" s="306"/>
      <c r="N13" s="306">
        <v>0</v>
      </c>
      <c r="O13" s="307"/>
      <c r="P13" s="223">
        <f>SUM(K13:O13)</f>
        <v>124.9875</v>
      </c>
      <c r="Q13" s="19"/>
      <c r="R13" s="327">
        <v>0</v>
      </c>
      <c r="S13" s="327">
        <v>0</v>
      </c>
      <c r="T13" s="327">
        <v>726.62608527405553</v>
      </c>
      <c r="U13" s="327">
        <v>0</v>
      </c>
      <c r="V13" s="327">
        <v>0</v>
      </c>
      <c r="W13" s="327">
        <v>0</v>
      </c>
      <c r="X13" s="327">
        <v>0</v>
      </c>
      <c r="Y13" s="14">
        <f t="shared" si="1"/>
        <v>726.62608527405553</v>
      </c>
      <c r="AA13" s="15"/>
      <c r="AB13" s="15"/>
      <c r="AC13" s="15"/>
      <c r="AD13" s="15"/>
      <c r="AE13" s="15"/>
      <c r="AF13" s="15"/>
      <c r="AG13" s="15"/>
    </row>
    <row r="14" spans="2:33" x14ac:dyDescent="0.3">
      <c r="B14" s="234"/>
      <c r="C14" s="42"/>
      <c r="D14" s="42"/>
      <c r="E14" s="42"/>
      <c r="F14" s="42"/>
      <c r="G14" s="241"/>
      <c r="H14" s="240"/>
      <c r="I14" s="263"/>
      <c r="K14" s="244"/>
      <c r="L14" s="245"/>
      <c r="M14" s="245"/>
      <c r="N14" s="246"/>
      <c r="O14" s="244"/>
      <c r="P14" s="247"/>
      <c r="R14" s="326"/>
      <c r="S14" s="326"/>
      <c r="T14" s="326"/>
      <c r="U14" s="326"/>
      <c r="V14" s="326"/>
      <c r="W14" s="326"/>
      <c r="X14" s="326"/>
    </row>
    <row r="15" spans="2:33" x14ac:dyDescent="0.3">
      <c r="B15" s="237" t="s">
        <v>261</v>
      </c>
      <c r="C15" s="238"/>
      <c r="D15" s="292"/>
      <c r="E15" s="292"/>
      <c r="F15" s="292"/>
      <c r="G15" s="297"/>
      <c r="H15" s="248"/>
      <c r="I15" s="243"/>
      <c r="K15" s="249"/>
      <c r="L15" s="249"/>
      <c r="M15" s="355"/>
      <c r="N15" s="249"/>
      <c r="O15" s="249"/>
      <c r="P15" s="250"/>
      <c r="Q15" s="11"/>
      <c r="R15" s="329"/>
      <c r="S15" s="326"/>
      <c r="T15" s="326"/>
      <c r="U15" s="326"/>
      <c r="V15" s="326"/>
      <c r="W15" s="326"/>
      <c r="X15" s="326"/>
      <c r="AA15" s="28"/>
      <c r="AB15" s="28"/>
      <c r="AC15" s="28"/>
      <c r="AD15" s="28"/>
      <c r="AE15" s="28"/>
      <c r="AF15" s="28"/>
      <c r="AG15" s="28"/>
    </row>
    <row r="16" spans="2:33" x14ac:dyDescent="0.3">
      <c r="B16" s="251" t="s">
        <v>263</v>
      </c>
      <c r="C16" s="171"/>
      <c r="D16" s="171"/>
      <c r="E16" s="171"/>
      <c r="F16" s="171"/>
      <c r="G16" s="228"/>
      <c r="H16" s="232"/>
      <c r="I16" s="224"/>
      <c r="J16" s="157"/>
      <c r="K16" s="225"/>
      <c r="L16" s="225"/>
      <c r="M16" s="225"/>
      <c r="N16" s="225"/>
      <c r="O16" s="225"/>
      <c r="P16" s="224"/>
      <c r="R16" s="326"/>
      <c r="S16" s="326"/>
      <c r="T16" s="326"/>
      <c r="U16" s="326"/>
      <c r="V16" s="326"/>
      <c r="W16" s="326"/>
      <c r="X16" s="326"/>
      <c r="AA16" s="28"/>
      <c r="AB16" s="28"/>
      <c r="AC16" s="28"/>
      <c r="AD16" s="28"/>
      <c r="AE16" s="28"/>
      <c r="AF16" s="28"/>
      <c r="AG16" s="28"/>
    </row>
    <row r="17" spans="2:33" x14ac:dyDescent="0.3">
      <c r="B17" s="232"/>
      <c r="C17" s="171" t="s">
        <v>306</v>
      </c>
      <c r="D17" s="171" t="str">
        <f>INDEX(Unit_Rates!$C$7:$K$54,MATCH($C17,Unit_Rates!$C$7:$C$54,0),5)</f>
        <v>Subtransmission</v>
      </c>
      <c r="E17" s="171" t="str">
        <f>INDEX(Unit_Rates!$C$7:$K$54,MATCH($C17,Unit_Rates!$C$7:$C$54,0),6)</f>
        <v>Augmentation</v>
      </c>
      <c r="F17" s="171" t="str">
        <f>D17&amp;E17</f>
        <v>SubtransmissionAugmentation</v>
      </c>
      <c r="G17" s="268">
        <f>INDEX(Unit_Rates!$C$7:$K$54,MATCH($C17,Unit_Rates!$C$7:$C$54,0),7)</f>
        <v>78.838847145488032</v>
      </c>
      <c r="H17" s="299"/>
      <c r="I17" s="264" t="s">
        <v>292</v>
      </c>
      <c r="J17" s="157"/>
      <c r="K17" s="226">
        <f>G17*$H17</f>
        <v>0</v>
      </c>
      <c r="L17" s="302">
        <f t="shared" ref="L17:L40" si="2">SUMPRODUCT(R$5:X$5,R17:X17)/Thousands</f>
        <v>0</v>
      </c>
      <c r="M17" s="306"/>
      <c r="N17" s="570"/>
      <c r="O17" s="571"/>
      <c r="P17" s="572"/>
      <c r="Q17" s="336">
        <f>P17-H17*VLOOKUP(C17,Unit_Rates!$C$7:$E$39,3,FALSE)</f>
        <v>0</v>
      </c>
      <c r="R17" s="327">
        <v>0</v>
      </c>
      <c r="S17" s="327">
        <v>0</v>
      </c>
      <c r="T17" s="327">
        <v>0</v>
      </c>
      <c r="U17" s="327">
        <v>0</v>
      </c>
      <c r="V17" s="327">
        <v>0</v>
      </c>
      <c r="W17" s="327">
        <v>0</v>
      </c>
      <c r="X17" s="327">
        <v>0</v>
      </c>
      <c r="Y17" s="14">
        <f t="shared" ref="Y17:Y40" si="3">SUM(R17:X17)</f>
        <v>0</v>
      </c>
      <c r="AA17" s="28"/>
      <c r="AB17" s="28"/>
      <c r="AC17" s="28"/>
      <c r="AD17" s="28"/>
      <c r="AE17" s="28"/>
      <c r="AF17" s="28"/>
      <c r="AG17" s="28"/>
    </row>
    <row r="18" spans="2:33" x14ac:dyDescent="0.3">
      <c r="B18" s="232"/>
      <c r="C18" s="171" t="s">
        <v>329</v>
      </c>
      <c r="D18" s="171" t="str">
        <f>INDEX(Unit_Rates!$C$7:$K$54,MATCH($C18,Unit_Rates!$C$7:$C$54,0),5)</f>
        <v>Subtransmission</v>
      </c>
      <c r="E18" s="171" t="str">
        <f>INDEX(Unit_Rates!$C$7:$K$54,MATCH($C18,Unit_Rates!$C$7:$C$54,0),6)</f>
        <v>Augmentation</v>
      </c>
      <c r="F18" s="171" t="str">
        <f t="shared" ref="F18:F40" si="4">D18&amp;E18</f>
        <v>SubtransmissionAugmentation</v>
      </c>
      <c r="G18" s="268">
        <f>INDEX(Unit_Rates!$C$7:$K$54,MATCH($C18,Unit_Rates!$C$7:$C$54,0),7)</f>
        <v>90.745458563535905</v>
      </c>
      <c r="H18" s="299">
        <v>2</v>
      </c>
      <c r="I18" s="264" t="s">
        <v>292</v>
      </c>
      <c r="J18" s="157"/>
      <c r="K18" s="226">
        <f>G18*$H18</f>
        <v>181.49091712707181</v>
      </c>
      <c r="L18" s="302">
        <f t="shared" si="2"/>
        <v>0</v>
      </c>
      <c r="M18" s="306"/>
      <c r="N18" s="570"/>
      <c r="O18" s="571"/>
      <c r="P18" s="572"/>
      <c r="Q18" s="336">
        <f>P18-H18*VLOOKUP(C18,Unit_Rates!$C$7:$E$39,3,FALSE)</f>
        <v>0</v>
      </c>
      <c r="R18" s="327">
        <v>0</v>
      </c>
      <c r="S18" s="327">
        <v>0</v>
      </c>
      <c r="T18" s="327">
        <v>0</v>
      </c>
      <c r="U18" s="327">
        <v>0</v>
      </c>
      <c r="V18" s="327">
        <v>0</v>
      </c>
      <c r="W18" s="327">
        <v>0</v>
      </c>
      <c r="X18" s="327">
        <v>0</v>
      </c>
      <c r="Y18" s="14">
        <f t="shared" si="3"/>
        <v>0</v>
      </c>
      <c r="AA18" s="28"/>
      <c r="AB18" s="28"/>
      <c r="AC18" s="28"/>
      <c r="AD18" s="28"/>
      <c r="AE18" s="28"/>
      <c r="AF18" s="28"/>
      <c r="AG18" s="28"/>
    </row>
    <row r="19" spans="2:33" ht="30" x14ac:dyDescent="0.25">
      <c r="B19" s="232"/>
      <c r="C19" s="214" t="s">
        <v>369</v>
      </c>
      <c r="D19" s="286" t="s">
        <v>18</v>
      </c>
      <c r="E19" s="286" t="s">
        <v>42</v>
      </c>
      <c r="F19" s="171" t="str">
        <f t="shared" si="4"/>
        <v>SubtransmissionAugmentation</v>
      </c>
      <c r="G19" s="268">
        <v>0</v>
      </c>
      <c r="H19" s="300"/>
      <c r="I19" s="278" t="s">
        <v>292</v>
      </c>
      <c r="J19" s="279"/>
      <c r="K19" s="301">
        <f>G19*$H19</f>
        <v>0</v>
      </c>
      <c r="L19" s="301">
        <f t="shared" si="2"/>
        <v>0</v>
      </c>
      <c r="M19" s="306"/>
      <c r="N19" s="570"/>
      <c r="O19" s="571"/>
      <c r="P19" s="572"/>
      <c r="Q19" s="336"/>
      <c r="R19" s="327">
        <v>0</v>
      </c>
      <c r="S19" s="327">
        <v>0</v>
      </c>
      <c r="T19" s="327">
        <v>0</v>
      </c>
      <c r="U19" s="327">
        <v>0</v>
      </c>
      <c r="V19" s="327">
        <v>0</v>
      </c>
      <c r="W19" s="327">
        <v>0</v>
      </c>
      <c r="X19" s="327">
        <v>0</v>
      </c>
      <c r="Y19" s="14">
        <f t="shared" si="3"/>
        <v>0</v>
      </c>
    </row>
    <row r="20" spans="2:33" x14ac:dyDescent="0.3">
      <c r="B20" s="232"/>
      <c r="C20" s="171" t="s">
        <v>503</v>
      </c>
      <c r="D20" s="171" t="str">
        <f>INDEX(Unit_Rates!$C$7:$K$54,MATCH($C20,Unit_Rates!$C$7:$C$54,0),5)</f>
        <v>Subtransmission</v>
      </c>
      <c r="E20" s="171" t="str">
        <f>INDEX(Unit_Rates!$C$7:$K$54,MATCH($C20,Unit_Rates!$C$7:$C$54,0),6)</f>
        <v>Augmentation</v>
      </c>
      <c r="F20" s="171" t="str">
        <f t="shared" si="4"/>
        <v>SubtransmissionAugmentation</v>
      </c>
      <c r="G20" s="268">
        <f>INDEX(Unit_Rates!$C$7:$K$54,MATCH($C20,Unit_Rates!$C$7:$C$54,0),7)</f>
        <v>38.571335174953965</v>
      </c>
      <c r="H20" s="299">
        <v>1</v>
      </c>
      <c r="I20" s="264" t="s">
        <v>292</v>
      </c>
      <c r="J20" s="157"/>
      <c r="K20" s="226">
        <f>G20*H20</f>
        <v>38.571335174953965</v>
      </c>
      <c r="L20" s="302">
        <f t="shared" si="2"/>
        <v>0</v>
      </c>
      <c r="M20" s="306"/>
      <c r="N20" s="570"/>
      <c r="O20" s="571"/>
      <c r="P20" s="569"/>
      <c r="Q20" s="336">
        <f>P20-H20*VLOOKUP(C20,Unit_Rates!$C$7:$E$39,3,FALSE)</f>
        <v>0</v>
      </c>
      <c r="R20" s="327">
        <v>0</v>
      </c>
      <c r="S20" s="327">
        <v>0</v>
      </c>
      <c r="T20" s="327">
        <v>0</v>
      </c>
      <c r="U20" s="327">
        <v>0</v>
      </c>
      <c r="V20" s="327">
        <v>0</v>
      </c>
      <c r="W20" s="327">
        <v>0</v>
      </c>
      <c r="X20" s="327">
        <v>0</v>
      </c>
      <c r="Y20" s="14">
        <f t="shared" si="3"/>
        <v>0</v>
      </c>
      <c r="AA20" s="28"/>
      <c r="AB20" s="28"/>
      <c r="AC20" s="28"/>
      <c r="AD20" s="28"/>
      <c r="AE20" s="28"/>
      <c r="AF20" s="28"/>
      <c r="AG20" s="28"/>
    </row>
    <row r="21" spans="2:33" x14ac:dyDescent="0.3">
      <c r="B21" s="232"/>
      <c r="C21" s="171" t="s">
        <v>372</v>
      </c>
      <c r="D21" s="171" t="str">
        <f>INDEX(Unit_Rates!$C$7:$K$54,MATCH($C21,Unit_Rates!$C$7:$C$54,0),5)</f>
        <v>Subtransmission</v>
      </c>
      <c r="E21" s="171" t="str">
        <f>INDEX(Unit_Rates!$C$7:$K$54,MATCH($C21,Unit_Rates!$C$7:$C$54,0),6)</f>
        <v>Augmentation</v>
      </c>
      <c r="F21" s="171" t="str">
        <f t="shared" si="4"/>
        <v>SubtransmissionAugmentation</v>
      </c>
      <c r="G21" s="268">
        <f>INDEX(Unit_Rates!$C$7:$K$54,MATCH($C21,Unit_Rates!$C$7:$C$54,0),7)</f>
        <v>0</v>
      </c>
      <c r="H21" s="299"/>
      <c r="I21" s="264" t="s">
        <v>292</v>
      </c>
      <c r="J21" s="157"/>
      <c r="K21" s="226">
        <f>G21*H21</f>
        <v>0</v>
      </c>
      <c r="L21" s="302">
        <f t="shared" si="2"/>
        <v>0</v>
      </c>
      <c r="M21" s="306"/>
      <c r="N21" s="570"/>
      <c r="O21" s="571"/>
      <c r="P21" s="569"/>
      <c r="Q21" s="336">
        <f>P21-H21*VLOOKUP(C21,Unit_Rates!$C$7:$E$39,3,FALSE)</f>
        <v>0</v>
      </c>
      <c r="R21" s="327">
        <v>0</v>
      </c>
      <c r="S21" s="327">
        <v>0</v>
      </c>
      <c r="T21" s="327">
        <v>0</v>
      </c>
      <c r="U21" s="327">
        <v>0</v>
      </c>
      <c r="V21" s="327">
        <v>0</v>
      </c>
      <c r="W21" s="327">
        <v>0</v>
      </c>
      <c r="X21" s="327">
        <v>0</v>
      </c>
      <c r="Y21" s="14">
        <f t="shared" si="3"/>
        <v>0</v>
      </c>
      <c r="AA21" s="28"/>
      <c r="AB21" s="28"/>
      <c r="AC21" s="28"/>
      <c r="AD21" s="28"/>
      <c r="AE21" s="28"/>
      <c r="AF21" s="28"/>
      <c r="AG21" s="28"/>
    </row>
    <row r="22" spans="2:33" x14ac:dyDescent="0.3">
      <c r="B22" s="232"/>
      <c r="C22" s="171" t="s">
        <v>266</v>
      </c>
      <c r="D22" s="171" t="str">
        <f>INDEX(Unit_Rates!$C$7:$K$54,MATCH($C22,Unit_Rates!$C$7:$C$54,0),5)</f>
        <v>SCADA/Network control</v>
      </c>
      <c r="E22" s="171" t="str">
        <f>INDEX(Unit_Rates!$C$7:$K$54,MATCH($C22,Unit_Rates!$C$7:$C$54,0),6)</f>
        <v>Augmentation</v>
      </c>
      <c r="F22" s="171" t="str">
        <f t="shared" si="4"/>
        <v>SCADA/Network controlAugmentation</v>
      </c>
      <c r="G22" s="268">
        <f>INDEX(Unit_Rates!$C$7:$K$54,MATCH($C22,Unit_Rates!$C$7:$C$54,0),7)</f>
        <v>1084.7777777777778</v>
      </c>
      <c r="H22" s="299">
        <v>2</v>
      </c>
      <c r="I22" s="264" t="s">
        <v>292</v>
      </c>
      <c r="J22" s="157"/>
      <c r="K22" s="226">
        <f>G22*H22</f>
        <v>2169.5555555555557</v>
      </c>
      <c r="L22" s="302">
        <f t="shared" si="2"/>
        <v>0</v>
      </c>
      <c r="M22" s="306"/>
      <c r="N22" s="570"/>
      <c r="O22" s="571"/>
      <c r="P22" s="569"/>
      <c r="Q22" s="336">
        <f>P22-H22*VLOOKUP(C22,Unit_Rates!$C$7:$E$39,3,FALSE)</f>
        <v>0</v>
      </c>
      <c r="R22" s="327">
        <v>0</v>
      </c>
      <c r="S22" s="327">
        <v>0</v>
      </c>
      <c r="T22" s="327">
        <v>0</v>
      </c>
      <c r="U22" s="327">
        <v>0</v>
      </c>
      <c r="V22" s="327">
        <v>0</v>
      </c>
      <c r="W22" s="327">
        <v>0</v>
      </c>
      <c r="X22" s="327">
        <v>0</v>
      </c>
      <c r="Y22" s="14">
        <f t="shared" si="3"/>
        <v>0</v>
      </c>
      <c r="AA22" s="28"/>
      <c r="AB22" s="28"/>
      <c r="AC22" s="28"/>
      <c r="AD22" s="28"/>
      <c r="AE22" s="28"/>
      <c r="AF22" s="28"/>
      <c r="AG22" s="28"/>
    </row>
    <row r="23" spans="2:33" x14ac:dyDescent="0.3">
      <c r="B23" s="232"/>
      <c r="C23" s="171" t="s">
        <v>308</v>
      </c>
      <c r="D23" s="171" t="str">
        <f>INDEX(Unit_Rates!$C$7:$K$54,MATCH($C23,Unit_Rates!$C$7:$C$54,0),5)</f>
        <v>Subtransmission</v>
      </c>
      <c r="E23" s="171" t="str">
        <f>INDEX(Unit_Rates!$C$7:$K$54,MATCH($C23,Unit_Rates!$C$7:$C$54,0),6)</f>
        <v>Augmentation</v>
      </c>
      <c r="F23" s="171" t="str">
        <f t="shared" si="4"/>
        <v>SubtransmissionAugmentation</v>
      </c>
      <c r="G23" s="268">
        <f>INDEX(Unit_Rates!$C$7:$K$54,MATCH($C23,Unit_Rates!$C$7:$C$54,0),7)</f>
        <v>0</v>
      </c>
      <c r="H23" s="299">
        <v>2</v>
      </c>
      <c r="I23" s="264" t="s">
        <v>292</v>
      </c>
      <c r="J23" s="157"/>
      <c r="K23" s="226">
        <f>G23*H23</f>
        <v>0</v>
      </c>
      <c r="L23" s="302">
        <f t="shared" si="2"/>
        <v>0</v>
      </c>
      <c r="M23" s="306"/>
      <c r="N23" s="570"/>
      <c r="O23" s="571"/>
      <c r="P23" s="569"/>
      <c r="Q23" s="336">
        <f>P23-H23*VLOOKUP(C23,Unit_Rates!$C$7:$E$39,3,FALSE)</f>
        <v>0</v>
      </c>
      <c r="R23" s="327">
        <v>0</v>
      </c>
      <c r="S23" s="327">
        <v>0</v>
      </c>
      <c r="T23" s="327">
        <v>0</v>
      </c>
      <c r="U23" s="327">
        <v>0</v>
      </c>
      <c r="V23" s="327">
        <v>0</v>
      </c>
      <c r="W23" s="327">
        <v>0</v>
      </c>
      <c r="X23" s="327">
        <v>0</v>
      </c>
      <c r="Y23" s="14">
        <f t="shared" si="3"/>
        <v>0</v>
      </c>
      <c r="AA23" s="28"/>
      <c r="AB23" s="28"/>
      <c r="AC23" s="28"/>
      <c r="AD23" s="28"/>
      <c r="AE23" s="28"/>
      <c r="AF23" s="28"/>
      <c r="AG23" s="28"/>
    </row>
    <row r="24" spans="2:33" x14ac:dyDescent="0.3">
      <c r="B24" s="232"/>
      <c r="C24" s="171" t="s">
        <v>280</v>
      </c>
      <c r="D24" s="171" t="str">
        <f>INDEX(Unit_Rates!$C$7:$K$54,MATCH($C24,Unit_Rates!$C$7:$C$54,0),5)</f>
        <v>Subtransmission</v>
      </c>
      <c r="E24" s="171" t="str">
        <f>INDEX(Unit_Rates!$C$7:$K$54,MATCH($C24,Unit_Rates!$C$7:$C$54,0),6)</f>
        <v>Augmentation</v>
      </c>
      <c r="F24" s="171" t="str">
        <f t="shared" si="4"/>
        <v>SubtransmissionAugmentation</v>
      </c>
      <c r="G24" s="268">
        <f>INDEX(Unit_Rates!$C$7:$K$54,MATCH($C24,Unit_Rates!$C$7:$C$54,0),7)</f>
        <v>1249.4511627906975</v>
      </c>
      <c r="H24" s="299"/>
      <c r="I24" s="264" t="s">
        <v>292</v>
      </c>
      <c r="J24" s="157"/>
      <c r="K24" s="226">
        <f t="shared" ref="K24:K40" si="5">G24*H24</f>
        <v>0</v>
      </c>
      <c r="L24" s="302">
        <f t="shared" si="2"/>
        <v>0</v>
      </c>
      <c r="M24" s="306"/>
      <c r="N24" s="570"/>
      <c r="O24" s="571"/>
      <c r="P24" s="569"/>
      <c r="Q24" s="336">
        <f>P24-H24*VLOOKUP(C24,Unit_Rates!$C$7:$E$39,3,FALSE)</f>
        <v>0</v>
      </c>
      <c r="R24" s="327">
        <v>0</v>
      </c>
      <c r="S24" s="327">
        <v>0</v>
      </c>
      <c r="T24" s="327">
        <v>0</v>
      </c>
      <c r="U24" s="327">
        <v>0</v>
      </c>
      <c r="V24" s="327">
        <v>0</v>
      </c>
      <c r="W24" s="327">
        <v>0</v>
      </c>
      <c r="X24" s="327">
        <v>0</v>
      </c>
      <c r="Y24" s="14">
        <f t="shared" si="3"/>
        <v>0</v>
      </c>
    </row>
    <row r="25" spans="2:33" x14ac:dyDescent="0.3">
      <c r="B25" s="232"/>
      <c r="C25" s="171" t="s">
        <v>279</v>
      </c>
      <c r="D25" s="171" t="str">
        <f>INDEX(Unit_Rates!$C$7:$K$54,MATCH($C25,Unit_Rates!$C$7:$C$54,0),5)</f>
        <v>Subtransmission</v>
      </c>
      <c r="E25" s="171" t="str">
        <f>INDEX(Unit_Rates!$C$7:$K$54,MATCH($C25,Unit_Rates!$C$7:$C$54,0),6)</f>
        <v>Augmentation</v>
      </c>
      <c r="F25" s="171" t="str">
        <f t="shared" si="4"/>
        <v>SubtransmissionAugmentation</v>
      </c>
      <c r="G25" s="268">
        <f>INDEX(Unit_Rates!$C$7:$K$54,MATCH($C25,Unit_Rates!$C$7:$C$54,0),7)</f>
        <v>1378.3627906976742</v>
      </c>
      <c r="H25" s="299"/>
      <c r="I25" s="264" t="s">
        <v>292</v>
      </c>
      <c r="J25" s="157"/>
      <c r="K25" s="226">
        <f t="shared" si="5"/>
        <v>0</v>
      </c>
      <c r="L25" s="302">
        <f t="shared" si="2"/>
        <v>0</v>
      </c>
      <c r="M25" s="306"/>
      <c r="N25" s="570"/>
      <c r="O25" s="571"/>
      <c r="P25" s="569"/>
      <c r="Q25" s="336">
        <f>P25-H25*VLOOKUP(C25,Unit_Rates!$C$7:$E$39,3,FALSE)</f>
        <v>0</v>
      </c>
      <c r="R25" s="327">
        <v>0</v>
      </c>
      <c r="S25" s="327">
        <v>0</v>
      </c>
      <c r="T25" s="327">
        <v>0</v>
      </c>
      <c r="U25" s="327">
        <v>0</v>
      </c>
      <c r="V25" s="327">
        <v>0</v>
      </c>
      <c r="W25" s="327">
        <v>0</v>
      </c>
      <c r="X25" s="327">
        <v>0</v>
      </c>
      <c r="Y25" s="14">
        <f t="shared" si="3"/>
        <v>0</v>
      </c>
    </row>
    <row r="26" spans="2:33" x14ac:dyDescent="0.3">
      <c r="B26" s="232"/>
      <c r="C26" s="171" t="s">
        <v>518</v>
      </c>
      <c r="D26" s="171" t="str">
        <f>INDEX(Unit_Rates!$C$7:$K$54,MATCH($C26,Unit_Rates!$C$7:$C$54,0),5)</f>
        <v>Subtransmission</v>
      </c>
      <c r="E26" s="171" t="str">
        <f>INDEX(Unit_Rates!$C$7:$K$54,MATCH($C26,Unit_Rates!$C$7:$C$54,0),6)</f>
        <v>Augmentation</v>
      </c>
      <c r="F26" s="171" t="str">
        <f t="shared" si="4"/>
        <v>SubtransmissionAugmentation</v>
      </c>
      <c r="G26" s="268">
        <f>INDEX(Unit_Rates!$C$7:$K$54,MATCH($C26,Unit_Rates!$C$7:$C$54,0),7)</f>
        <v>196.83714790697672</v>
      </c>
      <c r="H26" s="299">
        <v>2</v>
      </c>
      <c r="I26" s="264" t="s">
        <v>292</v>
      </c>
      <c r="J26" s="157"/>
      <c r="K26" s="226">
        <f t="shared" si="5"/>
        <v>393.67429581395345</v>
      </c>
      <c r="L26" s="302">
        <f t="shared" si="2"/>
        <v>0</v>
      </c>
      <c r="M26" s="306"/>
      <c r="N26" s="570"/>
      <c r="O26" s="571"/>
      <c r="P26" s="569"/>
      <c r="Q26" s="336">
        <f>P26-H26*VLOOKUP(C26,Unit_Rates!$C$7:$E$39,3,FALSE)</f>
        <v>0</v>
      </c>
      <c r="R26" s="327">
        <v>0</v>
      </c>
      <c r="S26" s="327">
        <v>0</v>
      </c>
      <c r="T26" s="327">
        <v>0</v>
      </c>
      <c r="U26" s="327">
        <v>0</v>
      </c>
      <c r="V26" s="327">
        <v>0</v>
      </c>
      <c r="W26" s="327">
        <v>0</v>
      </c>
      <c r="X26" s="327">
        <v>0</v>
      </c>
      <c r="Y26" s="14">
        <f t="shared" si="3"/>
        <v>0</v>
      </c>
    </row>
    <row r="27" spans="2:33" x14ac:dyDescent="0.3">
      <c r="B27" s="232"/>
      <c r="C27" s="171" t="s">
        <v>373</v>
      </c>
      <c r="D27" s="171" t="str">
        <f>INDEX(Unit_Rates!$C$7:$K$54,MATCH($C27,Unit_Rates!$C$7:$C$54,0),5)</f>
        <v>Subtransmission</v>
      </c>
      <c r="E27" s="171" t="str">
        <f>INDEX(Unit_Rates!$C$7:$K$54,MATCH($C27,Unit_Rates!$C$7:$C$54,0),6)</f>
        <v>Augmentation</v>
      </c>
      <c r="F27" s="171" t="str">
        <f t="shared" si="4"/>
        <v>SubtransmissionAugmentation</v>
      </c>
      <c r="G27" s="268">
        <f>INDEX(Unit_Rates!$C$7:$K$54,MATCH($C27,Unit_Rates!$C$7:$C$54,0),7)</f>
        <v>0</v>
      </c>
      <c r="H27" s="299">
        <v>2</v>
      </c>
      <c r="I27" s="264" t="s">
        <v>292</v>
      </c>
      <c r="J27" s="157"/>
      <c r="K27" s="226">
        <f t="shared" ref="K27" si="6">G27*H27</f>
        <v>0</v>
      </c>
      <c r="L27" s="302">
        <f t="shared" si="2"/>
        <v>0</v>
      </c>
      <c r="M27" s="306"/>
      <c r="N27" s="570"/>
      <c r="O27" s="571"/>
      <c r="P27" s="569"/>
      <c r="Q27" s="336">
        <f>P27-H27*VLOOKUP(C27,Unit_Rates!$C$7:$E$39,3,FALSE)</f>
        <v>0</v>
      </c>
      <c r="R27" s="327">
        <v>0</v>
      </c>
      <c r="S27" s="327">
        <v>0</v>
      </c>
      <c r="T27" s="327">
        <v>0</v>
      </c>
      <c r="U27" s="327">
        <v>0</v>
      </c>
      <c r="V27" s="327">
        <v>0</v>
      </c>
      <c r="W27" s="327">
        <v>0</v>
      </c>
      <c r="X27" s="327">
        <v>0</v>
      </c>
      <c r="Y27" s="14">
        <f t="shared" si="3"/>
        <v>0</v>
      </c>
    </row>
    <row r="28" spans="2:33" x14ac:dyDescent="0.3">
      <c r="B28" s="232"/>
      <c r="C28" s="171" t="s">
        <v>350</v>
      </c>
      <c r="D28" s="171" t="str">
        <f>INDEX(Unit_Rates!$C$7:$K$54,MATCH($C28,Unit_Rates!$C$7:$C$54,0),5)</f>
        <v>Subtransmission</v>
      </c>
      <c r="E28" s="171" t="str">
        <f>INDEX(Unit_Rates!$C$7:$K$54,MATCH($C28,Unit_Rates!$C$7:$C$54,0),6)</f>
        <v>Augmentation</v>
      </c>
      <c r="F28" s="171" t="str">
        <f t="shared" si="4"/>
        <v>SubtransmissionAugmentation</v>
      </c>
      <c r="G28" s="268">
        <f>INDEX(Unit_Rates!$C$7:$K$54,MATCH($C28,Unit_Rates!$C$7:$C$54,0),7)</f>
        <v>62.900871086556172</v>
      </c>
      <c r="H28" s="299"/>
      <c r="I28" s="264" t="s">
        <v>292</v>
      </c>
      <c r="J28" s="157"/>
      <c r="K28" s="226">
        <f t="shared" ref="K28:K34" si="7">G28*H28</f>
        <v>0</v>
      </c>
      <c r="L28" s="302">
        <f t="shared" si="2"/>
        <v>0</v>
      </c>
      <c r="M28" s="306"/>
      <c r="N28" s="570"/>
      <c r="O28" s="571"/>
      <c r="P28" s="569"/>
      <c r="Q28" s="336">
        <f>P28-H28*VLOOKUP(C28,Unit_Rates!$C$7:$E$39,3,FALSE)</f>
        <v>0</v>
      </c>
      <c r="R28" s="327">
        <v>0</v>
      </c>
      <c r="S28" s="327">
        <v>0</v>
      </c>
      <c r="T28" s="327">
        <v>0</v>
      </c>
      <c r="U28" s="327">
        <v>0</v>
      </c>
      <c r="V28" s="327">
        <v>0</v>
      </c>
      <c r="W28" s="327">
        <v>0</v>
      </c>
      <c r="X28" s="327">
        <v>0</v>
      </c>
      <c r="Y28" s="14">
        <f t="shared" si="3"/>
        <v>0</v>
      </c>
    </row>
    <row r="29" spans="2:33" x14ac:dyDescent="0.3">
      <c r="B29" s="232"/>
      <c r="C29" s="171" t="s">
        <v>334</v>
      </c>
      <c r="D29" s="171" t="str">
        <f>INDEX(Unit_Rates!$C$7:$K$54,MATCH($C29,Unit_Rates!$C$7:$C$54,0),5)</f>
        <v>Subtransmission</v>
      </c>
      <c r="E29" s="171" t="str">
        <f>INDEX(Unit_Rates!$C$7:$K$54,MATCH($C29,Unit_Rates!$C$7:$C$54,0),6)</f>
        <v>Augmentation</v>
      </c>
      <c r="F29" s="171" t="str">
        <f t="shared" si="4"/>
        <v>SubtransmissionAugmentation</v>
      </c>
      <c r="G29" s="268">
        <f>INDEX(Unit_Rates!$C$7:$K$54,MATCH($C29,Unit_Rates!$C$7:$C$54,0),7)</f>
        <v>6.8116309209302308</v>
      </c>
      <c r="H29" s="299"/>
      <c r="I29" s="264" t="s">
        <v>292</v>
      </c>
      <c r="J29" s="157"/>
      <c r="K29" s="226">
        <f t="shared" si="7"/>
        <v>0</v>
      </c>
      <c r="L29" s="302">
        <f t="shared" si="2"/>
        <v>0</v>
      </c>
      <c r="M29" s="306"/>
      <c r="N29" s="570"/>
      <c r="O29" s="571"/>
      <c r="P29" s="569"/>
      <c r="Q29" s="336">
        <f>P29-H29*VLOOKUP(C29,Unit_Rates!$C$7:$E$39,3,FALSE)</f>
        <v>0</v>
      </c>
      <c r="R29" s="327">
        <v>0</v>
      </c>
      <c r="S29" s="327">
        <v>0</v>
      </c>
      <c r="T29" s="327">
        <v>0</v>
      </c>
      <c r="U29" s="327">
        <v>0</v>
      </c>
      <c r="V29" s="327">
        <v>0</v>
      </c>
      <c r="W29" s="327">
        <v>0</v>
      </c>
      <c r="X29" s="327">
        <v>0</v>
      </c>
      <c r="Y29" s="14">
        <f t="shared" si="3"/>
        <v>0</v>
      </c>
    </row>
    <row r="30" spans="2:33" x14ac:dyDescent="0.3">
      <c r="B30" s="232"/>
      <c r="C30" s="171" t="s">
        <v>333</v>
      </c>
      <c r="D30" s="171" t="str">
        <f>INDEX(Unit_Rates!$C$7:$K$54,MATCH($C30,Unit_Rates!$C$7:$C$54,0),5)</f>
        <v>Subtransmission</v>
      </c>
      <c r="E30" s="171" t="str">
        <f>INDEX(Unit_Rates!$C$7:$K$54,MATCH($C30,Unit_Rates!$C$7:$C$54,0),6)</f>
        <v>Augmentation</v>
      </c>
      <c r="F30" s="171" t="str">
        <f t="shared" si="4"/>
        <v>SubtransmissionAugmentation</v>
      </c>
      <c r="G30" s="268">
        <f>INDEX(Unit_Rates!$C$7:$K$54,MATCH($C30,Unit_Rates!$C$7:$C$54,0),7)</f>
        <v>0</v>
      </c>
      <c r="H30" s="299"/>
      <c r="I30" s="264" t="s">
        <v>292</v>
      </c>
      <c r="J30" s="157"/>
      <c r="K30" s="226">
        <f t="shared" si="7"/>
        <v>0</v>
      </c>
      <c r="L30" s="302">
        <f t="shared" si="2"/>
        <v>0</v>
      </c>
      <c r="M30" s="306"/>
      <c r="N30" s="570"/>
      <c r="O30" s="571"/>
      <c r="P30" s="569"/>
      <c r="Q30" s="336">
        <f>P30-H30*VLOOKUP(C30,Unit_Rates!$C$7:$E$39,3,FALSE)</f>
        <v>0</v>
      </c>
      <c r="R30" s="327">
        <v>0</v>
      </c>
      <c r="S30" s="327">
        <v>0</v>
      </c>
      <c r="T30" s="327">
        <v>0</v>
      </c>
      <c r="U30" s="327">
        <v>0</v>
      </c>
      <c r="V30" s="327">
        <v>0</v>
      </c>
      <c r="W30" s="327">
        <v>0</v>
      </c>
      <c r="X30" s="327">
        <v>0</v>
      </c>
      <c r="Y30" s="14">
        <f t="shared" si="3"/>
        <v>0</v>
      </c>
    </row>
    <row r="31" spans="2:33" x14ac:dyDescent="0.3">
      <c r="B31" s="232"/>
      <c r="C31" s="236" t="s">
        <v>493</v>
      </c>
      <c r="D31" s="171" t="str">
        <f>INDEX(Unit_Rates!$C$7:$K$54,MATCH($C31,Unit_Rates!$C$7:$C$54,0),5)</f>
        <v>Subtransmission</v>
      </c>
      <c r="E31" s="171" t="str">
        <f>INDEX(Unit_Rates!$C$7:$K$54,MATCH($C31,Unit_Rates!$C$7:$C$54,0),6)</f>
        <v>Augmentation</v>
      </c>
      <c r="F31" s="171" t="str">
        <f t="shared" ref="F31" si="8">D31&amp;E31</f>
        <v>SubtransmissionAugmentation</v>
      </c>
      <c r="G31" s="268">
        <f>INDEX(Unit_Rates!$C$7:$K$54,MATCH($C31,Unit_Rates!$C$7:$C$54,0),7)</f>
        <v>0</v>
      </c>
      <c r="H31" s="299">
        <f ca="1">OFFSET(Feeder_Vols!$C$6,MATCH($B$3,Feeder_Vols!$B$7:$B$15,0),0)</f>
        <v>8</v>
      </c>
      <c r="I31" s="264" t="s">
        <v>292</v>
      </c>
      <c r="J31" s="157"/>
      <c r="K31" s="226">
        <f t="shared" ca="1" si="7"/>
        <v>0</v>
      </c>
      <c r="L31" s="302">
        <f t="shared" si="2"/>
        <v>0</v>
      </c>
      <c r="M31" s="356"/>
      <c r="N31" s="568"/>
      <c r="O31" s="568"/>
      <c r="P31" s="569"/>
      <c r="Q31" s="336">
        <f ca="1">P31-H31*VLOOKUP(C31,Unit_Rates!$C$7:$E$39,3,FALSE)</f>
        <v>0</v>
      </c>
      <c r="R31" s="327">
        <v>0</v>
      </c>
      <c r="S31" s="327">
        <v>0</v>
      </c>
      <c r="T31" s="327">
        <v>0</v>
      </c>
      <c r="U31" s="327">
        <v>0</v>
      </c>
      <c r="V31" s="327">
        <v>0</v>
      </c>
      <c r="W31" s="327">
        <v>0</v>
      </c>
      <c r="X31" s="327">
        <v>0</v>
      </c>
      <c r="Y31" s="14">
        <f t="shared" si="3"/>
        <v>0</v>
      </c>
    </row>
    <row r="32" spans="2:33" x14ac:dyDescent="0.3">
      <c r="B32" s="232"/>
      <c r="C32" s="171" t="s">
        <v>335</v>
      </c>
      <c r="D32" s="171" t="str">
        <f>INDEX(Unit_Rates!$C$7:$K$54,MATCH($C32,Unit_Rates!$C$7:$C$54,0),5)</f>
        <v>Subtransmission</v>
      </c>
      <c r="E32" s="171" t="str">
        <f>INDEX(Unit_Rates!$C$7:$K$54,MATCH($C32,Unit_Rates!$C$7:$C$54,0),6)</f>
        <v>Augmentation</v>
      </c>
      <c r="F32" s="171" t="str">
        <f t="shared" si="4"/>
        <v>SubtransmissionAugmentation</v>
      </c>
      <c r="G32" s="268">
        <f>INDEX(Unit_Rates!$C$7:$K$54,MATCH($C32,Unit_Rates!$C$7:$C$54,0),7)</f>
        <v>0</v>
      </c>
      <c r="H32" s="299">
        <v>9</v>
      </c>
      <c r="I32" s="264" t="s">
        <v>292</v>
      </c>
      <c r="J32" s="157"/>
      <c r="K32" s="226">
        <f t="shared" si="7"/>
        <v>0</v>
      </c>
      <c r="L32" s="302">
        <f t="shared" si="2"/>
        <v>0</v>
      </c>
      <c r="M32" s="306"/>
      <c r="N32" s="570"/>
      <c r="O32" s="571"/>
      <c r="P32" s="569"/>
      <c r="Q32" s="336">
        <f>P32-H32*VLOOKUP(C32,Unit_Rates!$C$7:$E$39,3,FALSE)</f>
        <v>0</v>
      </c>
      <c r="R32" s="327">
        <v>0</v>
      </c>
      <c r="S32" s="327">
        <v>0</v>
      </c>
      <c r="T32" s="327">
        <v>0</v>
      </c>
      <c r="U32" s="327">
        <v>0</v>
      </c>
      <c r="V32" s="327">
        <v>0</v>
      </c>
      <c r="W32" s="327">
        <v>0</v>
      </c>
      <c r="X32" s="327">
        <v>0</v>
      </c>
      <c r="Y32" s="14">
        <f t="shared" si="3"/>
        <v>0</v>
      </c>
    </row>
    <row r="33" spans="2:53" x14ac:dyDescent="0.3">
      <c r="B33" s="232"/>
      <c r="C33" s="171" t="s">
        <v>336</v>
      </c>
      <c r="D33" s="171" t="str">
        <f>INDEX(Unit_Rates!$C$7:$K$54,MATCH($C33,Unit_Rates!$C$7:$C$54,0),5)</f>
        <v>Subtransmission</v>
      </c>
      <c r="E33" s="171" t="str">
        <f>INDEX(Unit_Rates!$C$7:$K$54,MATCH($C33,Unit_Rates!$C$7:$C$54,0),6)</f>
        <v>Augmentation</v>
      </c>
      <c r="F33" s="171" t="str">
        <f t="shared" si="4"/>
        <v>SubtransmissionAugmentation</v>
      </c>
      <c r="G33" s="268">
        <f>INDEX(Unit_Rates!$C$7:$K$54,MATCH($C33,Unit_Rates!$C$7:$C$54,0),7)</f>
        <v>0.60844172586161538</v>
      </c>
      <c r="H33" s="299">
        <v>7</v>
      </c>
      <c r="I33" s="264" t="s">
        <v>292</v>
      </c>
      <c r="J33" s="157"/>
      <c r="K33" s="226">
        <f t="shared" si="7"/>
        <v>4.2590920810313078</v>
      </c>
      <c r="L33" s="302">
        <f t="shared" si="2"/>
        <v>0</v>
      </c>
      <c r="M33" s="306"/>
      <c r="N33" s="570"/>
      <c r="O33" s="571"/>
      <c r="P33" s="569"/>
      <c r="Q33" s="336">
        <f>P33-H33*VLOOKUP(C33,Unit_Rates!$C$7:$E$39,3,FALSE)</f>
        <v>0</v>
      </c>
      <c r="R33" s="327">
        <v>0</v>
      </c>
      <c r="S33" s="327">
        <v>0</v>
      </c>
      <c r="T33" s="327">
        <v>0</v>
      </c>
      <c r="U33" s="327">
        <v>0</v>
      </c>
      <c r="V33" s="327">
        <v>0</v>
      </c>
      <c r="W33" s="327">
        <v>0</v>
      </c>
      <c r="X33" s="327">
        <v>0</v>
      </c>
      <c r="Y33" s="14">
        <f t="shared" si="3"/>
        <v>0</v>
      </c>
    </row>
    <row r="34" spans="2:53" x14ac:dyDescent="0.3">
      <c r="B34" s="232"/>
      <c r="C34" s="171" t="s">
        <v>495</v>
      </c>
      <c r="D34" s="171" t="str">
        <f>INDEX(Unit_Rates!$C$7:$K$54,MATCH($C34,Unit_Rates!$C$7:$C$54,0),5)</f>
        <v>Subtransmission</v>
      </c>
      <c r="E34" s="171" t="str">
        <f>INDEX(Unit_Rates!$C$7:$K$54,MATCH($C34,Unit_Rates!$C$7:$C$54,0),6)</f>
        <v>Augmentation</v>
      </c>
      <c r="F34" s="171" t="str">
        <f t="shared" si="4"/>
        <v>SubtransmissionAugmentation</v>
      </c>
      <c r="G34" s="268">
        <f>INDEX(Unit_Rates!$C$7:$K$54,MATCH($C34,Unit_Rates!$C$7:$C$54,0),7)</f>
        <v>0</v>
      </c>
      <c r="H34" s="299">
        <v>1</v>
      </c>
      <c r="I34" s="264" t="s">
        <v>292</v>
      </c>
      <c r="J34" s="157"/>
      <c r="K34" s="226">
        <f t="shared" si="7"/>
        <v>0</v>
      </c>
      <c r="L34" s="302">
        <f t="shared" si="2"/>
        <v>0</v>
      </c>
      <c r="M34" s="306"/>
      <c r="N34" s="570"/>
      <c r="O34" s="571"/>
      <c r="P34" s="569"/>
      <c r="Q34" s="336">
        <f>P34-H34*VLOOKUP(C34,Unit_Rates!$C$7:$E$39,3,FALSE)</f>
        <v>0</v>
      </c>
      <c r="R34" s="327">
        <v>0</v>
      </c>
      <c r="S34" s="327">
        <v>0</v>
      </c>
      <c r="T34" s="327">
        <v>0</v>
      </c>
      <c r="U34" s="327">
        <v>0</v>
      </c>
      <c r="V34" s="327">
        <v>0</v>
      </c>
      <c r="W34" s="327">
        <v>0</v>
      </c>
      <c r="X34" s="327">
        <v>0</v>
      </c>
      <c r="Y34" s="14">
        <f t="shared" si="3"/>
        <v>0</v>
      </c>
    </row>
    <row r="35" spans="2:53" x14ac:dyDescent="0.3">
      <c r="B35" s="232"/>
      <c r="C35" s="171" t="s">
        <v>209</v>
      </c>
      <c r="D35" s="171" t="str">
        <f>INDEX(Unit_Rates!$C$7:$K$54,MATCH($C35,Unit_Rates!$C$7:$C$54,0),5)</f>
        <v>Subtransmission</v>
      </c>
      <c r="E35" s="171" t="str">
        <f>INDEX(Unit_Rates!$C$7:$K$54,MATCH($C35,Unit_Rates!$C$7:$C$54,0),6)</f>
        <v>Augmentation</v>
      </c>
      <c r="F35" s="171" t="str">
        <f t="shared" si="4"/>
        <v>SubtransmissionAugmentation</v>
      </c>
      <c r="G35" s="268">
        <f>INDEX(Unit_Rates!$C$7:$K$54,MATCH($C35,Unit_Rates!$C$7:$C$54,0),7)</f>
        <v>94.457808471454882</v>
      </c>
      <c r="H35" s="299">
        <v>2</v>
      </c>
      <c r="I35" s="264" t="s">
        <v>292</v>
      </c>
      <c r="J35" s="157"/>
      <c r="K35" s="226">
        <f t="shared" si="5"/>
        <v>188.91561694290976</v>
      </c>
      <c r="L35" s="302">
        <f t="shared" si="2"/>
        <v>0</v>
      </c>
      <c r="M35" s="306"/>
      <c r="N35" s="570"/>
      <c r="O35" s="571"/>
      <c r="P35" s="569"/>
      <c r="Q35" s="336">
        <f>P35-H35*VLOOKUP(C35,Unit_Rates!$C$7:$E$39,3,FALSE)</f>
        <v>0</v>
      </c>
      <c r="R35" s="327">
        <v>0</v>
      </c>
      <c r="S35" s="327">
        <v>0</v>
      </c>
      <c r="T35" s="327">
        <v>0</v>
      </c>
      <c r="U35" s="327">
        <v>0</v>
      </c>
      <c r="V35" s="327">
        <v>0</v>
      </c>
      <c r="W35" s="327">
        <v>0</v>
      </c>
      <c r="X35" s="327">
        <v>0</v>
      </c>
      <c r="Y35" s="14">
        <f t="shared" si="3"/>
        <v>0</v>
      </c>
    </row>
    <row r="36" spans="2:53" x14ac:dyDescent="0.3">
      <c r="B36" s="232"/>
      <c r="C36" s="171" t="s">
        <v>497</v>
      </c>
      <c r="D36" s="171" t="str">
        <f>INDEX(Unit_Rates!$C$7:$K$54,MATCH($C36,Unit_Rates!$C$7:$C$54,0),5)</f>
        <v>Subtransmission</v>
      </c>
      <c r="E36" s="171" t="str">
        <f>INDEX(Unit_Rates!$C$7:$K$54,MATCH($C36,Unit_Rates!$C$7:$C$54,0),6)</f>
        <v>Augmentation</v>
      </c>
      <c r="F36" s="171" t="str">
        <f t="shared" si="4"/>
        <v>SubtransmissionAugmentation</v>
      </c>
      <c r="G36" s="268">
        <f>INDEX(Unit_Rates!$C$7:$K$54,MATCH($C36,Unit_Rates!$C$7:$C$54,0),7)</f>
        <v>0</v>
      </c>
      <c r="H36" s="299">
        <v>1</v>
      </c>
      <c r="I36" s="264" t="s">
        <v>292</v>
      </c>
      <c r="J36" s="157"/>
      <c r="K36" s="226">
        <f t="shared" si="5"/>
        <v>0</v>
      </c>
      <c r="L36" s="302">
        <f t="shared" si="2"/>
        <v>0</v>
      </c>
      <c r="M36" s="306"/>
      <c r="N36" s="570"/>
      <c r="O36" s="571"/>
      <c r="P36" s="569"/>
      <c r="Q36" s="336">
        <f>P36-H36*VLOOKUP(C36,Unit_Rates!$C$7:$E$39,3,FALSE)</f>
        <v>0</v>
      </c>
      <c r="R36" s="327">
        <v>0</v>
      </c>
      <c r="S36" s="327">
        <v>0</v>
      </c>
      <c r="T36" s="327">
        <v>0</v>
      </c>
      <c r="U36" s="327">
        <v>0</v>
      </c>
      <c r="V36" s="327">
        <v>0</v>
      </c>
      <c r="W36" s="327">
        <v>0</v>
      </c>
      <c r="X36" s="327">
        <v>0</v>
      </c>
      <c r="Y36" s="14">
        <f t="shared" si="3"/>
        <v>0</v>
      </c>
    </row>
    <row r="37" spans="2:53" x14ac:dyDescent="0.3">
      <c r="B37" s="232"/>
      <c r="C37" s="171" t="s">
        <v>364</v>
      </c>
      <c r="D37" s="171" t="str">
        <f>INDEX(Unit_Rates!$C$7:$K$54,MATCH($C37,Unit_Rates!$C$7:$C$54,0),5)</f>
        <v>Subtransmission</v>
      </c>
      <c r="E37" s="171" t="str">
        <f>INDEX(Unit_Rates!$C$7:$K$54,MATCH($C37,Unit_Rates!$C$7:$C$54,0),6)</f>
        <v>Augmentation</v>
      </c>
      <c r="F37" s="171" t="str">
        <f t="shared" si="4"/>
        <v>SubtransmissionAugmentation</v>
      </c>
      <c r="G37" s="268">
        <f>INDEX(Unit_Rates!$C$7:$K$54,MATCH($C37,Unit_Rates!$C$7:$C$54,0),7)</f>
        <v>226.61039779005526</v>
      </c>
      <c r="H37" s="299"/>
      <c r="I37" s="264" t="s">
        <v>292</v>
      </c>
      <c r="J37" s="157"/>
      <c r="K37" s="226">
        <f t="shared" si="5"/>
        <v>0</v>
      </c>
      <c r="L37" s="302">
        <f t="shared" si="2"/>
        <v>0</v>
      </c>
      <c r="M37" s="306"/>
      <c r="N37" s="570"/>
      <c r="O37" s="571"/>
      <c r="P37" s="569"/>
      <c r="Q37" s="336">
        <f>P37-H37*VLOOKUP(C37,Unit_Rates!$C$7:$E$39,3,FALSE)</f>
        <v>0</v>
      </c>
      <c r="R37" s="327">
        <v>0</v>
      </c>
      <c r="S37" s="327">
        <v>0</v>
      </c>
      <c r="T37" s="327">
        <v>0</v>
      </c>
      <c r="U37" s="327">
        <v>0</v>
      </c>
      <c r="V37" s="327">
        <v>0</v>
      </c>
      <c r="W37" s="327">
        <v>0</v>
      </c>
      <c r="X37" s="327">
        <v>0</v>
      </c>
      <c r="Y37" s="14">
        <f t="shared" si="3"/>
        <v>0</v>
      </c>
    </row>
    <row r="38" spans="2:53" x14ac:dyDescent="0.3">
      <c r="B38" s="232"/>
      <c r="C38" s="236" t="s">
        <v>273</v>
      </c>
      <c r="D38" s="171" t="str">
        <f>INDEX(Unit_Rates!$C$7:$K$54,MATCH($C38,Unit_Rates!$C$7:$C$54,0),5)</f>
        <v>Subtransmission</v>
      </c>
      <c r="E38" s="171" t="str">
        <f>INDEX(Unit_Rates!$C$7:$K$54,MATCH($C38,Unit_Rates!$C$7:$C$54,0),6)</f>
        <v>Augmentation</v>
      </c>
      <c r="F38" s="171" t="str">
        <f t="shared" si="4"/>
        <v>SubtransmissionAugmentation</v>
      </c>
      <c r="G38" s="268">
        <f>INDEX(Unit_Rates!$C$7:$K$54,MATCH($C38,Unit_Rates!$C$7:$C$54,0),7)</f>
        <v>362.24270165745855</v>
      </c>
      <c r="H38" s="299">
        <v>1</v>
      </c>
      <c r="I38" s="264" t="s">
        <v>292</v>
      </c>
      <c r="J38" s="157"/>
      <c r="K38" s="226">
        <f t="shared" si="5"/>
        <v>362.24270165745855</v>
      </c>
      <c r="L38" s="302">
        <f t="shared" si="2"/>
        <v>0</v>
      </c>
      <c r="M38" s="306"/>
      <c r="N38" s="570"/>
      <c r="O38" s="571"/>
      <c r="P38" s="569"/>
      <c r="Q38" s="336">
        <f>P38-H38*VLOOKUP(C38,Unit_Rates!$C$7:$E$39,3,FALSE)</f>
        <v>0</v>
      </c>
      <c r="R38" s="327">
        <v>0</v>
      </c>
      <c r="S38" s="327">
        <v>0</v>
      </c>
      <c r="T38" s="327">
        <v>0</v>
      </c>
      <c r="U38" s="327">
        <v>0</v>
      </c>
      <c r="V38" s="327">
        <v>0</v>
      </c>
      <c r="W38" s="327">
        <v>0</v>
      </c>
      <c r="X38" s="327">
        <v>0</v>
      </c>
      <c r="Y38" s="14">
        <f t="shared" si="3"/>
        <v>0</v>
      </c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</row>
    <row r="39" spans="2:53" x14ac:dyDescent="0.3">
      <c r="B39" s="232"/>
      <c r="C39" s="171" t="s">
        <v>303</v>
      </c>
      <c r="D39" s="171" t="s">
        <v>18</v>
      </c>
      <c r="E39" s="171" t="s">
        <v>42</v>
      </c>
      <c r="F39" s="171" t="str">
        <f t="shared" si="4"/>
        <v>SubtransmissionAugmentation</v>
      </c>
      <c r="G39" s="441">
        <v>9.3594395191799795E-2</v>
      </c>
      <c r="H39" s="299">
        <v>1290</v>
      </c>
      <c r="I39" s="264" t="s">
        <v>318</v>
      </c>
      <c r="J39" s="157"/>
      <c r="K39" s="226">
        <f t="shared" si="5"/>
        <v>120.73676979742173</v>
      </c>
      <c r="L39" s="302">
        <f t="shared" si="2"/>
        <v>0</v>
      </c>
      <c r="M39" s="356"/>
      <c r="N39" s="568"/>
      <c r="O39" s="573"/>
      <c r="P39" s="569"/>
      <c r="Q39" s="290"/>
      <c r="R39" s="327">
        <v>0</v>
      </c>
      <c r="S39" s="327">
        <v>0</v>
      </c>
      <c r="T39" s="327">
        <v>0</v>
      </c>
      <c r="U39" s="327">
        <v>0</v>
      </c>
      <c r="V39" s="327">
        <v>0</v>
      </c>
      <c r="W39" s="327">
        <v>0</v>
      </c>
      <c r="X39" s="327">
        <v>0</v>
      </c>
      <c r="Y39" s="14">
        <f t="shared" si="3"/>
        <v>0</v>
      </c>
      <c r="AO39" s="236"/>
      <c r="AP39" s="318"/>
      <c r="AQ39" s="546"/>
      <c r="AR39" s="318"/>
      <c r="AS39" s="318"/>
      <c r="AT39" s="318"/>
      <c r="AU39" s="318"/>
      <c r="AV39" s="318"/>
      <c r="AW39" s="318"/>
      <c r="AX39" s="547"/>
      <c r="AY39" s="548"/>
      <c r="AZ39" s="318"/>
      <c r="BA39" s="236"/>
    </row>
    <row r="40" spans="2:53" x14ac:dyDescent="0.3">
      <c r="B40" s="232"/>
      <c r="C40" s="171" t="s">
        <v>60</v>
      </c>
      <c r="D40" s="171" t="s">
        <v>18</v>
      </c>
      <c r="E40" s="171" t="s">
        <v>42</v>
      </c>
      <c r="F40" s="171" t="str">
        <f t="shared" si="4"/>
        <v>SubtransmissionAugmentation</v>
      </c>
      <c r="G40" s="441">
        <v>3.3003079</v>
      </c>
      <c r="H40" s="299"/>
      <c r="I40" s="264" t="s">
        <v>292</v>
      </c>
      <c r="J40" s="157"/>
      <c r="K40" s="226">
        <f t="shared" si="5"/>
        <v>0</v>
      </c>
      <c r="L40" s="227">
        <f t="shared" si="2"/>
        <v>0</v>
      </c>
      <c r="M40" s="306"/>
      <c r="N40" s="568"/>
      <c r="O40" s="573"/>
      <c r="P40" s="569"/>
      <c r="Q40" s="290"/>
      <c r="R40" s="327">
        <v>0</v>
      </c>
      <c r="S40" s="327">
        <v>0</v>
      </c>
      <c r="T40" s="327">
        <v>0</v>
      </c>
      <c r="U40" s="327">
        <v>0</v>
      </c>
      <c r="V40" s="327">
        <v>0</v>
      </c>
      <c r="W40" s="327">
        <v>0</v>
      </c>
      <c r="X40" s="327">
        <v>0</v>
      </c>
      <c r="Y40" s="14">
        <f t="shared" si="3"/>
        <v>0</v>
      </c>
      <c r="AO40" s="236"/>
      <c r="AP40" s="318"/>
      <c r="AQ40" s="274"/>
      <c r="AR40" s="549"/>
      <c r="AS40" s="236"/>
      <c r="AT40" s="549"/>
      <c r="AU40" s="549"/>
      <c r="AV40" s="549"/>
      <c r="AW40" s="415"/>
      <c r="AX40" s="547"/>
      <c r="AY40" s="236"/>
      <c r="AZ40" s="416"/>
      <c r="BA40" s="236"/>
    </row>
    <row r="41" spans="2:53" x14ac:dyDescent="0.3">
      <c r="B41" s="232"/>
      <c r="C41" s="171"/>
      <c r="D41" s="171"/>
      <c r="E41" s="171"/>
      <c r="F41" s="171"/>
      <c r="G41" s="268"/>
      <c r="H41" s="232"/>
      <c r="I41" s="224"/>
      <c r="J41" s="157"/>
      <c r="K41" s="225"/>
      <c r="L41" s="224"/>
      <c r="M41" s="224"/>
      <c r="N41" s="225"/>
      <c r="O41" s="225"/>
      <c r="P41" s="224"/>
      <c r="Q41" s="291"/>
      <c r="R41" s="326"/>
      <c r="S41" s="326"/>
      <c r="T41" s="326"/>
      <c r="U41" s="326"/>
      <c r="V41" s="326"/>
      <c r="W41" s="326"/>
      <c r="X41" s="326"/>
      <c r="AO41" s="236"/>
      <c r="AP41" s="318"/>
      <c r="AQ41" s="274"/>
      <c r="AR41" s="549"/>
      <c r="AS41" s="549"/>
      <c r="AT41" s="549"/>
      <c r="AU41" s="549"/>
      <c r="AV41" s="549"/>
      <c r="AW41" s="415"/>
      <c r="AX41" s="547"/>
      <c r="AY41" s="236"/>
      <c r="AZ41" s="416"/>
      <c r="BA41" s="236"/>
    </row>
    <row r="42" spans="2:53" x14ac:dyDescent="0.3">
      <c r="B42" s="251" t="s">
        <v>307</v>
      </c>
      <c r="C42" s="171"/>
      <c r="D42" s="171"/>
      <c r="E42" s="171"/>
      <c r="F42" s="171"/>
      <c r="G42" s="268"/>
      <c r="H42" s="277"/>
      <c r="I42" s="266"/>
      <c r="J42" s="274"/>
      <c r="K42" s="226"/>
      <c r="L42" s="226"/>
      <c r="M42" s="226"/>
      <c r="N42" s="281"/>
      <c r="O42" s="226"/>
      <c r="P42" s="223"/>
      <c r="Q42" s="290"/>
      <c r="R42" s="326"/>
      <c r="S42" s="326"/>
      <c r="T42" s="326"/>
      <c r="U42" s="326"/>
      <c r="V42" s="326"/>
      <c r="W42" s="326"/>
      <c r="X42" s="326"/>
      <c r="AO42" s="236"/>
      <c r="AP42" s="318"/>
      <c r="AQ42" s="274"/>
      <c r="AR42" s="549"/>
      <c r="AS42" s="549"/>
      <c r="AT42" s="549"/>
      <c r="AU42" s="549"/>
      <c r="AV42" s="549"/>
      <c r="AW42" s="415"/>
      <c r="AX42" s="547"/>
      <c r="AY42" s="236"/>
      <c r="AZ42" s="416"/>
      <c r="BA42" s="236"/>
    </row>
    <row r="43" spans="2:53" x14ac:dyDescent="0.3">
      <c r="B43" s="232"/>
      <c r="C43" s="276" t="s">
        <v>500</v>
      </c>
      <c r="D43" s="171" t="str">
        <f>INDEX(Unit_Rates!$C$7:$K$54,MATCH($C43,Unit_Rates!$C$7:$C$54,0),5)</f>
        <v>SCADA/Network control</v>
      </c>
      <c r="E43" s="171" t="str">
        <f>INDEX(Unit_Rates!$C$7:$K$54,MATCH($C43,Unit_Rates!$C$7:$C$54,0),6)</f>
        <v>Augmentation</v>
      </c>
      <c r="F43" s="171" t="str">
        <f t="shared" ref="F43:F51" si="9">D43&amp;E43</f>
        <v>SCADA/Network controlAugmentation</v>
      </c>
      <c r="G43" s="268">
        <f>INDEX(Unit_Rates!$C$7:$K$54,MATCH($C43,Unit_Rates!$C$7:$C$54,0),7)</f>
        <v>58.317856353591161</v>
      </c>
      <c r="H43" s="299">
        <v>1</v>
      </c>
      <c r="I43" s="264" t="s">
        <v>292</v>
      </c>
      <c r="J43" s="157"/>
      <c r="K43" s="225">
        <f>G43*H43</f>
        <v>58.317856353591161</v>
      </c>
      <c r="L43" s="225">
        <f t="shared" ref="L43:L51" si="10">SUMPRODUCT(R$5:X$5,R43:X43)/Thousands</f>
        <v>0</v>
      </c>
      <c r="M43" s="306"/>
      <c r="N43" s="570"/>
      <c r="O43" s="571"/>
      <c r="P43" s="569"/>
      <c r="Q43" s="336">
        <f>P43-H43*VLOOKUP(C43,Unit_Rates!$C$44:$E$54,3,FALSE)</f>
        <v>0</v>
      </c>
      <c r="R43" s="327">
        <v>0</v>
      </c>
      <c r="S43" s="327">
        <v>0</v>
      </c>
      <c r="T43" s="327">
        <v>0</v>
      </c>
      <c r="U43" s="327">
        <v>0</v>
      </c>
      <c r="V43" s="327">
        <v>0</v>
      </c>
      <c r="W43" s="327">
        <v>0</v>
      </c>
      <c r="X43" s="327">
        <v>0</v>
      </c>
      <c r="Y43" s="14">
        <f t="shared" ref="Y43:Y51" si="11">SUM(R43:X43)</f>
        <v>0</v>
      </c>
      <c r="AO43" s="236"/>
      <c r="AP43" s="318"/>
      <c r="AQ43" s="274"/>
      <c r="AR43" s="549"/>
      <c r="AS43" s="555"/>
      <c r="AT43" s="550"/>
      <c r="AU43" s="550"/>
      <c r="AV43" s="236"/>
      <c r="AW43" s="415"/>
      <c r="AX43" s="547"/>
      <c r="AY43" s="236"/>
      <c r="AZ43" s="416"/>
      <c r="BA43" s="236"/>
    </row>
    <row r="44" spans="2:53" x14ac:dyDescent="0.3">
      <c r="B44" s="232"/>
      <c r="C44" s="276" t="s">
        <v>319</v>
      </c>
      <c r="D44" s="171" t="str">
        <f>INDEX(Unit_Rates!$C$7:$K$54,MATCH($C44,Unit_Rates!$C$7:$C$54,0),5)</f>
        <v>SCADA/Network control</v>
      </c>
      <c r="E44" s="171" t="str">
        <f>INDEX(Unit_Rates!$C$7:$K$54,MATCH($C44,Unit_Rates!$C$7:$C$54,0),6)</f>
        <v>Augmentation</v>
      </c>
      <c r="F44" s="171" t="str">
        <f t="shared" si="9"/>
        <v>SCADA/Network controlAugmentation</v>
      </c>
      <c r="G44" s="268">
        <f>INDEX(Unit_Rates!$C$7:$K$54,MATCH($C44,Unit_Rates!$C$7:$C$54,0),7)</f>
        <v>5.88950276243094</v>
      </c>
      <c r="H44" s="299">
        <v>2</v>
      </c>
      <c r="I44" s="264" t="s">
        <v>292</v>
      </c>
      <c r="J44" s="157"/>
      <c r="K44" s="225">
        <f>G44*H44</f>
        <v>11.77900552486188</v>
      </c>
      <c r="L44" s="225">
        <f t="shared" si="10"/>
        <v>0</v>
      </c>
      <c r="M44" s="306"/>
      <c r="N44" s="570"/>
      <c r="O44" s="571"/>
      <c r="P44" s="569"/>
      <c r="Q44" s="336">
        <f>P44-H44*VLOOKUP(C44,Unit_Rates!$C$44:$E$54,3,FALSE)</f>
        <v>0</v>
      </c>
      <c r="R44" s="327">
        <v>0</v>
      </c>
      <c r="S44" s="327">
        <v>0</v>
      </c>
      <c r="T44" s="327">
        <v>0</v>
      </c>
      <c r="U44" s="327">
        <v>0</v>
      </c>
      <c r="V44" s="327">
        <v>0</v>
      </c>
      <c r="W44" s="327">
        <v>0</v>
      </c>
      <c r="X44" s="327">
        <v>0</v>
      </c>
      <c r="Y44" s="14">
        <f t="shared" si="11"/>
        <v>0</v>
      </c>
      <c r="AO44" s="236"/>
      <c r="AP44" s="236"/>
      <c r="AQ44" s="236"/>
      <c r="AR44" s="236"/>
      <c r="AS44" s="236"/>
      <c r="AT44" s="236"/>
      <c r="AU44" s="236"/>
      <c r="AV44" s="236"/>
      <c r="AW44" s="415"/>
      <c r="AX44" s="236"/>
      <c r="AY44" s="236"/>
      <c r="AZ44" s="416"/>
      <c r="BA44" s="236"/>
    </row>
    <row r="45" spans="2:53" x14ac:dyDescent="0.3">
      <c r="B45" s="232"/>
      <c r="C45" s="276" t="s">
        <v>321</v>
      </c>
      <c r="D45" s="171" t="str">
        <f>INDEX(Unit_Rates!$C$7:$K$54,MATCH($C45,Unit_Rates!$C$7:$C$54,0),5)</f>
        <v>SCADA/Network control</v>
      </c>
      <c r="E45" s="171" t="str">
        <f>INDEX(Unit_Rates!$C$7:$K$54,MATCH($C45,Unit_Rates!$C$7:$C$54,0),6)</f>
        <v>Augmentation</v>
      </c>
      <c r="F45" s="171" t="str">
        <f t="shared" si="9"/>
        <v>SCADA/Network controlAugmentation</v>
      </c>
      <c r="G45" s="268">
        <f>INDEX(Unit_Rates!$C$7:$K$54,MATCH($C45,Unit_Rates!$C$7:$C$54,0),7)</f>
        <v>8.2030957642725593</v>
      </c>
      <c r="H45" s="299">
        <v>2</v>
      </c>
      <c r="I45" s="264" t="s">
        <v>292</v>
      </c>
      <c r="J45" s="157"/>
      <c r="K45" s="225">
        <f t="shared" ref="K45:K46" si="12">G45*H45</f>
        <v>16.406191528545119</v>
      </c>
      <c r="L45" s="225">
        <f t="shared" si="10"/>
        <v>0</v>
      </c>
      <c r="M45" s="306"/>
      <c r="N45" s="570"/>
      <c r="O45" s="571"/>
      <c r="P45" s="569"/>
      <c r="Q45" s="336">
        <f>P45-H45*VLOOKUP(C45,Unit_Rates!$C$44:$E$54,3,FALSE)</f>
        <v>0</v>
      </c>
      <c r="R45" s="327"/>
      <c r="S45" s="327"/>
      <c r="T45" s="327"/>
      <c r="U45" s="327"/>
      <c r="V45" s="327"/>
      <c r="W45" s="327"/>
      <c r="X45" s="327"/>
      <c r="Y45" s="14">
        <f t="shared" si="11"/>
        <v>0</v>
      </c>
      <c r="AO45" s="236"/>
      <c r="AP45" s="236"/>
      <c r="AQ45" s="236"/>
      <c r="AR45" s="236"/>
      <c r="AS45" s="236"/>
      <c r="AT45" s="236"/>
      <c r="AU45" s="236"/>
      <c r="AV45" s="236"/>
      <c r="AW45" s="415"/>
      <c r="AX45" s="236"/>
      <c r="AY45" s="236"/>
      <c r="AZ45" s="416"/>
      <c r="BA45" s="236"/>
    </row>
    <row r="46" spans="2:53" x14ac:dyDescent="0.3">
      <c r="B46" s="232"/>
      <c r="C46" s="276" t="s">
        <v>520</v>
      </c>
      <c r="D46" s="171" t="str">
        <f>INDEX(Unit_Rates!$C$7:$K$54,MATCH($C46,Unit_Rates!$C$7:$C$54,0),5)</f>
        <v>SCADA/Network control</v>
      </c>
      <c r="E46" s="171" t="str">
        <f>INDEX(Unit_Rates!$C$7:$K$54,MATCH($C46,Unit_Rates!$C$7:$C$54,0),6)</f>
        <v>Augmentation</v>
      </c>
      <c r="F46" s="171" t="str">
        <f t="shared" si="9"/>
        <v>SCADA/Network controlAugmentation</v>
      </c>
      <c r="G46" s="268">
        <f>INDEX(Unit_Rates!$C$7:$K$54,MATCH($C46,Unit_Rates!$C$7:$C$54,0),7)</f>
        <v>92.456849907918979</v>
      </c>
      <c r="H46" s="299">
        <v>2</v>
      </c>
      <c r="I46" s="264" t="s">
        <v>292</v>
      </c>
      <c r="J46" s="157"/>
      <c r="K46" s="225">
        <f t="shared" si="12"/>
        <v>184.91369981583796</v>
      </c>
      <c r="L46" s="225">
        <f t="shared" si="10"/>
        <v>0</v>
      </c>
      <c r="M46" s="306"/>
      <c r="N46" s="570"/>
      <c r="O46" s="571"/>
      <c r="P46" s="569"/>
      <c r="Q46" s="336">
        <f>P46-H46*VLOOKUP(C46,Unit_Rates!$C$44:$E$54,3,FALSE)</f>
        <v>0</v>
      </c>
      <c r="R46" s="327"/>
      <c r="S46" s="327"/>
      <c r="T46" s="327"/>
      <c r="U46" s="327"/>
      <c r="V46" s="327"/>
      <c r="W46" s="327"/>
      <c r="X46" s="327"/>
      <c r="Y46" s="14">
        <f t="shared" si="11"/>
        <v>0</v>
      </c>
      <c r="AO46" s="236"/>
      <c r="AP46" s="236"/>
      <c r="AQ46" s="236"/>
      <c r="AR46" s="236"/>
      <c r="AS46" s="236"/>
      <c r="AT46" s="236"/>
      <c r="AU46" s="236"/>
      <c r="AV46" s="236"/>
      <c r="AW46" s="415"/>
      <c r="AX46" s="236"/>
      <c r="AY46" s="236"/>
      <c r="AZ46" s="416"/>
      <c r="BA46" s="236"/>
    </row>
    <row r="47" spans="2:53" x14ac:dyDescent="0.3">
      <c r="B47" s="232"/>
      <c r="C47" s="276" t="s">
        <v>528</v>
      </c>
      <c r="D47" s="171" t="str">
        <f>INDEX(Unit_Rates!$C$7:$K$54,MATCH($C47,Unit_Rates!$C$7:$C$54,0),5)</f>
        <v>SCADA/Network control</v>
      </c>
      <c r="E47" s="171" t="str">
        <f>INDEX(Unit_Rates!$C$7:$K$54,MATCH($C47,Unit_Rates!$C$7:$C$54,0),6)</f>
        <v>Augmentation</v>
      </c>
      <c r="F47" s="171" t="str">
        <f t="shared" ref="F47" si="13">D47&amp;E47</f>
        <v>SCADA/Network controlAugmentation</v>
      </c>
      <c r="G47" s="268">
        <f>INDEX(Unit_Rates!$C$7:$K$54,MATCH($C47,Unit_Rates!$C$7:$C$54,0),7)</f>
        <v>31.775830570902396</v>
      </c>
      <c r="H47" s="299">
        <v>1</v>
      </c>
      <c r="I47" s="264" t="s">
        <v>292</v>
      </c>
      <c r="J47" s="157"/>
      <c r="K47" s="225">
        <f t="shared" ref="K47" si="14">G47*H47</f>
        <v>31.775830570902396</v>
      </c>
      <c r="L47" s="225">
        <f t="shared" ref="L47" si="15">SUMPRODUCT(R$5:X$5,R47:X47)/Thousands</f>
        <v>0</v>
      </c>
      <c r="M47" s="306"/>
      <c r="N47" s="570"/>
      <c r="O47" s="571"/>
      <c r="P47" s="569"/>
      <c r="Q47" s="336">
        <f>P47-H47*VLOOKUP(C47,Unit_Rates!$C$44:$E$54,3,FALSE)</f>
        <v>0</v>
      </c>
      <c r="R47" s="327"/>
      <c r="S47" s="327"/>
      <c r="T47" s="327"/>
      <c r="U47" s="327"/>
      <c r="V47" s="327"/>
      <c r="W47" s="327"/>
      <c r="X47" s="327"/>
      <c r="Y47" s="14"/>
      <c r="AO47" s="236"/>
      <c r="AP47" s="236"/>
      <c r="AQ47" s="236"/>
      <c r="AR47" s="236"/>
      <c r="AS47" s="236"/>
      <c r="AT47" s="236"/>
      <c r="AU47" s="236"/>
      <c r="AV47" s="236"/>
      <c r="AW47" s="415"/>
      <c r="AX47" s="236"/>
      <c r="AY47" s="236"/>
      <c r="AZ47" s="416"/>
      <c r="BA47" s="236"/>
    </row>
    <row r="48" spans="2:53" x14ac:dyDescent="0.3">
      <c r="B48" s="232"/>
      <c r="C48" s="276" t="s">
        <v>332</v>
      </c>
      <c r="D48" s="276" t="s">
        <v>22</v>
      </c>
      <c r="E48" s="276" t="s">
        <v>42</v>
      </c>
      <c r="F48" s="171" t="str">
        <f t="shared" si="9"/>
        <v>SCADA/Network controlAugmentation</v>
      </c>
      <c r="G48" s="441">
        <v>39.419140550000002</v>
      </c>
      <c r="H48" s="299"/>
      <c r="I48" s="264" t="s">
        <v>292</v>
      </c>
      <c r="J48" s="157"/>
      <c r="K48" s="225">
        <f>G48*H48</f>
        <v>0</v>
      </c>
      <c r="L48" s="225">
        <f t="shared" si="10"/>
        <v>0</v>
      </c>
      <c r="M48" s="306"/>
      <c r="N48" s="568"/>
      <c r="O48" s="573"/>
      <c r="P48" s="569"/>
      <c r="Q48" s="290"/>
      <c r="R48" s="327">
        <v>0</v>
      </c>
      <c r="S48" s="327">
        <v>0</v>
      </c>
      <c r="T48" s="327">
        <v>0</v>
      </c>
      <c r="U48" s="327">
        <v>0</v>
      </c>
      <c r="V48" s="327">
        <v>0</v>
      </c>
      <c r="W48" s="327">
        <v>0</v>
      </c>
      <c r="X48" s="327">
        <v>0</v>
      </c>
      <c r="Y48" s="14">
        <f t="shared" si="11"/>
        <v>0</v>
      </c>
      <c r="AO48" s="236"/>
      <c r="AP48" s="236"/>
      <c r="AQ48" s="236"/>
      <c r="AR48" s="236"/>
      <c r="AS48" s="236"/>
      <c r="AT48" s="236"/>
      <c r="AU48" s="236"/>
      <c r="AV48" s="236"/>
      <c r="AW48" s="415"/>
      <c r="AX48" s="236"/>
      <c r="AY48" s="236"/>
      <c r="AZ48" s="416"/>
      <c r="BA48" s="236"/>
    </row>
    <row r="49" spans="2:53" x14ac:dyDescent="0.3">
      <c r="B49" s="232"/>
      <c r="C49" s="171" t="s">
        <v>324</v>
      </c>
      <c r="D49" s="171" t="s">
        <v>22</v>
      </c>
      <c r="E49" s="171" t="s">
        <v>42</v>
      </c>
      <c r="F49" s="171" t="str">
        <f t="shared" si="9"/>
        <v>SCADA/Network controlAugmentation</v>
      </c>
      <c r="G49" s="441">
        <v>15.5</v>
      </c>
      <c r="H49" s="299">
        <v>1</v>
      </c>
      <c r="I49" s="264" t="s">
        <v>292</v>
      </c>
      <c r="J49" s="157"/>
      <c r="K49" s="225">
        <f t="shared" ref="K49:K50" si="16">G49*H49</f>
        <v>15.5</v>
      </c>
      <c r="L49" s="225">
        <f t="shared" si="10"/>
        <v>0</v>
      </c>
      <c r="M49" s="306"/>
      <c r="N49" s="568"/>
      <c r="O49" s="573"/>
      <c r="P49" s="569"/>
      <c r="Q49" s="290"/>
      <c r="R49" s="327">
        <v>0</v>
      </c>
      <c r="S49" s="327">
        <v>0</v>
      </c>
      <c r="T49" s="327">
        <v>0</v>
      </c>
      <c r="U49" s="327">
        <v>0</v>
      </c>
      <c r="V49" s="327">
        <v>0</v>
      </c>
      <c r="W49" s="327">
        <v>0</v>
      </c>
      <c r="X49" s="327">
        <v>0</v>
      </c>
      <c r="Y49" s="14">
        <f t="shared" si="11"/>
        <v>0</v>
      </c>
      <c r="AO49" s="236"/>
      <c r="AP49" s="318"/>
      <c r="AQ49" s="318"/>
      <c r="AR49" s="551"/>
      <c r="AS49" s="551"/>
      <c r="AT49" s="551"/>
      <c r="AU49" s="551"/>
      <c r="AV49" s="551"/>
      <c r="AW49" s="551"/>
      <c r="AX49" s="547"/>
      <c r="AY49" s="236"/>
      <c r="AZ49" s="416"/>
      <c r="BA49" s="236"/>
    </row>
    <row r="50" spans="2:53" x14ac:dyDescent="0.3">
      <c r="B50" s="232"/>
      <c r="C50" s="171" t="s">
        <v>322</v>
      </c>
      <c r="D50" s="171" t="s">
        <v>22</v>
      </c>
      <c r="E50" s="171" t="s">
        <v>42</v>
      </c>
      <c r="F50" s="171" t="str">
        <f t="shared" si="9"/>
        <v>SCADA/Network controlAugmentation</v>
      </c>
      <c r="G50" s="441">
        <v>126.44800000000001</v>
      </c>
      <c r="H50" s="299">
        <v>1</v>
      </c>
      <c r="I50" s="264" t="s">
        <v>292</v>
      </c>
      <c r="J50" s="157"/>
      <c r="K50" s="225">
        <f t="shared" si="16"/>
        <v>126.44800000000001</v>
      </c>
      <c r="L50" s="225">
        <f t="shared" si="10"/>
        <v>0</v>
      </c>
      <c r="M50" s="306"/>
      <c r="N50" s="568"/>
      <c r="O50" s="573"/>
      <c r="P50" s="569"/>
      <c r="Q50" s="290"/>
      <c r="R50" s="327">
        <v>0</v>
      </c>
      <c r="S50" s="327">
        <v>0</v>
      </c>
      <c r="T50" s="327">
        <v>0</v>
      </c>
      <c r="U50" s="327">
        <v>0</v>
      </c>
      <c r="V50" s="327">
        <v>0</v>
      </c>
      <c r="W50" s="327">
        <v>0</v>
      </c>
      <c r="X50" s="327">
        <v>0</v>
      </c>
      <c r="Y50" s="14">
        <f t="shared" si="11"/>
        <v>0</v>
      </c>
      <c r="AO50" s="236"/>
      <c r="AP50" s="236"/>
      <c r="AQ50" s="558"/>
      <c r="AR50" s="416"/>
      <c r="AS50" s="416"/>
      <c r="AT50" s="416"/>
      <c r="AU50" s="416"/>
      <c r="AV50" s="416"/>
      <c r="AW50" s="416"/>
      <c r="AX50" s="236"/>
      <c r="AY50" s="236"/>
      <c r="AZ50" s="416"/>
      <c r="BA50" s="236"/>
    </row>
    <row r="51" spans="2:53" x14ac:dyDescent="0.3">
      <c r="B51" s="251" t="s">
        <v>281</v>
      </c>
      <c r="C51" s="171"/>
      <c r="D51" s="171" t="s">
        <v>18</v>
      </c>
      <c r="E51" s="236" t="s">
        <v>42</v>
      </c>
      <c r="F51" s="171" t="str">
        <f t="shared" si="9"/>
        <v>SubtransmissionAugmentation</v>
      </c>
      <c r="G51" s="441">
        <v>32.97</v>
      </c>
      <c r="H51" s="299">
        <v>1</v>
      </c>
      <c r="I51" s="264" t="s">
        <v>292</v>
      </c>
      <c r="J51" s="157"/>
      <c r="K51" s="225">
        <f>G51*H51</f>
        <v>32.97</v>
      </c>
      <c r="L51" s="225">
        <f t="shared" si="10"/>
        <v>0</v>
      </c>
      <c r="M51" s="306"/>
      <c r="N51" s="568"/>
      <c r="O51" s="573"/>
      <c r="P51" s="569"/>
      <c r="Q51" s="290"/>
      <c r="R51" s="327">
        <v>0</v>
      </c>
      <c r="S51" s="327">
        <v>0</v>
      </c>
      <c r="T51" s="327">
        <v>0</v>
      </c>
      <c r="U51" s="327">
        <v>0</v>
      </c>
      <c r="V51" s="327">
        <v>0</v>
      </c>
      <c r="W51" s="327">
        <v>0</v>
      </c>
      <c r="X51" s="327">
        <v>0</v>
      </c>
      <c r="Y51" s="14">
        <f t="shared" si="11"/>
        <v>0</v>
      </c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</row>
    <row r="52" spans="2:53" x14ac:dyDescent="0.3">
      <c r="B52" s="251" t="s">
        <v>312</v>
      </c>
      <c r="C52" s="171"/>
      <c r="D52" s="171"/>
      <c r="E52" s="171"/>
      <c r="F52" s="171"/>
      <c r="G52" s="265"/>
      <c r="H52" s="232"/>
      <c r="I52" s="224"/>
      <c r="J52" s="171"/>
      <c r="K52" s="225"/>
      <c r="L52" s="225"/>
      <c r="M52" s="225"/>
      <c r="N52" s="222"/>
      <c r="O52" s="225"/>
      <c r="P52" s="223"/>
      <c r="Q52" s="290"/>
      <c r="R52" s="326"/>
      <c r="S52" s="326"/>
      <c r="T52" s="326"/>
      <c r="U52" s="326"/>
      <c r="V52" s="326"/>
      <c r="W52" s="326"/>
      <c r="X52" s="326"/>
      <c r="Y52" s="14"/>
      <c r="AO52" s="236"/>
      <c r="AP52" s="318"/>
      <c r="AQ52" s="546"/>
      <c r="AR52" s="318"/>
      <c r="AS52" s="318"/>
      <c r="AT52" s="318"/>
      <c r="AU52" s="318"/>
      <c r="AV52" s="318"/>
      <c r="AW52" s="318"/>
      <c r="AX52" s="547"/>
      <c r="AY52" s="236"/>
      <c r="AZ52" s="236"/>
      <c r="BA52" s="236"/>
    </row>
    <row r="53" spans="2:53" x14ac:dyDescent="0.3">
      <c r="B53" s="232"/>
      <c r="C53" s="171" t="s">
        <v>311</v>
      </c>
      <c r="D53" s="171" t="s">
        <v>18</v>
      </c>
      <c r="E53" s="171" t="s">
        <v>42</v>
      </c>
      <c r="F53" s="171" t="str">
        <f t="shared" ref="F53:F57" si="17">D53&amp;E53</f>
        <v>SubtransmissionAugmentation</v>
      </c>
      <c r="G53" s="441">
        <v>0</v>
      </c>
      <c r="H53" s="299"/>
      <c r="I53" s="264" t="s">
        <v>292</v>
      </c>
      <c r="J53" s="171"/>
      <c r="K53" s="225">
        <f>G53*H53</f>
        <v>0</v>
      </c>
      <c r="L53" s="225">
        <f>SUMPRODUCT(R$5:X$5,R53:X53)/Thousands</f>
        <v>0</v>
      </c>
      <c r="M53" s="306"/>
      <c r="N53" s="568"/>
      <c r="O53" s="573"/>
      <c r="P53" s="569"/>
      <c r="Q53" s="336"/>
      <c r="R53" s="327">
        <v>0</v>
      </c>
      <c r="S53" s="327">
        <v>0</v>
      </c>
      <c r="T53" s="327">
        <v>0</v>
      </c>
      <c r="U53" s="327">
        <v>0</v>
      </c>
      <c r="V53" s="327">
        <v>0</v>
      </c>
      <c r="W53" s="327">
        <v>0</v>
      </c>
      <c r="X53" s="327">
        <v>0</v>
      </c>
      <c r="Y53" s="14">
        <f t="shared" ref="Y53:Y57" si="18">SUM(R53:X53)</f>
        <v>0</v>
      </c>
      <c r="AO53" s="236"/>
      <c r="AP53" s="318"/>
      <c r="AQ53" s="236"/>
      <c r="AR53" s="274"/>
      <c r="AS53" s="555"/>
      <c r="AT53" s="556"/>
      <c r="AU53" s="274"/>
      <c r="AV53" s="274"/>
      <c r="AW53" s="415"/>
      <c r="AX53" s="547"/>
      <c r="AY53" s="236"/>
      <c r="AZ53" s="236"/>
      <c r="BA53" s="236"/>
    </row>
    <row r="54" spans="2:53" x14ac:dyDescent="0.3">
      <c r="B54" s="232"/>
      <c r="C54" s="236" t="s">
        <v>316</v>
      </c>
      <c r="D54" s="236" t="str">
        <f>Unit_Rates!G39</f>
        <v>Subtransmission</v>
      </c>
      <c r="E54" s="236" t="str">
        <f>Unit_Rates!H39</f>
        <v>Augmentation</v>
      </c>
      <c r="F54" s="171" t="str">
        <f t="shared" si="17"/>
        <v>SubtransmissionAugmentation</v>
      </c>
      <c r="G54" s="268">
        <f>Unit_Rates!$I$39</f>
        <v>123.95348837209301</v>
      </c>
      <c r="H54" s="299"/>
      <c r="I54" s="264" t="s">
        <v>292</v>
      </c>
      <c r="J54" s="171"/>
      <c r="K54" s="225">
        <f>G54*H54</f>
        <v>0</v>
      </c>
      <c r="L54" s="225">
        <f>SUMPRODUCT(R$5:X$5,R54:X54)/Thousands</f>
        <v>0</v>
      </c>
      <c r="M54" s="306"/>
      <c r="N54" s="568"/>
      <c r="O54" s="568"/>
      <c r="P54" s="569"/>
      <c r="Q54" s="336">
        <f>P54-H54*VLOOKUP("Oil separator",Unit_Rates!$C$7:$E$39,3,FALSE)</f>
        <v>0</v>
      </c>
      <c r="R54" s="327">
        <v>0</v>
      </c>
      <c r="S54" s="327">
        <v>0</v>
      </c>
      <c r="T54" s="327">
        <v>0</v>
      </c>
      <c r="U54" s="327">
        <v>0</v>
      </c>
      <c r="V54" s="327">
        <v>0</v>
      </c>
      <c r="W54" s="327">
        <v>0</v>
      </c>
      <c r="X54" s="327">
        <v>0</v>
      </c>
      <c r="Y54" s="14">
        <f t="shared" si="18"/>
        <v>0</v>
      </c>
      <c r="AO54" s="236"/>
      <c r="AP54" s="318"/>
      <c r="AQ54" s="236"/>
      <c r="AR54" s="274"/>
      <c r="AS54" s="555"/>
      <c r="AT54" s="274"/>
      <c r="AU54" s="274"/>
      <c r="AV54" s="274"/>
      <c r="AW54" s="415"/>
      <c r="AX54" s="236"/>
      <c r="AY54" s="236"/>
      <c r="AZ54" s="236"/>
      <c r="BA54" s="236"/>
    </row>
    <row r="55" spans="2:53" x14ac:dyDescent="0.3">
      <c r="B55" s="232"/>
      <c r="C55" s="296" t="s">
        <v>317</v>
      </c>
      <c r="D55" s="372" t="s">
        <v>18</v>
      </c>
      <c r="E55" s="372" t="s">
        <v>42</v>
      </c>
      <c r="F55" s="171" t="str">
        <f t="shared" si="17"/>
        <v>SubtransmissionAugmentation</v>
      </c>
      <c r="G55" s="441">
        <v>0</v>
      </c>
      <c r="H55" s="299"/>
      <c r="I55" s="264" t="s">
        <v>292</v>
      </c>
      <c r="J55" s="171"/>
      <c r="K55" s="225">
        <f>G55*H55</f>
        <v>0</v>
      </c>
      <c r="L55" s="225">
        <f>SUMPRODUCT(R$5:X$5,R55:X55)/Thousands</f>
        <v>0</v>
      </c>
      <c r="M55" s="306"/>
      <c r="N55" s="568"/>
      <c r="O55" s="573"/>
      <c r="P55" s="569"/>
      <c r="Q55" s="290"/>
      <c r="R55" s="327">
        <v>0</v>
      </c>
      <c r="S55" s="327">
        <v>0</v>
      </c>
      <c r="T55" s="327">
        <v>0</v>
      </c>
      <c r="U55" s="327">
        <v>0</v>
      </c>
      <c r="V55" s="327">
        <v>0</v>
      </c>
      <c r="W55" s="327">
        <v>0</v>
      </c>
      <c r="X55" s="327">
        <v>0</v>
      </c>
      <c r="Y55" s="14">
        <f t="shared" si="18"/>
        <v>0</v>
      </c>
      <c r="AO55" s="236"/>
      <c r="AP55" s="318"/>
      <c r="AQ55" s="236"/>
      <c r="AR55" s="274"/>
      <c r="AS55" s="274"/>
      <c r="AT55" s="274"/>
      <c r="AU55" s="274"/>
      <c r="AV55" s="274"/>
      <c r="AW55" s="415"/>
      <c r="AX55" s="236"/>
      <c r="AY55" s="236"/>
      <c r="AZ55" s="236"/>
      <c r="BA55" s="236"/>
    </row>
    <row r="56" spans="2:53" x14ac:dyDescent="0.3">
      <c r="B56" s="313" t="s">
        <v>284</v>
      </c>
      <c r="C56" s="296"/>
      <c r="D56" s="171" t="s">
        <v>18</v>
      </c>
      <c r="E56" s="276" t="s">
        <v>42</v>
      </c>
      <c r="F56" s="171" t="str">
        <f t="shared" si="17"/>
        <v>SubtransmissionAugmentation</v>
      </c>
      <c r="G56" s="268">
        <v>0</v>
      </c>
      <c r="H56" s="299"/>
      <c r="I56" s="264" t="s">
        <v>292</v>
      </c>
      <c r="J56" s="171"/>
      <c r="K56" s="228">
        <v>0</v>
      </c>
      <c r="L56" s="228">
        <f>SUMPRODUCT(R$5:X$5,R56:X56)/Thousands</f>
        <v>0</v>
      </c>
      <c r="M56" s="306"/>
      <c r="N56" s="568"/>
      <c r="O56" s="566"/>
      <c r="P56" s="569"/>
      <c r="Q56" s="290"/>
      <c r="R56" s="327">
        <v>0</v>
      </c>
      <c r="S56" s="327">
        <v>0</v>
      </c>
      <c r="T56" s="327">
        <v>0</v>
      </c>
      <c r="U56" s="327">
        <v>0</v>
      </c>
      <c r="V56" s="327">
        <v>0</v>
      </c>
      <c r="W56" s="327">
        <v>0</v>
      </c>
      <c r="X56" s="327">
        <v>0</v>
      </c>
      <c r="Y56" s="14">
        <f t="shared" si="18"/>
        <v>0</v>
      </c>
      <c r="AO56" s="236"/>
      <c r="AP56" s="236"/>
      <c r="AQ56" s="236"/>
      <c r="AR56" s="415"/>
      <c r="AS56" s="415"/>
      <c r="AT56" s="415"/>
      <c r="AU56" s="415"/>
      <c r="AV56" s="415"/>
      <c r="AW56" s="415"/>
      <c r="AX56" s="236"/>
      <c r="AY56" s="236"/>
      <c r="AZ56" s="236"/>
      <c r="BA56" s="236"/>
    </row>
    <row r="57" spans="2:53" x14ac:dyDescent="0.3">
      <c r="B57" s="251" t="s">
        <v>268</v>
      </c>
      <c r="C57" s="171"/>
      <c r="D57" s="171" t="s">
        <v>195</v>
      </c>
      <c r="E57" s="276" t="s">
        <v>66</v>
      </c>
      <c r="F57" s="171" t="str">
        <f t="shared" si="17"/>
        <v>LandNon-Network</v>
      </c>
      <c r="G57" s="268">
        <v>0</v>
      </c>
      <c r="H57" s="299"/>
      <c r="I57" s="264" t="s">
        <v>292</v>
      </c>
      <c r="J57" s="171"/>
      <c r="K57" s="228">
        <v>0</v>
      </c>
      <c r="L57" s="228">
        <f>SUMPRODUCT(R$5:X$5,R57:X57)/Thousands</f>
        <v>0</v>
      </c>
      <c r="M57" s="306"/>
      <c r="N57" s="568"/>
      <c r="O57" s="566"/>
      <c r="P57" s="569"/>
      <c r="Q57" s="19"/>
      <c r="R57" s="327">
        <v>0</v>
      </c>
      <c r="S57" s="327">
        <v>0</v>
      </c>
      <c r="T57" s="327">
        <v>0</v>
      </c>
      <c r="U57" s="327">
        <v>0</v>
      </c>
      <c r="V57" s="327">
        <v>0</v>
      </c>
      <c r="W57" s="327">
        <v>0</v>
      </c>
      <c r="X57" s="327">
        <v>0</v>
      </c>
      <c r="Y57" s="14">
        <f t="shared" si="18"/>
        <v>0</v>
      </c>
      <c r="AO57" s="236"/>
      <c r="AP57" s="236"/>
      <c r="AQ57" s="558"/>
      <c r="AR57" s="416"/>
      <c r="AS57" s="416"/>
      <c r="AT57" s="416"/>
      <c r="AU57" s="416"/>
      <c r="AV57" s="416"/>
      <c r="AW57" s="416"/>
      <c r="AX57" s="236"/>
      <c r="AY57" s="236"/>
      <c r="AZ57" s="236"/>
      <c r="BA57" s="236"/>
    </row>
    <row r="58" spans="2:53" x14ac:dyDescent="0.3">
      <c r="B58" s="232"/>
      <c r="C58" s="171"/>
      <c r="D58" s="171"/>
      <c r="E58" s="171"/>
      <c r="F58" s="171"/>
      <c r="G58" s="224"/>
      <c r="H58" s="232"/>
      <c r="I58" s="224"/>
      <c r="J58" s="171"/>
      <c r="K58" s="229"/>
      <c r="L58" s="229"/>
      <c r="M58" s="229"/>
      <c r="N58" s="229"/>
      <c r="O58" s="229"/>
      <c r="P58" s="229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</row>
    <row r="59" spans="2:53" x14ac:dyDescent="0.3">
      <c r="B59" s="251" t="s">
        <v>282</v>
      </c>
      <c r="C59" s="171"/>
      <c r="D59" s="171"/>
      <c r="E59" s="171"/>
      <c r="F59" s="171"/>
      <c r="G59" s="224"/>
      <c r="H59" s="232"/>
      <c r="I59" s="224"/>
      <c r="J59" s="171"/>
      <c r="K59" s="319">
        <v>3937.5568679440944</v>
      </c>
      <c r="L59" s="319">
        <v>764.16049999999996</v>
      </c>
      <c r="M59" s="319">
        <v>594.9767441860464</v>
      </c>
      <c r="N59" s="319">
        <v>1865.7335941153794</v>
      </c>
      <c r="O59" s="319">
        <v>323.04721524176631</v>
      </c>
      <c r="P59" s="319">
        <v>7485.4749214872863</v>
      </c>
      <c r="Q59" s="178"/>
    </row>
    <row r="60" spans="2:53" x14ac:dyDescent="0.3">
      <c r="B60" s="259" t="s">
        <v>55</v>
      </c>
      <c r="C60" s="260"/>
      <c r="D60" s="260"/>
      <c r="E60" s="260"/>
      <c r="F60" s="260"/>
      <c r="G60" s="267"/>
      <c r="H60" s="259"/>
      <c r="I60" s="267"/>
      <c r="J60" s="260"/>
      <c r="K60" s="320">
        <f>K59-Direct_Capex_Totals!Q11</f>
        <v>0</v>
      </c>
      <c r="L60" s="321">
        <f>L59-Direct_Capex_Totals!R11</f>
        <v>0</v>
      </c>
      <c r="M60" s="321">
        <f>M59-Direct_Capex_Totals!S11</f>
        <v>0</v>
      </c>
      <c r="N60" s="321">
        <f>N59-Direct_Capex_Totals!T11</f>
        <v>0</v>
      </c>
      <c r="O60" s="321">
        <f>O59-Direct_Capex_Totals!U11</f>
        <v>0</v>
      </c>
      <c r="P60" s="322">
        <f>SUM(K60:O60)</f>
        <v>0</v>
      </c>
    </row>
    <row r="61" spans="2:53" ht="28.8" x14ac:dyDescent="0.3">
      <c r="B61" s="237" t="s">
        <v>262</v>
      </c>
      <c r="C61" s="238"/>
      <c r="D61" s="292" t="s">
        <v>362</v>
      </c>
      <c r="E61" s="292" t="s">
        <v>84</v>
      </c>
      <c r="F61" s="292"/>
      <c r="G61" s="273" t="s">
        <v>302</v>
      </c>
      <c r="H61" s="341" t="s">
        <v>265</v>
      </c>
      <c r="I61" s="18" t="s">
        <v>293</v>
      </c>
      <c r="J61" s="260"/>
      <c r="K61" s="18" t="s">
        <v>135</v>
      </c>
      <c r="L61" s="18" t="s">
        <v>290</v>
      </c>
      <c r="M61" s="273" t="s">
        <v>136</v>
      </c>
      <c r="N61" s="273" t="s">
        <v>137</v>
      </c>
      <c r="O61" s="18" t="s">
        <v>60</v>
      </c>
      <c r="P61" s="18" t="s">
        <v>291</v>
      </c>
    </row>
    <row r="62" spans="2:53" x14ac:dyDescent="0.3">
      <c r="B62" s="251"/>
      <c r="C62" s="171"/>
      <c r="D62" s="171"/>
      <c r="E62" s="171"/>
      <c r="F62" s="171"/>
      <c r="G62" s="224"/>
      <c r="H62" s="232"/>
      <c r="I62" s="224"/>
      <c r="J62" s="171"/>
      <c r="K62" s="235"/>
      <c r="L62" s="235"/>
      <c r="M62" s="235"/>
      <c r="N62" s="235"/>
      <c r="O62" s="235"/>
      <c r="P62" s="224"/>
    </row>
    <row r="63" spans="2:53" x14ac:dyDescent="0.3">
      <c r="B63" s="251" t="s">
        <v>17</v>
      </c>
      <c r="C63" s="171"/>
      <c r="D63" s="171"/>
      <c r="E63" s="171"/>
      <c r="F63" s="171"/>
      <c r="G63" s="224"/>
      <c r="H63" s="232"/>
      <c r="I63" s="224"/>
      <c r="J63" s="171"/>
      <c r="K63" s="235"/>
      <c r="L63" s="235"/>
      <c r="M63" s="235"/>
      <c r="N63" s="235"/>
      <c r="O63" s="235"/>
      <c r="P63" s="224"/>
      <c r="Y63" s="14"/>
      <c r="AI63" t="s">
        <v>486</v>
      </c>
    </row>
    <row r="64" spans="2:53" x14ac:dyDescent="0.3">
      <c r="B64" s="251"/>
      <c r="C64" s="282" t="s">
        <v>328</v>
      </c>
      <c r="D64" s="282" t="str">
        <f>IF($B$3="WYK2",Unit_Rates!G60,Unit_Rates!G61)</f>
        <v>Distribution system assets</v>
      </c>
      <c r="E64" s="282" t="str">
        <f>IF($B$3="WYK2",Unit_Rates!H60,Unit_Rates!H61)</f>
        <v>Augmentation</v>
      </c>
      <c r="F64" s="171" t="str">
        <f t="shared" ref="F64:F71" si="19">D64&amp;E64</f>
        <v>Distribution system assetsAugmentation</v>
      </c>
      <c r="G64" s="283">
        <v>0</v>
      </c>
      <c r="H64" s="455">
        <f>INDEX(Feeder_Vols!$E$7:$O$16,MATCH($B$3,Feeder_Vols!$B$7:$B$15,0),MATCH(1,Feeder_Vols!$E$6:$O$6,0))</f>
        <v>10</v>
      </c>
      <c r="I64" s="224" t="s">
        <v>297</v>
      </c>
      <c r="J64" s="282"/>
      <c r="K64" s="283"/>
      <c r="L64" s="283">
        <f t="shared" ref="L64:L71" si="20">SUMPRODUCT(R$5:X$5,R64:X64)/Thousands</f>
        <v>82.096041153685135</v>
      </c>
      <c r="M64" s="283">
        <f>$H64*IF($B$3="WYK2",Unit_Rates!K60,Unit_Rates!K61)</f>
        <v>181.31916279069767</v>
      </c>
      <c r="N64" s="283">
        <f>$H64*IF($B$3="WYK2",Unit_Rates!L60,Unit_Rates!L61)</f>
        <v>0</v>
      </c>
      <c r="O64" s="283">
        <f>$H64*IF($B$3="WYK2",Unit_Rates!M60,Unit_Rates!M61)</f>
        <v>0</v>
      </c>
      <c r="P64" s="228">
        <f t="shared" ref="P64:P71" si="21">SUM(K64:O64)</f>
        <v>263.41520394438282</v>
      </c>
      <c r="Q64" s="333"/>
      <c r="R64" s="327">
        <f>$AI64*Z64*$H64</f>
        <v>148.02631578947367</v>
      </c>
      <c r="S64" s="327">
        <f t="shared" ref="S64:X71" si="22">$AI64*AA64*$H64</f>
        <v>396.12676056338023</v>
      </c>
      <c r="T64" s="327">
        <f t="shared" si="22"/>
        <v>0</v>
      </c>
      <c r="U64" s="327">
        <f t="shared" si="22"/>
        <v>0</v>
      </c>
      <c r="V64" s="327">
        <f t="shared" si="22"/>
        <v>0</v>
      </c>
      <c r="W64" s="327">
        <f t="shared" si="22"/>
        <v>0</v>
      </c>
      <c r="X64" s="327">
        <f t="shared" si="22"/>
        <v>0</v>
      </c>
      <c r="Y64" s="14">
        <f t="shared" ref="Y64:Y71" si="23">SUM(R64:X64)</f>
        <v>544.15307635285387</v>
      </c>
      <c r="Z64" s="15">
        <v>0.27203065134099613</v>
      </c>
      <c r="AA64" s="15">
        <v>0.72796934865900376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6">
        <f>SUM(Z64:AF64)</f>
        <v>0.99999999999999989</v>
      </c>
      <c r="AH64" t="b">
        <f>AG64=1</f>
        <v>1</v>
      </c>
      <c r="AI64" s="390">
        <v>54.415307635285394</v>
      </c>
    </row>
    <row r="65" spans="2:35" x14ac:dyDescent="0.3">
      <c r="B65" s="251"/>
      <c r="C65" s="171" t="s">
        <v>231</v>
      </c>
      <c r="D65" s="171" t="str">
        <f>Unit_Rates!G62</f>
        <v>Distribution system assets</v>
      </c>
      <c r="E65" s="171" t="str">
        <f>Unit_Rates!H62</f>
        <v>Augmentation</v>
      </c>
      <c r="F65" s="171" t="str">
        <f t="shared" si="19"/>
        <v>Distribution system assetsAugmentation</v>
      </c>
      <c r="G65" s="565">
        <f>Unit_Rates!I62</f>
        <v>0</v>
      </c>
      <c r="H65" s="455">
        <f>INDEX(Feeder_Vols!$E$7:$O$16,MATCH($B$3,Feeder_Vols!$B$7:$B$15,0),MATCH(2,Feeder_Vols!$E$6:$O$6,0))</f>
        <v>10</v>
      </c>
      <c r="I65" s="224" t="s">
        <v>298</v>
      </c>
      <c r="J65" s="282"/>
      <c r="K65" s="565"/>
      <c r="L65" s="565"/>
      <c r="M65" s="565"/>
      <c r="N65" s="565"/>
      <c r="O65" s="565"/>
      <c r="P65" s="566"/>
      <c r="Q65" s="28">
        <f>P65-H65*Unit_Rates!$E$62</f>
        <v>0</v>
      </c>
      <c r="R65" s="563"/>
      <c r="S65" s="563"/>
      <c r="T65" s="563"/>
      <c r="U65" s="563"/>
      <c r="V65" s="563"/>
      <c r="W65" s="563"/>
      <c r="X65" s="563"/>
      <c r="Y65" s="564">
        <f t="shared" si="23"/>
        <v>0</v>
      </c>
      <c r="Z65" s="15">
        <v>0</v>
      </c>
      <c r="AA65" s="15">
        <v>0.14071351127025331</v>
      </c>
      <c r="AB65" s="15">
        <v>0.24322448098123187</v>
      </c>
      <c r="AC65" s="15">
        <v>0</v>
      </c>
      <c r="AD65" s="15">
        <v>0.1760177164995757</v>
      </c>
      <c r="AE65" s="15">
        <v>0.44004429124893918</v>
      </c>
      <c r="AF65" s="15">
        <v>0</v>
      </c>
      <c r="AG65" s="16">
        <f t="shared" ref="AG65:AG69" si="24">SUM(Z65:AF65)</f>
        <v>1</v>
      </c>
      <c r="AH65" t="b">
        <f t="shared" ref="AH65:AH69" si="25">AG65=1</f>
        <v>1</v>
      </c>
      <c r="AI65" s="562"/>
    </row>
    <row r="66" spans="2:35" x14ac:dyDescent="0.3">
      <c r="B66" s="251"/>
      <c r="C66" s="171" t="s">
        <v>235</v>
      </c>
      <c r="D66" s="171" t="str">
        <f>Unit_Rates!G63</f>
        <v>Distribution system assets</v>
      </c>
      <c r="E66" s="171" t="str">
        <f>Unit_Rates!H63</f>
        <v>Augmentation</v>
      </c>
      <c r="F66" s="171" t="str">
        <f t="shared" si="19"/>
        <v>Distribution system assetsAugmentation</v>
      </c>
      <c r="G66" s="565">
        <f>Unit_Rates!I63</f>
        <v>0</v>
      </c>
      <c r="H66" s="455">
        <f>INDEX(Feeder_Vols!$E$7:$O$16,MATCH($B$3,Feeder_Vols!$B$7:$B$15,0),MATCH(3,Feeder_Vols!$E$6:$O$6,0))</f>
        <v>5</v>
      </c>
      <c r="I66" s="224" t="s">
        <v>294</v>
      </c>
      <c r="J66" s="282"/>
      <c r="K66" s="565"/>
      <c r="L66" s="565"/>
      <c r="M66" s="565"/>
      <c r="N66" s="565"/>
      <c r="O66" s="565"/>
      <c r="P66" s="566"/>
      <c r="Q66" s="28">
        <f>P66-H66*Unit_Rates!$E$63</f>
        <v>0</v>
      </c>
      <c r="R66" s="563"/>
      <c r="S66" s="563"/>
      <c r="T66" s="563"/>
      <c r="U66" s="563"/>
      <c r="V66" s="563"/>
      <c r="W66" s="563"/>
      <c r="X66" s="563"/>
      <c r="Y66" s="564">
        <f t="shared" si="23"/>
        <v>0</v>
      </c>
      <c r="Z66" s="15">
        <v>0</v>
      </c>
      <c r="AA66" s="15">
        <v>0.11317869701862385</v>
      </c>
      <c r="AB66" s="15">
        <v>0.25101832039696309</v>
      </c>
      <c r="AC66" s="15">
        <v>0</v>
      </c>
      <c r="AD66" s="15">
        <v>0.18165799502411806</v>
      </c>
      <c r="AE66" s="15">
        <v>0.45414498756029509</v>
      </c>
      <c r="AF66" s="15">
        <v>0</v>
      </c>
      <c r="AG66" s="16">
        <f t="shared" si="24"/>
        <v>1</v>
      </c>
      <c r="AH66" t="b">
        <f t="shared" si="25"/>
        <v>1</v>
      </c>
      <c r="AI66" s="562"/>
    </row>
    <row r="67" spans="2:35" x14ac:dyDescent="0.3">
      <c r="B67" s="251"/>
      <c r="C67" s="171" t="s">
        <v>237</v>
      </c>
      <c r="D67" s="171" t="str">
        <f>Unit_Rates!G64</f>
        <v>Distribution system assets</v>
      </c>
      <c r="E67" s="171" t="str">
        <f>Unit_Rates!H64</f>
        <v>Augmentation</v>
      </c>
      <c r="F67" s="171" t="str">
        <f t="shared" si="19"/>
        <v>Distribution system assetsAugmentation</v>
      </c>
      <c r="G67" s="565">
        <f>Unit_Rates!I64</f>
        <v>0</v>
      </c>
      <c r="H67" s="455">
        <f>INDEX(Feeder_Vols!$E$7:$O$16,MATCH($B$3,Feeder_Vols!$B$7:$B$15,0),MATCH(4,Feeder_Vols!$E$6:$O$6,0))</f>
        <v>8</v>
      </c>
      <c r="I67" s="265" t="s">
        <v>299</v>
      </c>
      <c r="J67" s="282"/>
      <c r="K67" s="565"/>
      <c r="L67" s="565"/>
      <c r="M67" s="565"/>
      <c r="N67" s="565"/>
      <c r="O67" s="565"/>
      <c r="P67" s="566"/>
      <c r="Q67" s="28">
        <f>P67-H67*Unit_Rates!$E$64</f>
        <v>0</v>
      </c>
      <c r="R67" s="563"/>
      <c r="S67" s="563"/>
      <c r="T67" s="563"/>
      <c r="U67" s="563"/>
      <c r="V67" s="563"/>
      <c r="W67" s="563"/>
      <c r="X67" s="563"/>
      <c r="Y67" s="564">
        <f t="shared" si="23"/>
        <v>0</v>
      </c>
      <c r="Z67" s="15">
        <v>0</v>
      </c>
      <c r="AA67" s="15">
        <v>0.17737095137749856</v>
      </c>
      <c r="AB67" s="15">
        <v>0.23284844579258887</v>
      </c>
      <c r="AC67" s="15">
        <v>0</v>
      </c>
      <c r="AD67" s="15">
        <v>0.16850874366568935</v>
      </c>
      <c r="AE67" s="15">
        <v>0.42127185916422333</v>
      </c>
      <c r="AF67" s="15">
        <v>0</v>
      </c>
      <c r="AG67" s="16">
        <f t="shared" si="24"/>
        <v>1</v>
      </c>
      <c r="AH67" t="b">
        <f t="shared" si="25"/>
        <v>1</v>
      </c>
      <c r="AI67" s="562"/>
    </row>
    <row r="68" spans="2:35" x14ac:dyDescent="0.3">
      <c r="B68" s="251"/>
      <c r="C68" s="171" t="s">
        <v>233</v>
      </c>
      <c r="D68" s="171" t="str">
        <f>Unit_Rates!G65</f>
        <v>Distribution system assets</v>
      </c>
      <c r="E68" s="171" t="str">
        <f>Unit_Rates!H65</f>
        <v>Augmentation</v>
      </c>
      <c r="F68" s="171" t="str">
        <f t="shared" si="19"/>
        <v>Distribution system assetsAugmentation</v>
      </c>
      <c r="G68" s="283">
        <f>Unit_Rates!I65</f>
        <v>17.106573023255812</v>
      </c>
      <c r="H68" s="455">
        <f>INDEX(Feeder_Vols!$E$7:$O$16,MATCH($B$3,Feeder_Vols!$B$7:$B$15,0),MATCH(5,Feeder_Vols!$E$6:$O$6,0))</f>
        <v>12</v>
      </c>
      <c r="I68" s="265" t="s">
        <v>300</v>
      </c>
      <c r="J68" s="282"/>
      <c r="K68" s="283">
        <f t="shared" ref="K68" si="26">G68*H68</f>
        <v>205.27887627906975</v>
      </c>
      <c r="L68" s="283">
        <f t="shared" si="20"/>
        <v>39.138240810944964</v>
      </c>
      <c r="M68" s="283">
        <f>$H68*Unit_Rates!K65</f>
        <v>0</v>
      </c>
      <c r="N68" s="283">
        <f>$H68*Unit_Rates!L65</f>
        <v>362.44598422564792</v>
      </c>
      <c r="O68" s="283">
        <f>$H68*Unit_Rates!M65</f>
        <v>45.961209040098481</v>
      </c>
      <c r="P68" s="228">
        <f t="shared" si="21"/>
        <v>652.8243103557611</v>
      </c>
      <c r="Q68" s="28">
        <f>P68-H68*Unit_Rates!$E$65</f>
        <v>0.94325419892766149</v>
      </c>
      <c r="R68" s="327">
        <f t="shared" ref="R68:R71" si="27">$AI68*Z68*$H68</f>
        <v>0</v>
      </c>
      <c r="S68" s="327">
        <f t="shared" si="22"/>
        <v>16.799999999999997</v>
      </c>
      <c r="T68" s="327">
        <f t="shared" si="22"/>
        <v>63.92265155708423</v>
      </c>
      <c r="U68" s="327">
        <f t="shared" si="22"/>
        <v>0</v>
      </c>
      <c r="V68" s="327">
        <f t="shared" si="22"/>
        <v>46.259813626837271</v>
      </c>
      <c r="W68" s="327">
        <f t="shared" si="22"/>
        <v>115.64953406709316</v>
      </c>
      <c r="X68" s="327">
        <f t="shared" si="22"/>
        <v>0</v>
      </c>
      <c r="Y68" s="14">
        <f t="shared" si="23"/>
        <v>242.63199925101463</v>
      </c>
      <c r="Z68" s="15">
        <v>0</v>
      </c>
      <c r="AA68" s="15">
        <v>6.9240660967474346E-2</v>
      </c>
      <c r="AB68" s="15">
        <v>0.26345515741702774</v>
      </c>
      <c r="AC68" s="15">
        <v>0</v>
      </c>
      <c r="AD68" s="15">
        <v>0.19065833760442799</v>
      </c>
      <c r="AE68" s="15">
        <v>0.47664584401106991</v>
      </c>
      <c r="AF68" s="15">
        <v>0</v>
      </c>
      <c r="AG68" s="16">
        <f t="shared" si="24"/>
        <v>1</v>
      </c>
      <c r="AH68" t="b">
        <f t="shared" si="25"/>
        <v>1</v>
      </c>
      <c r="AI68" s="5">
        <v>20.21933327091789</v>
      </c>
    </row>
    <row r="69" spans="2:35" x14ac:dyDescent="0.3">
      <c r="B69" s="251"/>
      <c r="C69" s="282" t="s">
        <v>344</v>
      </c>
      <c r="D69" s="282" t="str">
        <f>Unit_Rates!G66</f>
        <v>Distribution system assets</v>
      </c>
      <c r="E69" s="282" t="str">
        <f>Unit_Rates!H66</f>
        <v>Augmentation</v>
      </c>
      <c r="F69" s="171" t="str">
        <f t="shared" si="19"/>
        <v>Distribution system assetsAugmentation</v>
      </c>
      <c r="G69" s="283">
        <f>Unit_Rates!I66</f>
        <v>0</v>
      </c>
      <c r="H69" s="455">
        <f>INDEX(Feeder_Vols!$E$7:$O$16,MATCH($B$3,Feeder_Vols!$B$7:$B$15,0),MATCH(1,Feeder_Vols!$E$6:$O$6,0))</f>
        <v>10</v>
      </c>
      <c r="I69" s="224" t="s">
        <v>297</v>
      </c>
      <c r="J69" s="282"/>
      <c r="K69" s="283"/>
      <c r="L69" s="283">
        <f t="shared" si="20"/>
        <v>60.461956521739197</v>
      </c>
      <c r="M69" s="283">
        <f>$H69*Unit_Rates!K66</f>
        <v>0</v>
      </c>
      <c r="N69" s="283">
        <f>$H69*Unit_Rates!L66</f>
        <v>77.82123356926185</v>
      </c>
      <c r="O69" s="283">
        <f>$H69*Unit_Rates!M66</f>
        <v>0</v>
      </c>
      <c r="P69" s="228">
        <f t="shared" si="21"/>
        <v>138.28319009100105</v>
      </c>
      <c r="Q69" s="28">
        <f>P69-H69*Unit_Rates!$E$66</f>
        <v>-0.16746713852367634</v>
      </c>
      <c r="R69" s="327">
        <f t="shared" si="27"/>
        <v>0</v>
      </c>
      <c r="S69" s="327">
        <f t="shared" si="22"/>
        <v>0</v>
      </c>
      <c r="T69" s="327">
        <f t="shared" si="22"/>
        <v>0</v>
      </c>
      <c r="U69" s="327">
        <f t="shared" si="22"/>
        <v>0</v>
      </c>
      <c r="V69" s="327">
        <f t="shared" si="22"/>
        <v>0</v>
      </c>
      <c r="W69" s="327">
        <f t="shared" si="22"/>
        <v>0</v>
      </c>
      <c r="X69" s="327">
        <f t="shared" si="22"/>
        <v>463.98135736397626</v>
      </c>
      <c r="Y69" s="14">
        <f t="shared" si="23"/>
        <v>463.98135736397626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1</v>
      </c>
      <c r="AG69" s="16">
        <f t="shared" si="24"/>
        <v>1</v>
      </c>
      <c r="AH69" t="b">
        <f t="shared" si="25"/>
        <v>1</v>
      </c>
      <c r="AI69" s="5">
        <v>46.398135736397627</v>
      </c>
    </row>
    <row r="70" spans="2:35" x14ac:dyDescent="0.3">
      <c r="B70" s="251"/>
      <c r="C70" s="348" t="s">
        <v>342</v>
      </c>
      <c r="D70" s="363" t="str">
        <f>Unit_Rates!G67</f>
        <v>Distribution system assets</v>
      </c>
      <c r="E70" s="363" t="str">
        <f>Unit_Rates!H67</f>
        <v>Replacement</v>
      </c>
      <c r="F70" s="171" t="str">
        <f t="shared" si="19"/>
        <v>Distribution system assetsReplacement</v>
      </c>
      <c r="G70" s="283">
        <f>Unit_Rates!I67</f>
        <v>0</v>
      </c>
      <c r="H70" s="455">
        <f>INDEX(Feeder_Vols!$E$7:$O$16,MATCH($B$3,Feeder_Vols!$B$7:$B$15,0),MATCH(1,Feeder_Vols!$E$6:$N$6,0))+INDEX(Feeder_Vols!$E$7:$N$16,MATCH($B$3,Feeder_Vols!$B$7:$B$15,0),MATCH(6,Feeder_Vols!$E$6:$O$6,0))</f>
        <v>56</v>
      </c>
      <c r="I70" s="224" t="s">
        <v>346</v>
      </c>
      <c r="J70" s="282"/>
      <c r="K70" s="283"/>
      <c r="L70" s="283">
        <f t="shared" si="20"/>
        <v>0</v>
      </c>
      <c r="M70" s="283">
        <f>$H70*Unit_Rates!K67</f>
        <v>0</v>
      </c>
      <c r="N70" s="283">
        <f>$H70*Unit_Rates!L67</f>
        <v>29.153860465116274</v>
      </c>
      <c r="O70" s="283">
        <f>$H70*Unit_Rates!M67</f>
        <v>0</v>
      </c>
      <c r="P70" s="228">
        <f t="shared" si="21"/>
        <v>29.153860465116274</v>
      </c>
      <c r="Q70" s="28">
        <f>P70-H70*Unit_Rates!$E$67</f>
        <v>0</v>
      </c>
      <c r="R70" s="330"/>
      <c r="S70" s="330"/>
      <c r="T70" s="330"/>
      <c r="U70" s="330"/>
      <c r="V70" s="330"/>
      <c r="W70" s="330"/>
      <c r="X70" s="330"/>
      <c r="Y70" s="14">
        <f t="shared" si="23"/>
        <v>0</v>
      </c>
      <c r="Z70" s="15"/>
      <c r="AA70" s="15"/>
      <c r="AB70" s="15"/>
      <c r="AC70" s="15"/>
      <c r="AD70" s="15"/>
      <c r="AE70" s="15"/>
      <c r="AF70" s="15"/>
      <c r="AI70" s="5">
        <v>0</v>
      </c>
    </row>
    <row r="71" spans="2:35" x14ac:dyDescent="0.3">
      <c r="B71" s="251"/>
      <c r="C71" s="348" t="s">
        <v>418</v>
      </c>
      <c r="D71" s="363" t="str">
        <f>Unit_Rates!G68</f>
        <v>Distribution system assets</v>
      </c>
      <c r="E71" s="363" t="str">
        <f>Unit_Rates!H68</f>
        <v>Replacement</v>
      </c>
      <c r="F71" s="171" t="str">
        <f t="shared" si="19"/>
        <v>Distribution system assetsReplacement</v>
      </c>
      <c r="G71" s="283">
        <f>Unit_Rates!I68</f>
        <v>0</v>
      </c>
      <c r="H71" s="455">
        <f>INDEX(Feeder_Vols!$E$7:$O$16,MATCH($B$3,Feeder_Vols!$B$7:$B$15,0),MATCH(7,Feeder_Vols!$E$6:$O$6,0))</f>
        <v>15</v>
      </c>
      <c r="I71" s="224" t="s">
        <v>343</v>
      </c>
      <c r="J71" s="282"/>
      <c r="K71" s="342"/>
      <c r="L71" s="342">
        <f t="shared" si="20"/>
        <v>2.3590816423472742</v>
      </c>
      <c r="M71" s="342">
        <f>$H71*Unit_Rates!K68</f>
        <v>0</v>
      </c>
      <c r="N71" s="342">
        <f>$H71*Unit_Rates!L68</f>
        <v>43.810071348837198</v>
      </c>
      <c r="O71" s="342">
        <f>$H71*Unit_Rates!M68</f>
        <v>0</v>
      </c>
      <c r="P71" s="229">
        <f t="shared" si="21"/>
        <v>46.169152991184475</v>
      </c>
      <c r="Q71" s="28">
        <f>P71-H71*Unit_Rates!$E$68</f>
        <v>0.11509607699041879</v>
      </c>
      <c r="R71" s="327">
        <f t="shared" si="27"/>
        <v>0</v>
      </c>
      <c r="S71" s="327">
        <f t="shared" si="22"/>
        <v>0</v>
      </c>
      <c r="T71" s="327">
        <f t="shared" si="22"/>
        <v>0</v>
      </c>
      <c r="U71" s="327">
        <f t="shared" si="22"/>
        <v>0</v>
      </c>
      <c r="V71" s="327">
        <f t="shared" si="22"/>
        <v>0</v>
      </c>
      <c r="W71" s="327">
        <f t="shared" si="22"/>
        <v>0</v>
      </c>
      <c r="X71" s="327">
        <f t="shared" si="22"/>
        <v>18.103448275862068</v>
      </c>
      <c r="Y71" s="14">
        <f t="shared" si="23"/>
        <v>18.103448275862068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1</v>
      </c>
      <c r="AG71" s="16">
        <f>SUM(Z71:AF71)</f>
        <v>1</v>
      </c>
      <c r="AH71" t="b">
        <f>AG71=1</f>
        <v>1</v>
      </c>
      <c r="AI71" s="5">
        <v>1.2068965517241379</v>
      </c>
    </row>
    <row r="72" spans="2:35" x14ac:dyDescent="0.3">
      <c r="B72" s="251"/>
      <c r="C72" s="236" t="s">
        <v>301</v>
      </c>
      <c r="D72" s="236"/>
      <c r="E72" s="236"/>
      <c r="F72" s="236"/>
      <c r="G72" s="268"/>
      <c r="H72" s="231"/>
      <c r="I72" s="224"/>
      <c r="J72" s="171"/>
      <c r="K72" s="268">
        <v>218.96334139534881</v>
      </c>
      <c r="L72" s="268">
        <v>195.18129369478979</v>
      </c>
      <c r="M72" s="268">
        <v>181.31916279069767</v>
      </c>
      <c r="N72" s="268">
        <v>648.75528058481655</v>
      </c>
      <c r="O72" s="268">
        <v>58.07553670664651</v>
      </c>
      <c r="P72" s="268">
        <v>1302.294615172299</v>
      </c>
      <c r="Q72" s="28"/>
      <c r="R72" s="326"/>
      <c r="S72" s="326"/>
      <c r="T72" s="326"/>
      <c r="U72" s="326"/>
      <c r="V72" s="326"/>
      <c r="W72" s="326"/>
      <c r="X72" s="326"/>
      <c r="AI72" s="5"/>
    </row>
    <row r="73" spans="2:35" x14ac:dyDescent="0.3">
      <c r="B73" s="251" t="s">
        <v>295</v>
      </c>
      <c r="C73" s="171"/>
      <c r="D73" s="171"/>
      <c r="E73" s="171"/>
      <c r="F73" s="171"/>
      <c r="G73" s="228"/>
      <c r="H73" s="231"/>
      <c r="I73" s="224"/>
      <c r="J73" s="171"/>
      <c r="K73" s="268"/>
      <c r="L73" s="268"/>
      <c r="M73" s="268"/>
      <c r="N73" s="268"/>
      <c r="O73" s="268"/>
      <c r="P73" s="228"/>
      <c r="Q73" s="28"/>
      <c r="R73" s="326"/>
      <c r="S73" s="326"/>
      <c r="T73" s="326"/>
      <c r="U73" s="326"/>
      <c r="V73" s="326"/>
      <c r="W73" s="326"/>
      <c r="X73" s="326"/>
      <c r="Y73" s="14"/>
      <c r="AI73" s="5"/>
    </row>
    <row r="74" spans="2:35" x14ac:dyDescent="0.3">
      <c r="B74" s="251"/>
      <c r="C74" s="171" t="s">
        <v>264</v>
      </c>
      <c r="D74" s="171" t="str">
        <f>Unit_Rates!G76</f>
        <v>Distribution system assets</v>
      </c>
      <c r="E74" s="171" t="str">
        <f>Unit_Rates!H76</f>
        <v>Replacement</v>
      </c>
      <c r="F74" s="171" t="str">
        <f t="shared" ref="F74" si="28">D74&amp;E74</f>
        <v>Distribution system assetsReplacement</v>
      </c>
      <c r="G74" s="228">
        <f>Unit_Rates!I76</f>
        <v>0.27269767441860471</v>
      </c>
      <c r="H74" s="456">
        <f>INDEX(Feeder_Vols!$B$21:$D$29,MATCH($B$3,Feeder_Vols!$B$21:$B$29,0),3)</f>
        <v>535.24277952530736</v>
      </c>
      <c r="I74" s="266" t="s">
        <v>292</v>
      </c>
      <c r="J74" s="171"/>
      <c r="K74" s="268">
        <f>G74*H74</f>
        <v>145.95946122590129</v>
      </c>
      <c r="L74" s="268">
        <f>SUMPRODUCT(R$5:X$5,R74:X74)/Thousands</f>
        <v>72.871309648344322</v>
      </c>
      <c r="M74" s="268">
        <f>$H74*Unit_Rates!K76</f>
        <v>0</v>
      </c>
      <c r="N74" s="268">
        <f>$H74*Unit_Rates!L76</f>
        <v>279.64090242261176</v>
      </c>
      <c r="O74" s="268">
        <f>$H74*Unit_Rates!M76</f>
        <v>0</v>
      </c>
      <c r="P74" s="228">
        <f>SUM(K74:O74)</f>
        <v>498.47167329685738</v>
      </c>
      <c r="Q74" s="28">
        <f>P74-H74*Unit_Rates!$E$76</f>
        <v>-0.20183848504660773</v>
      </c>
      <c r="R74" s="327">
        <f t="shared" ref="R74:X74" si="29">$AI74*Z74*$H74</f>
        <v>12.981041289655543</v>
      </c>
      <c r="S74" s="327">
        <f t="shared" si="29"/>
        <v>0</v>
      </c>
      <c r="T74" s="327">
        <f t="shared" si="29"/>
        <v>162.04086754878261</v>
      </c>
      <c r="U74" s="327">
        <f t="shared" si="29"/>
        <v>0</v>
      </c>
      <c r="V74" s="327">
        <f t="shared" si="29"/>
        <v>0</v>
      </c>
      <c r="W74" s="327">
        <f t="shared" si="29"/>
        <v>0</v>
      </c>
      <c r="X74" s="327">
        <f t="shared" si="29"/>
        <v>329.53108310733251</v>
      </c>
      <c r="Y74" s="14">
        <f t="shared" ref="Y74:Y78" si="30">SUM(R74:X74)</f>
        <v>504.55299194577066</v>
      </c>
      <c r="Z74" s="15">
        <v>2.5727805595989302E-2</v>
      </c>
      <c r="AA74" s="15">
        <v>0</v>
      </c>
      <c r="AB74" s="15">
        <v>0.32115728206047139</v>
      </c>
      <c r="AC74" s="15">
        <v>0</v>
      </c>
      <c r="AD74" s="15">
        <v>0</v>
      </c>
      <c r="AE74" s="15">
        <v>0</v>
      </c>
      <c r="AF74" s="15">
        <v>0.65311491234353936</v>
      </c>
      <c r="AG74" s="16">
        <f>SUM(Z74:AF74)</f>
        <v>1</v>
      </c>
      <c r="AH74" t="b">
        <f>AG74=1</f>
        <v>1</v>
      </c>
      <c r="AI74" s="5">
        <v>0.94266193070973381</v>
      </c>
    </row>
    <row r="75" spans="2:35" x14ac:dyDescent="0.3">
      <c r="B75" s="251"/>
      <c r="C75" s="171" t="s">
        <v>511</v>
      </c>
      <c r="D75" s="171" t="str">
        <f>Unit_Rates!G77</f>
        <v>Distribution system assets</v>
      </c>
      <c r="E75" s="171" t="str">
        <f>Unit_Rates!H77</f>
        <v>Replacement</v>
      </c>
      <c r="F75" s="171" t="str">
        <f t="shared" ref="F75:F78" si="31">D75&amp;E75</f>
        <v>Distribution system assetsReplacement</v>
      </c>
      <c r="G75" s="268">
        <f>INDEX(Unit_Rates!$C$75:$K$80,MATCH($C75,Unit_Rates!$D$75:$D$80,0),7)</f>
        <v>0</v>
      </c>
      <c r="H75" s="456">
        <f>INDEX(Feeder_Vols!$H$21:$H$29,MATCH($B$3,Feeder_Vols!$G$21:$G$29,0),1)</f>
        <v>146</v>
      </c>
      <c r="I75" s="266" t="s">
        <v>292</v>
      </c>
      <c r="J75" s="171"/>
      <c r="K75" s="268">
        <f>G75*H75</f>
        <v>0</v>
      </c>
      <c r="L75" s="268">
        <f>SUMPRODUCT(R$5:X$5,R75:X75)/Thousands</f>
        <v>42.759049360146292</v>
      </c>
      <c r="M75" s="268">
        <f>$H75*Unit_Rates!K78</f>
        <v>0</v>
      </c>
      <c r="N75" s="268">
        <f>$H75*Unit_Rates!$L$77</f>
        <v>0</v>
      </c>
      <c r="O75" s="268">
        <f>$H75*Unit_Rates!M78</f>
        <v>0</v>
      </c>
      <c r="P75" s="228">
        <f>SUM(K75:O75)</f>
        <v>42.759049360146292</v>
      </c>
      <c r="Q75" s="28">
        <f>P75-H75*Unit_Rates!$E$77</f>
        <v>-0.23432080559956603</v>
      </c>
      <c r="R75" s="327">
        <f t="shared" ref="R75" si="32">$AI75*Z75*$H75</f>
        <v>0</v>
      </c>
      <c r="S75" s="327">
        <f t="shared" ref="S75" si="33">$AI75*AA75*$H75</f>
        <v>0</v>
      </c>
      <c r="T75" s="327">
        <f t="shared" ref="T75" si="34">$AI75*AB75*$H75</f>
        <v>0</v>
      </c>
      <c r="U75" s="327">
        <f t="shared" ref="U75" si="35">$AI75*AC75*$H75</f>
        <v>0</v>
      </c>
      <c r="V75" s="327">
        <f t="shared" ref="V75" si="36">$AI75*AD75*$H75</f>
        <v>269.84402159634539</v>
      </c>
      <c r="W75" s="327">
        <f t="shared" ref="W75" si="37">$AI75*AE75*$H75</f>
        <v>0</v>
      </c>
      <c r="X75" s="327">
        <f t="shared" ref="X75" si="38">$AI75*AF75*$H75</f>
        <v>0</v>
      </c>
      <c r="Y75" s="14">
        <f t="shared" si="30"/>
        <v>269.84402159634539</v>
      </c>
      <c r="Z75" s="15"/>
      <c r="AA75" s="15"/>
      <c r="AB75" s="15"/>
      <c r="AC75" s="15"/>
      <c r="AD75" s="15">
        <v>1</v>
      </c>
      <c r="AE75" s="15"/>
      <c r="AF75" s="15"/>
      <c r="AG75" s="16">
        <f>SUM(Z75:AF75)</f>
        <v>1</v>
      </c>
      <c r="AH75" t="b">
        <f>AG75=1</f>
        <v>1</v>
      </c>
      <c r="AI75" s="46">
        <v>1.8482467232626396</v>
      </c>
    </row>
    <row r="76" spans="2:35" x14ac:dyDescent="0.3">
      <c r="B76" s="251"/>
      <c r="C76" s="171" t="s">
        <v>512</v>
      </c>
      <c r="D76" s="171" t="str">
        <f>Unit_Rates!G78</f>
        <v>Distribution system assets</v>
      </c>
      <c r="E76" s="171" t="str">
        <f>Unit_Rates!H78</f>
        <v>Replacement</v>
      </c>
      <c r="F76" s="171" t="str">
        <f t="shared" si="31"/>
        <v>Distribution system assetsReplacement</v>
      </c>
      <c r="G76" s="268">
        <f>INDEX(Unit_Rates!$C$75:$K$80,MATCH($C76,Unit_Rates!$D$75:$D$80,0),7)</f>
        <v>0</v>
      </c>
      <c r="H76" s="456">
        <f>INDEX(Feeder_Vols!$I$21:$I$29,MATCH($B$3,Feeder_Vols!$G$21:$G$29,0),1)</f>
        <v>42</v>
      </c>
      <c r="I76" s="266" t="s">
        <v>292</v>
      </c>
      <c r="J76" s="171"/>
      <c r="K76" s="268">
        <f t="shared" ref="K76:K78" si="39">G76*H76</f>
        <v>0</v>
      </c>
      <c r="L76" s="268">
        <f>SUMPRODUCT(R$5:X$5,R76:X76)/Thousands</f>
        <v>410.0182815356489</v>
      </c>
      <c r="M76" s="268"/>
      <c r="N76" s="268">
        <f>$H76*Unit_Rates!$L$78</f>
        <v>0</v>
      </c>
      <c r="O76" s="268"/>
      <c r="P76" s="228">
        <f t="shared" ref="P76:P78" si="40">SUM(K76:O76)</f>
        <v>410.0182815356489</v>
      </c>
      <c r="Q76" s="28">
        <f>P76-H76*Unit_Rates!$E$78</f>
        <v>-2.2469118345168795</v>
      </c>
      <c r="R76" s="327">
        <f t="shared" ref="R76" si="41">$AI76*Z76*$H76</f>
        <v>0</v>
      </c>
      <c r="S76" s="327">
        <f t="shared" ref="S76" si="42">$AI76*AA76*$H76</f>
        <v>0</v>
      </c>
      <c r="T76" s="327">
        <f t="shared" ref="T76" si="43">$AI76*AB76*$H76</f>
        <v>0</v>
      </c>
      <c r="U76" s="327">
        <f t="shared" ref="U76" si="44">$AI76*AC76*$H76</f>
        <v>0</v>
      </c>
      <c r="V76" s="327">
        <f t="shared" ref="V76" si="45">$AI76*AD76*$H76</f>
        <v>2587.5454125676924</v>
      </c>
      <c r="W76" s="327">
        <f t="shared" ref="W76" si="46">$AI76*AE76*$H76</f>
        <v>0</v>
      </c>
      <c r="X76" s="327">
        <f t="shared" ref="X76" si="47">$AI76*AF76*$H76</f>
        <v>0</v>
      </c>
      <c r="Y76" s="14">
        <f t="shared" si="30"/>
        <v>2587.5454125676924</v>
      </c>
      <c r="Z76" s="15"/>
      <c r="AA76" s="15"/>
      <c r="AB76" s="15"/>
      <c r="AC76" s="15"/>
      <c r="AD76" s="15">
        <v>1</v>
      </c>
      <c r="AE76" s="15"/>
      <c r="AF76" s="15"/>
      <c r="AG76" s="16">
        <f>SUM(Z76:AF76)</f>
        <v>1</v>
      </c>
      <c r="AH76" t="b">
        <f>AG76=1</f>
        <v>1</v>
      </c>
      <c r="AI76" s="46">
        <v>61.608224108754577</v>
      </c>
    </row>
    <row r="77" spans="2:35" x14ac:dyDescent="0.3">
      <c r="B77" s="251"/>
      <c r="C77" s="171" t="s">
        <v>513</v>
      </c>
      <c r="D77" s="171" t="str">
        <f>Unit_Rates!G79</f>
        <v>Distribution system assets</v>
      </c>
      <c r="E77" s="171" t="str">
        <f>Unit_Rates!H79</f>
        <v>Replacement</v>
      </c>
      <c r="F77" s="171" t="str">
        <f t="shared" si="31"/>
        <v>Distribution system assetsReplacement</v>
      </c>
      <c r="G77" s="268">
        <f>INDEX(Unit_Rates!$C$75:$K$80,MATCH($C77,Unit_Rates!$D$75:$D$80,0),7)</f>
        <v>4.9079189686924494</v>
      </c>
      <c r="H77" s="456">
        <f>INDEX(Feeder_Vols!$J$21:$J$29,MATCH($B$3,Feeder_Vols!$G$21:$G$29,0),1)</f>
        <v>17</v>
      </c>
      <c r="I77" s="266" t="s">
        <v>292</v>
      </c>
      <c r="J77" s="171"/>
      <c r="K77" s="268">
        <f t="shared" si="39"/>
        <v>83.434622467771646</v>
      </c>
      <c r="L77" s="268">
        <f>SUMPRODUCT(R$5:X$5,R77:X77)/Thousands</f>
        <v>0</v>
      </c>
      <c r="M77" s="268"/>
      <c r="N77" s="268">
        <f>$H77*Unit_Rates!$L$79</f>
        <v>271.16252302025782</v>
      </c>
      <c r="O77" s="268"/>
      <c r="P77" s="228">
        <f t="shared" si="40"/>
        <v>354.59714548802947</v>
      </c>
      <c r="Q77" s="28">
        <f>P77-H77*Unit_Rates!$E$79</f>
        <v>0</v>
      </c>
      <c r="R77" s="330"/>
      <c r="S77" s="330"/>
      <c r="T77" s="330"/>
      <c r="U77" s="330"/>
      <c r="V77" s="330"/>
      <c r="W77" s="330"/>
      <c r="X77" s="330"/>
      <c r="Y77" s="14">
        <f t="shared" si="30"/>
        <v>0</v>
      </c>
      <c r="Z77" s="15"/>
      <c r="AA77" s="15"/>
      <c r="AB77" s="15"/>
      <c r="AC77" s="15"/>
      <c r="AD77" s="15"/>
      <c r="AE77" s="15"/>
      <c r="AF77" s="15"/>
      <c r="AG77" s="16"/>
      <c r="AI77" s="5"/>
    </row>
    <row r="78" spans="2:35" x14ac:dyDescent="0.3">
      <c r="B78" s="251"/>
      <c r="C78" s="171" t="s">
        <v>539</v>
      </c>
      <c r="D78" s="171" t="str">
        <f>Unit_Rates!G80</f>
        <v>Distribution system assets</v>
      </c>
      <c r="E78" s="171" t="str">
        <f>Unit_Rates!H80</f>
        <v>Replacement</v>
      </c>
      <c r="F78" s="171" t="str">
        <f t="shared" si="31"/>
        <v>Distribution system assetsReplacement</v>
      </c>
      <c r="G78" s="268">
        <f>INDEX(Unit_Rates!$C$75:$K$80,MATCH($C78,Unit_Rates!$D$75:$D$80,0),7)</f>
        <v>9.8158379373848997E-2</v>
      </c>
      <c r="H78" s="456">
        <f>INDEX(Feeder_Vols!$K$21:$K$29,MATCH($B$3,Feeder_Vols!$G$21:$G$29,0),1)</f>
        <v>2332.63</v>
      </c>
      <c r="I78" s="266" t="s">
        <v>510</v>
      </c>
      <c r="J78" s="171"/>
      <c r="K78" s="268">
        <f t="shared" si="39"/>
        <v>228.9671804788214</v>
      </c>
      <c r="L78" s="268">
        <f>SUMPRODUCT(R$5:X$5,R78:X78)/Thousands</f>
        <v>0</v>
      </c>
      <c r="M78" s="268"/>
      <c r="N78" s="268">
        <f>$H78*Unit_Rates!$L$80</f>
        <v>331.68185764162058</v>
      </c>
      <c r="O78" s="268"/>
      <c r="P78" s="228">
        <f t="shared" si="40"/>
        <v>560.64903812044201</v>
      </c>
      <c r="Q78" s="28">
        <f>P78-H78*Unit_Rates!$E$80</f>
        <v>0</v>
      </c>
      <c r="R78" s="330"/>
      <c r="S78" s="330"/>
      <c r="T78" s="330"/>
      <c r="U78" s="330"/>
      <c r="V78" s="330"/>
      <c r="W78" s="330"/>
      <c r="X78" s="330"/>
      <c r="Y78" s="14">
        <f t="shared" si="30"/>
        <v>0</v>
      </c>
      <c r="Z78" s="15"/>
      <c r="AA78" s="15"/>
      <c r="AB78" s="15"/>
      <c r="AC78" s="15"/>
      <c r="AD78" s="15"/>
      <c r="AE78" s="15"/>
      <c r="AF78" s="15"/>
      <c r="AG78" s="16"/>
      <c r="AI78" s="5"/>
    </row>
    <row r="79" spans="2:35" x14ac:dyDescent="0.3">
      <c r="B79" s="251" t="s">
        <v>46</v>
      </c>
      <c r="C79" s="171"/>
      <c r="D79" s="171"/>
      <c r="E79" s="171"/>
      <c r="F79" s="171"/>
      <c r="G79" s="228"/>
      <c r="H79" s="231"/>
      <c r="I79" s="224"/>
      <c r="J79" s="171"/>
      <c r="K79" s="268"/>
      <c r="L79" s="268"/>
      <c r="M79" s="268"/>
      <c r="N79" s="268"/>
      <c r="O79" s="268"/>
      <c r="P79" s="228"/>
      <c r="Q79" s="28"/>
      <c r="R79" s="329"/>
      <c r="S79" s="326"/>
      <c r="T79" s="326"/>
      <c r="U79" s="326"/>
      <c r="V79" s="326"/>
      <c r="W79" s="326"/>
      <c r="X79" s="326"/>
      <c r="Y79" s="14"/>
      <c r="Z79" s="15"/>
      <c r="AA79" s="15"/>
      <c r="AB79" s="15"/>
      <c r="AC79" s="15"/>
      <c r="AD79" s="15"/>
      <c r="AE79" s="15"/>
      <c r="AF79" s="15"/>
      <c r="AI79" s="5"/>
    </row>
    <row r="80" spans="2:35" x14ac:dyDescent="0.3">
      <c r="B80" s="251"/>
      <c r="C80" s="171" t="s">
        <v>221</v>
      </c>
      <c r="D80" s="171" t="str">
        <f>Unit_Rates!G86</f>
        <v>Distribution system assets</v>
      </c>
      <c r="E80" s="171" t="str">
        <f>Unit_Rates!H86</f>
        <v>Replacement</v>
      </c>
      <c r="F80" s="171" t="str">
        <f t="shared" ref="F80:F83" si="48">D80&amp;E80</f>
        <v>Distribution system assetsReplacement</v>
      </c>
      <c r="G80" s="228">
        <f>Unit_Rates!I86</f>
        <v>22.447723472706969</v>
      </c>
      <c r="H80" s="457">
        <f>INDEX(Feeder_Vols!$C$35:$F$43,MATCH($B$3,Feeder_Vols!$B$35:$B$43,0),1)</f>
        <v>7</v>
      </c>
      <c r="I80" s="264" t="s">
        <v>292</v>
      </c>
      <c r="J80" s="171"/>
      <c r="K80" s="268">
        <f>G80*H80</f>
        <v>157.13406430894878</v>
      </c>
      <c r="L80" s="268">
        <f>$H80*Unit_Rates!J86</f>
        <v>44.933975398930215</v>
      </c>
      <c r="M80" s="268">
        <f>$H80*Unit_Rates!K86</f>
        <v>0</v>
      </c>
      <c r="N80" s="268">
        <f>$H80*Unit_Rates!L86</f>
        <v>74.057447569387477</v>
      </c>
      <c r="O80" s="268">
        <f>$H80*Unit_Rates!M86</f>
        <v>0.16291951459402704</v>
      </c>
      <c r="P80" s="228">
        <f>SUM(K80:O80)</f>
        <v>276.2884067918605</v>
      </c>
      <c r="Q80" s="28">
        <f>P80-(H80*Unit_Rates!$E$86)</f>
        <v>0</v>
      </c>
      <c r="R80" s="327">
        <f t="shared" ref="R80:X83" si="49">$AI80*Z80*$H80</f>
        <v>84.835888801735535</v>
      </c>
      <c r="S80" s="327">
        <f t="shared" si="49"/>
        <v>90.810247168054929</v>
      </c>
      <c r="T80" s="327">
        <f t="shared" si="49"/>
        <v>104.20246543728324</v>
      </c>
      <c r="U80" s="327">
        <f t="shared" si="49"/>
        <v>0</v>
      </c>
      <c r="V80" s="327">
        <f t="shared" si="49"/>
        <v>0</v>
      </c>
      <c r="W80" s="327">
        <f t="shared" si="49"/>
        <v>0</v>
      </c>
      <c r="X80" s="327">
        <f t="shared" si="49"/>
        <v>0</v>
      </c>
      <c r="Y80" s="14">
        <f t="shared" ref="Y80:Y88" si="50">SUM(R80:X80)</f>
        <v>279.84860140707372</v>
      </c>
      <c r="Z80" s="15">
        <v>0.30314923274650013</v>
      </c>
      <c r="AA80" s="15">
        <v>0.32449777026385929</v>
      </c>
      <c r="AB80" s="15">
        <v>0.37235299698964058</v>
      </c>
      <c r="AC80" s="15">
        <v>0</v>
      </c>
      <c r="AD80" s="15">
        <v>0</v>
      </c>
      <c r="AE80" s="15">
        <v>0</v>
      </c>
      <c r="AF80" s="15">
        <v>0</v>
      </c>
      <c r="AG80" s="16">
        <f t="shared" ref="AG80:AG83" si="51">SUM(Z80:AF80)</f>
        <v>1</v>
      </c>
      <c r="AH80" t="b">
        <f t="shared" ref="AH80:AH88" si="52">AG80=1</f>
        <v>1</v>
      </c>
      <c r="AI80" s="5">
        <v>39.978371629581957</v>
      </c>
    </row>
    <row r="81" spans="2:35" x14ac:dyDescent="0.3">
      <c r="B81" s="251"/>
      <c r="C81" s="171" t="s">
        <v>223</v>
      </c>
      <c r="D81" s="171" t="str">
        <f>Unit_Rates!G87</f>
        <v>Distribution system assets</v>
      </c>
      <c r="E81" s="171" t="str">
        <f>Unit_Rates!H87</f>
        <v>Replacement</v>
      </c>
      <c r="F81" s="171" t="str">
        <f t="shared" si="48"/>
        <v>Distribution system assetsReplacement</v>
      </c>
      <c r="G81" s="228">
        <f>Unit_Rates!I87</f>
        <v>21.323700104130506</v>
      </c>
      <c r="H81" s="457">
        <f>INDEX(Feeder_Vols!$C$35:$F$43,MATCH($B$3,Feeder_Vols!$B$35:$B$43,0),2)</f>
        <v>3</v>
      </c>
      <c r="I81" s="264" t="s">
        <v>292</v>
      </c>
      <c r="J81" s="171"/>
      <c r="K81" s="268">
        <f>G81*H81</f>
        <v>63.971100312391513</v>
      </c>
      <c r="L81" s="268">
        <f>$H81*Unit_Rates!J87</f>
        <v>20.696532454009017</v>
      </c>
      <c r="M81" s="268">
        <f>$H81*Unit_Rates!K87</f>
        <v>13.170520652551193</v>
      </c>
      <c r="N81" s="268">
        <f>$H81*Unit_Rates!L87</f>
        <v>71.49711211384934</v>
      </c>
      <c r="O81" s="268">
        <f>$H81*Unit_Rates!M87</f>
        <v>18.81502950364456</v>
      </c>
      <c r="P81" s="228">
        <f>SUM(K81:O81)</f>
        <v>188.15029503644561</v>
      </c>
      <c r="Q81" s="28">
        <f>P81-(H81*Unit_Rates!$E$87)</f>
        <v>0</v>
      </c>
      <c r="R81" s="327">
        <f t="shared" si="49"/>
        <v>39.075303492769315</v>
      </c>
      <c r="S81" s="327">
        <f t="shared" si="49"/>
        <v>41.827085428879833</v>
      </c>
      <c r="T81" s="327">
        <f t="shared" si="49"/>
        <v>47.995524290108584</v>
      </c>
      <c r="U81" s="327">
        <f t="shared" si="49"/>
        <v>0</v>
      </c>
      <c r="V81" s="327">
        <f t="shared" si="49"/>
        <v>0</v>
      </c>
      <c r="W81" s="327">
        <f t="shared" si="49"/>
        <v>0</v>
      </c>
      <c r="X81" s="327">
        <f t="shared" si="49"/>
        <v>0</v>
      </c>
      <c r="Y81" s="14">
        <f t="shared" si="50"/>
        <v>128.89791321175773</v>
      </c>
      <c r="Z81" s="15">
        <v>0.30314923274650013</v>
      </c>
      <c r="AA81" s="15">
        <v>0.32449777026385929</v>
      </c>
      <c r="AB81" s="15">
        <v>0.37235299698964064</v>
      </c>
      <c r="AC81" s="15">
        <v>0</v>
      </c>
      <c r="AD81" s="15">
        <v>0</v>
      </c>
      <c r="AE81" s="15">
        <v>0</v>
      </c>
      <c r="AF81" s="15">
        <v>0</v>
      </c>
      <c r="AG81" s="16">
        <f t="shared" si="51"/>
        <v>1</v>
      </c>
      <c r="AH81" t="b">
        <f t="shared" si="52"/>
        <v>1</v>
      </c>
      <c r="AI81" s="5">
        <v>42.965971070585908</v>
      </c>
    </row>
    <row r="82" spans="2:35" x14ac:dyDescent="0.3">
      <c r="B82" s="251"/>
      <c r="C82" s="171" t="s">
        <v>225</v>
      </c>
      <c r="D82" s="171" t="str">
        <f>Unit_Rates!G88</f>
        <v>Distribution system assets</v>
      </c>
      <c r="E82" s="171" t="str">
        <f>Unit_Rates!H88</f>
        <v>Replacement</v>
      </c>
      <c r="F82" s="171" t="str">
        <f t="shared" si="48"/>
        <v>Distribution system assetsReplacement</v>
      </c>
      <c r="G82" s="228">
        <f>Unit_Rates!I88</f>
        <v>14.297621705426357</v>
      </c>
      <c r="H82" s="457">
        <f>INDEX(Feeder_Vols!$C$35:$F$43,MATCH($B$3,Feeder_Vols!$B$35:$B$43,0),3)</f>
        <v>0</v>
      </c>
      <c r="I82" s="264" t="s">
        <v>292</v>
      </c>
      <c r="J82" s="171"/>
      <c r="K82" s="268">
        <f>G82*H82</f>
        <v>0</v>
      </c>
      <c r="L82" s="268">
        <f>SUMPRODUCT(R$5:X$5,R82:X82)/Thousands</f>
        <v>0</v>
      </c>
      <c r="M82" s="268">
        <f>$H82*Unit_Rates!K88</f>
        <v>0</v>
      </c>
      <c r="N82" s="268">
        <f>$H82*Unit_Rates!L88</f>
        <v>0</v>
      </c>
      <c r="O82" s="268">
        <f>$H82*Unit_Rates!M88</f>
        <v>0</v>
      </c>
      <c r="P82" s="228">
        <f>SUM(K82:O82)</f>
        <v>0</v>
      </c>
      <c r="Q82" s="28">
        <f>P82-(H82*Unit_Rates!$E$88)</f>
        <v>0</v>
      </c>
      <c r="R82" s="327">
        <f t="shared" si="49"/>
        <v>0</v>
      </c>
      <c r="S82" s="327">
        <f t="shared" si="49"/>
        <v>0</v>
      </c>
      <c r="T82" s="327">
        <f t="shared" si="49"/>
        <v>0</v>
      </c>
      <c r="U82" s="327">
        <f t="shared" si="49"/>
        <v>0</v>
      </c>
      <c r="V82" s="327">
        <f t="shared" si="49"/>
        <v>0</v>
      </c>
      <c r="W82" s="327">
        <f t="shared" si="49"/>
        <v>0</v>
      </c>
      <c r="X82" s="327">
        <f t="shared" si="49"/>
        <v>0</v>
      </c>
      <c r="Y82" s="14">
        <f t="shared" si="50"/>
        <v>0</v>
      </c>
      <c r="Z82" s="15">
        <v>0.11818857666880556</v>
      </c>
      <c r="AA82" s="15">
        <v>0.49778875974979209</v>
      </c>
      <c r="AB82" s="15">
        <v>0.3840226635814023</v>
      </c>
      <c r="AC82" s="15">
        <v>0</v>
      </c>
      <c r="AD82" s="15">
        <v>0</v>
      </c>
      <c r="AE82" s="15">
        <v>0</v>
      </c>
      <c r="AF82" s="15">
        <v>0</v>
      </c>
      <c r="AG82" s="16">
        <f t="shared" si="51"/>
        <v>1</v>
      </c>
      <c r="AH82" t="b">
        <f t="shared" si="52"/>
        <v>1</v>
      </c>
      <c r="AI82" s="5">
        <v>144.70421211980818</v>
      </c>
    </row>
    <row r="83" spans="2:35" x14ac:dyDescent="0.3">
      <c r="B83" s="251"/>
      <c r="C83" s="171" t="s">
        <v>227</v>
      </c>
      <c r="D83" s="171" t="str">
        <f>Unit_Rates!G89</f>
        <v>Distribution system assets</v>
      </c>
      <c r="E83" s="171" t="str">
        <f>Unit_Rates!H89</f>
        <v>Replacement</v>
      </c>
      <c r="F83" s="171" t="str">
        <f t="shared" si="48"/>
        <v>Distribution system assetsReplacement</v>
      </c>
      <c r="G83" s="228">
        <f>Unit_Rates!I89</f>
        <v>182.28643631627907</v>
      </c>
      <c r="H83" s="457">
        <f>INDEX(Feeder_Vols!$C$35:$F$43,MATCH($B$3,Feeder_Vols!$B$35:$B$43,0),4)</f>
        <v>0</v>
      </c>
      <c r="I83" s="264" t="s">
        <v>292</v>
      </c>
      <c r="J83" s="171"/>
      <c r="K83" s="268">
        <f>G83*H83</f>
        <v>0</v>
      </c>
      <c r="L83" s="268">
        <f>SUMPRODUCT(R$5:X$5,R83:X83)/Thousands</f>
        <v>0</v>
      </c>
      <c r="M83" s="268">
        <f>$H83*Unit_Rates!K89</f>
        <v>0</v>
      </c>
      <c r="N83" s="268">
        <f>$H83*Unit_Rates!L89</f>
        <v>0</v>
      </c>
      <c r="O83" s="268">
        <f>$H83*Unit_Rates!M89</f>
        <v>0</v>
      </c>
      <c r="P83" s="228">
        <f>SUM(K83:O83)</f>
        <v>0</v>
      </c>
      <c r="Q83" s="28">
        <f>P83-(H83*Unit_Rates!$E$89)</f>
        <v>0</v>
      </c>
      <c r="R83" s="327">
        <f t="shared" si="49"/>
        <v>0</v>
      </c>
      <c r="S83" s="327">
        <f t="shared" si="49"/>
        <v>0</v>
      </c>
      <c r="T83" s="327">
        <f t="shared" si="49"/>
        <v>0</v>
      </c>
      <c r="U83" s="327">
        <f t="shared" si="49"/>
        <v>0</v>
      </c>
      <c r="V83" s="327">
        <f t="shared" si="49"/>
        <v>0</v>
      </c>
      <c r="W83" s="327">
        <f t="shared" si="49"/>
        <v>0</v>
      </c>
      <c r="X83" s="327">
        <f t="shared" si="49"/>
        <v>0</v>
      </c>
      <c r="Y83" s="14">
        <f t="shared" si="50"/>
        <v>0</v>
      </c>
      <c r="Z83" s="15">
        <v>0.69942688247564233</v>
      </c>
      <c r="AA83" s="15">
        <v>4.8454943655496512E-2</v>
      </c>
      <c r="AB83" s="15">
        <v>0.25211817386886121</v>
      </c>
      <c r="AC83" s="15">
        <v>0</v>
      </c>
      <c r="AD83" s="15">
        <v>0</v>
      </c>
      <c r="AE83" s="15">
        <v>0</v>
      </c>
      <c r="AF83" s="15">
        <v>0</v>
      </c>
      <c r="AG83" s="16">
        <f t="shared" si="51"/>
        <v>1</v>
      </c>
      <c r="AH83" t="b">
        <f t="shared" si="52"/>
        <v>1</v>
      </c>
      <c r="AI83" s="5">
        <v>220.41130997006761</v>
      </c>
    </row>
    <row r="84" spans="2:35" x14ac:dyDescent="0.3">
      <c r="B84" s="251" t="s">
        <v>296</v>
      </c>
      <c r="C84" s="171"/>
      <c r="D84" s="171"/>
      <c r="E84" s="171"/>
      <c r="F84" s="171"/>
      <c r="G84" s="228"/>
      <c r="H84" s="231"/>
      <c r="I84" s="264"/>
      <c r="J84" s="171"/>
      <c r="K84" s="268"/>
      <c r="L84" s="268"/>
      <c r="M84" s="268"/>
      <c r="N84" s="268"/>
      <c r="O84" s="268"/>
      <c r="P84" s="228"/>
      <c r="Q84" s="28"/>
      <c r="R84" s="326"/>
      <c r="S84" s="326"/>
      <c r="T84" s="326"/>
      <c r="U84" s="326"/>
      <c r="V84" s="326"/>
      <c r="W84" s="326"/>
      <c r="X84" s="326"/>
      <c r="Y84" s="14"/>
    </row>
    <row r="85" spans="2:35" x14ac:dyDescent="0.3">
      <c r="B85" s="232"/>
      <c r="C85" s="171" t="s">
        <v>553</v>
      </c>
      <c r="D85" s="171" t="str">
        <f>Unit_Rates!G95</f>
        <v>Distribution system assets</v>
      </c>
      <c r="E85" s="171" t="str">
        <f>Unit_Rates!H95</f>
        <v>Augmentation</v>
      </c>
      <c r="F85" s="171" t="str">
        <f t="shared" ref="F85" si="53">D85&amp;E85</f>
        <v>Distribution system assetsAugmentation</v>
      </c>
      <c r="G85" s="228">
        <f>Unit_Rates!I95</f>
        <v>490.33390034070919</v>
      </c>
      <c r="H85" s="456">
        <f>INDEX(Feeder_Vols!$C$48:$F$56,MATCH($B$3,Feeder_Vols!$B$48:$B$56,0),1)</f>
        <v>4</v>
      </c>
      <c r="I85" s="264" t="s">
        <v>292</v>
      </c>
      <c r="J85" s="171"/>
      <c r="K85" s="268">
        <f>G85*H85</f>
        <v>1961.3356013628368</v>
      </c>
      <c r="L85" s="268">
        <f>SUMPRODUCT(R$5:X$5,R85:X85)/Thousands</f>
        <v>308.93713274508423</v>
      </c>
      <c r="M85" s="268">
        <f>$H85*Unit_Rates!K95</f>
        <v>0</v>
      </c>
      <c r="N85" s="268">
        <f>$H85*Unit_Rates!L95</f>
        <v>515.73287893371946</v>
      </c>
      <c r="O85" s="268">
        <f>$H85*Unit_Rates!M95</f>
        <v>154.72096882199929</v>
      </c>
      <c r="P85" s="228">
        <f>SUM(K85:O85)</f>
        <v>2940.7265818636392</v>
      </c>
      <c r="Q85" s="28">
        <f>P85-H85*Unit_Rates!$E95</f>
        <v>-0.5025946151477001</v>
      </c>
      <c r="R85" s="327">
        <f t="shared" ref="R85:X88" si="54">$AI85*Z85*$H85</f>
        <v>340.35160147532883</v>
      </c>
      <c r="S85" s="327">
        <f t="shared" si="54"/>
        <v>403.5855762295422</v>
      </c>
      <c r="T85" s="327">
        <f t="shared" si="54"/>
        <v>1135.1696246532792</v>
      </c>
      <c r="U85" s="327">
        <f t="shared" si="54"/>
        <v>0</v>
      </c>
      <c r="V85" s="327">
        <f t="shared" si="54"/>
        <v>0</v>
      </c>
      <c r="W85" s="327">
        <f t="shared" si="54"/>
        <v>0</v>
      </c>
      <c r="X85" s="327">
        <f t="shared" si="54"/>
        <v>0</v>
      </c>
      <c r="Y85" s="14">
        <f t="shared" si="50"/>
        <v>1879.1068023581502</v>
      </c>
      <c r="Z85" s="344">
        <v>0.18112413889844414</v>
      </c>
      <c r="AA85" s="344">
        <v>0.21477521965386426</v>
      </c>
      <c r="AB85" s="344">
        <v>0.6041006414476916</v>
      </c>
      <c r="AC85" s="15">
        <v>0</v>
      </c>
      <c r="AD85" s="15">
        <v>0</v>
      </c>
      <c r="AE85" s="15">
        <v>0</v>
      </c>
      <c r="AF85" s="15">
        <v>0</v>
      </c>
      <c r="AG85" s="16">
        <f t="shared" ref="AG85:AG88" si="55">SUM(Z85:AF85)</f>
        <v>1</v>
      </c>
      <c r="AH85" t="b">
        <f t="shared" si="52"/>
        <v>1</v>
      </c>
      <c r="AI85" s="390">
        <v>469.77670058953754</v>
      </c>
    </row>
    <row r="86" spans="2:35" x14ac:dyDescent="0.3">
      <c r="B86" s="232"/>
      <c r="C86" s="171" t="s">
        <v>481</v>
      </c>
      <c r="D86" s="171" t="str">
        <f>Unit_Rates!G96</f>
        <v>Distribution system assets</v>
      </c>
      <c r="E86" s="171" t="str">
        <f>Unit_Rates!H96</f>
        <v>Augmentation</v>
      </c>
      <c r="F86" s="171" t="str">
        <f t="shared" ref="F86:F88" si="56">D86&amp;E86</f>
        <v>Distribution system assetsAugmentation</v>
      </c>
      <c r="G86" s="228">
        <f>Unit_Rates!I96</f>
        <v>440.92036005674521</v>
      </c>
      <c r="H86" s="456">
        <f>INDEX(Feeder_Vols!$C$48:$F$56,MATCH($B$3,Feeder_Vols!$B$48:$B$56,0),2)</f>
        <v>1</v>
      </c>
      <c r="I86" s="264" t="s">
        <v>292</v>
      </c>
      <c r="J86" s="171"/>
      <c r="K86" s="268">
        <f t="shared" ref="K86:K88" si="57">G86*H86</f>
        <v>440.92036005674521</v>
      </c>
      <c r="L86" s="268">
        <f>SUMPRODUCT(R$5:X$5,R86:X86)/Thousands</f>
        <v>79.652288193059732</v>
      </c>
      <c r="M86" s="268">
        <f>$H86*Unit_Rates!K96</f>
        <v>0</v>
      </c>
      <c r="N86" s="268">
        <f>$H86*Unit_Rates!L96</f>
        <v>427.32977883400093</v>
      </c>
      <c r="O86" s="268">
        <f>$H86*Unit_Rates!M96</f>
        <v>28.136878415674321</v>
      </c>
      <c r="P86" s="228">
        <f t="shared" ref="P86:P88" si="58">SUM(K86:O86)</f>
        <v>976.03930549948018</v>
      </c>
      <c r="Q86" s="28">
        <f>P86-H86*Unit_Rates!$E96</f>
        <v>-6.8867318017510115E-2</v>
      </c>
      <c r="R86" s="327">
        <f t="shared" si="54"/>
        <v>90.589321949566141</v>
      </c>
      <c r="S86" s="327">
        <f t="shared" si="54"/>
        <v>214.8398511467521</v>
      </c>
      <c r="T86" s="327">
        <f t="shared" si="54"/>
        <v>194.72129000876441</v>
      </c>
      <c r="U86" s="327">
        <f t="shared" si="54"/>
        <v>0</v>
      </c>
      <c r="V86" s="327">
        <f t="shared" si="54"/>
        <v>0</v>
      </c>
      <c r="W86" s="327">
        <f t="shared" si="54"/>
        <v>0</v>
      </c>
      <c r="X86" s="327">
        <f t="shared" si="54"/>
        <v>0</v>
      </c>
      <c r="Y86" s="14">
        <f t="shared" si="50"/>
        <v>500.15046310508262</v>
      </c>
      <c r="Z86" s="15">
        <v>0.18112413889844414</v>
      </c>
      <c r="AA86" s="15">
        <v>0.42955043930772852</v>
      </c>
      <c r="AB86" s="15">
        <v>0.3893254217938274</v>
      </c>
      <c r="AC86" s="15">
        <v>0</v>
      </c>
      <c r="AD86" s="15">
        <v>0</v>
      </c>
      <c r="AE86" s="15">
        <v>0</v>
      </c>
      <c r="AF86" s="15">
        <v>0</v>
      </c>
      <c r="AG86" s="16">
        <f t="shared" si="55"/>
        <v>1</v>
      </c>
      <c r="AH86" t="b">
        <f t="shared" si="52"/>
        <v>1</v>
      </c>
      <c r="AI86" s="390">
        <v>500.15046310508262</v>
      </c>
    </row>
    <row r="87" spans="2:35" x14ac:dyDescent="0.3">
      <c r="B87" s="232"/>
      <c r="C87" s="171" t="s">
        <v>480</v>
      </c>
      <c r="D87" s="171" t="str">
        <f>Unit_Rates!G97</f>
        <v>Distribution system assets</v>
      </c>
      <c r="E87" s="171" t="str">
        <f>Unit_Rates!H97</f>
        <v>Augmentation</v>
      </c>
      <c r="F87" s="171" t="str">
        <f t="shared" si="56"/>
        <v>Distribution system assetsAugmentation</v>
      </c>
      <c r="G87" s="228">
        <f>Unit_Rates!I97</f>
        <v>464.96470387554706</v>
      </c>
      <c r="H87" s="456">
        <f>INDEX(Feeder_Vols!$C$48:$F$56,MATCH($B$3,Feeder_Vols!$B$48:$B$56,0),3)</f>
        <v>0</v>
      </c>
      <c r="I87" s="264" t="s">
        <v>292</v>
      </c>
      <c r="J87" s="171"/>
      <c r="K87" s="268">
        <f t="shared" si="57"/>
        <v>0</v>
      </c>
      <c r="L87" s="268">
        <f>SUMPRODUCT(R$5:X$5,R87:X87)/Thousands</f>
        <v>0</v>
      </c>
      <c r="M87" s="268">
        <f>$H87*Unit_Rates!K97</f>
        <v>0</v>
      </c>
      <c r="N87" s="268">
        <f>$H87*Unit_Rates!L97</f>
        <v>0</v>
      </c>
      <c r="O87" s="268">
        <f>$H87*Unit_Rates!M97</f>
        <v>0</v>
      </c>
      <c r="P87" s="228">
        <f t="shared" si="58"/>
        <v>0</v>
      </c>
      <c r="Q87" s="28">
        <f>P87-H87*Unit_Rates!$E97</f>
        <v>0</v>
      </c>
      <c r="R87" s="327">
        <f t="shared" si="54"/>
        <v>0</v>
      </c>
      <c r="S87" s="327">
        <f t="shared" si="54"/>
        <v>0</v>
      </c>
      <c r="T87" s="327">
        <f t="shared" si="54"/>
        <v>0</v>
      </c>
      <c r="U87" s="327">
        <f t="shared" si="54"/>
        <v>0</v>
      </c>
      <c r="V87" s="327">
        <f t="shared" si="54"/>
        <v>0</v>
      </c>
      <c r="W87" s="327">
        <f t="shared" si="54"/>
        <v>0</v>
      </c>
      <c r="X87" s="327">
        <f t="shared" si="54"/>
        <v>0</v>
      </c>
      <c r="Y87" s="14">
        <f t="shared" si="50"/>
        <v>0</v>
      </c>
      <c r="Z87" s="15">
        <v>0.18112413889844414</v>
      </c>
      <c r="AA87" s="15">
        <v>0.42955043930772852</v>
      </c>
      <c r="AB87" s="15">
        <v>0.3893254217938274</v>
      </c>
      <c r="AC87" s="15">
        <v>0</v>
      </c>
      <c r="AD87" s="15">
        <v>0</v>
      </c>
      <c r="AE87" s="15">
        <v>0</v>
      </c>
      <c r="AF87" s="15">
        <v>0</v>
      </c>
      <c r="AG87" s="16">
        <f t="shared" si="55"/>
        <v>1</v>
      </c>
      <c r="AH87" t="b">
        <f t="shared" si="52"/>
        <v>1</v>
      </c>
      <c r="AI87" s="390">
        <v>416.11120533381393</v>
      </c>
    </row>
    <row r="88" spans="2:35" x14ac:dyDescent="0.3">
      <c r="B88" s="232"/>
      <c r="C88" s="171" t="s">
        <v>295</v>
      </c>
      <c r="D88" s="171" t="str">
        <f>Unit_Rates!G98</f>
        <v>Distribution system assets</v>
      </c>
      <c r="E88" s="171" t="str">
        <f>Unit_Rates!H98</f>
        <v>Replacement</v>
      </c>
      <c r="F88" s="171" t="str">
        <f t="shared" si="56"/>
        <v>Distribution system assetsReplacement</v>
      </c>
      <c r="G88" s="228">
        <f>Unit_Rates!I98</f>
        <v>26.699079189686927</v>
      </c>
      <c r="H88" s="456">
        <f>INDEX(Feeder_Vols!$C$48:$I$56,MATCH($B$3,Feeder_Vols!$B$48:$B$56,0),7)</f>
        <v>0</v>
      </c>
      <c r="I88" s="264" t="s">
        <v>292</v>
      </c>
      <c r="J88" s="171"/>
      <c r="K88" s="268">
        <f t="shared" si="57"/>
        <v>0</v>
      </c>
      <c r="L88" s="268">
        <f>SUMPRODUCT(R$5:X$5,R88:X88)/Thousands</f>
        <v>0</v>
      </c>
      <c r="M88" s="268">
        <f>$H88*Unit_Rates!K98</f>
        <v>0</v>
      </c>
      <c r="N88" s="268">
        <f>$H88*Unit_Rates!L98</f>
        <v>0</v>
      </c>
      <c r="O88" s="268">
        <f>$H88*Unit_Rates!M98</f>
        <v>0</v>
      </c>
      <c r="P88" s="228">
        <f t="shared" si="58"/>
        <v>0</v>
      </c>
      <c r="Q88" s="28">
        <f>P88-H88*Unit_Rates!$E98</f>
        <v>0</v>
      </c>
      <c r="R88" s="327">
        <f t="shared" si="54"/>
        <v>0</v>
      </c>
      <c r="S88" s="327">
        <f t="shared" si="54"/>
        <v>0</v>
      </c>
      <c r="T88" s="327">
        <f t="shared" si="54"/>
        <v>0</v>
      </c>
      <c r="U88" s="327">
        <f t="shared" si="54"/>
        <v>0</v>
      </c>
      <c r="V88" s="327">
        <f t="shared" si="54"/>
        <v>0</v>
      </c>
      <c r="W88" s="327">
        <f t="shared" si="54"/>
        <v>0</v>
      </c>
      <c r="X88" s="327">
        <f t="shared" si="54"/>
        <v>0</v>
      </c>
      <c r="Y88" s="14">
        <f t="shared" si="50"/>
        <v>0</v>
      </c>
      <c r="Z88" s="15">
        <v>0.30314923274650013</v>
      </c>
      <c r="AA88" s="15">
        <v>0.32449777026385929</v>
      </c>
      <c r="AB88" s="15">
        <v>0.37235299698964064</v>
      </c>
      <c r="AC88" s="15">
        <v>0</v>
      </c>
      <c r="AD88" s="15">
        <v>0</v>
      </c>
      <c r="AE88" s="15">
        <v>0</v>
      </c>
      <c r="AF88" s="15">
        <v>0</v>
      </c>
      <c r="AG88" s="16">
        <f t="shared" si="55"/>
        <v>1</v>
      </c>
      <c r="AH88" t="b">
        <f t="shared" si="52"/>
        <v>1</v>
      </c>
      <c r="AI88" s="390">
        <v>53.863654268137608</v>
      </c>
    </row>
    <row r="89" spans="2:35" x14ac:dyDescent="0.3">
      <c r="B89" s="232"/>
      <c r="C89" s="171"/>
      <c r="D89" s="171"/>
      <c r="E89" s="171"/>
      <c r="F89" s="171"/>
      <c r="G89" s="224"/>
      <c r="H89" s="232"/>
      <c r="I89" s="224"/>
      <c r="J89" s="171"/>
      <c r="K89" s="235"/>
      <c r="L89" s="235"/>
      <c r="M89" s="235"/>
      <c r="N89" s="235"/>
      <c r="O89" s="235"/>
      <c r="P89" s="224"/>
    </row>
    <row r="90" spans="2:35" x14ac:dyDescent="0.3">
      <c r="B90" s="251" t="s">
        <v>283</v>
      </c>
      <c r="C90" s="171"/>
      <c r="D90" s="171"/>
      <c r="E90" s="171"/>
      <c r="F90" s="171"/>
      <c r="G90" s="224"/>
      <c r="H90" s="232"/>
      <c r="I90" s="224"/>
      <c r="J90" s="171"/>
      <c r="K90" s="319">
        <f>SUM(K72:K88)</f>
        <v>3300.6857316087653</v>
      </c>
      <c r="L90" s="319">
        <f t="shared" ref="L90:P90" si="59">SUM(L72:L88)</f>
        <v>1175.0498630300126</v>
      </c>
      <c r="M90" s="319">
        <f t="shared" si="59"/>
        <v>194.48968344324888</v>
      </c>
      <c r="N90" s="319">
        <f t="shared" si="59"/>
        <v>2619.857781120264</v>
      </c>
      <c r="O90" s="319">
        <f t="shared" si="59"/>
        <v>259.91133296255873</v>
      </c>
      <c r="P90" s="319">
        <f t="shared" si="59"/>
        <v>7549.9943921648483</v>
      </c>
      <c r="R90" s="274"/>
      <c r="S90" s="274"/>
      <c r="T90" s="274"/>
    </row>
    <row r="91" spans="2:35" x14ac:dyDescent="0.3">
      <c r="B91" s="259" t="s">
        <v>55</v>
      </c>
      <c r="C91" s="260"/>
      <c r="D91" s="260"/>
      <c r="E91" s="260"/>
      <c r="F91" s="260"/>
      <c r="G91" s="260"/>
      <c r="H91" s="260"/>
      <c r="I91" s="260"/>
      <c r="J91" s="260"/>
      <c r="K91" s="323">
        <f>K90-SUMIF(Direct_Capex_Totals!$B$19:$B$109,$B$3,Direct_Capex_Totals!Q$19:Q$109)</f>
        <v>0</v>
      </c>
      <c r="L91" s="323">
        <f>L90-SUMIF(Direct_Capex_Totals!$B$19:$B$109,$B$3,Direct_Capex_Totals!R$19:R$109)</f>
        <v>0</v>
      </c>
      <c r="M91" s="323">
        <f>M90-SUMIF(Direct_Capex_Totals!$B$19:$B$109,$B$3,Direct_Capex_Totals!S$19:S$109)</f>
        <v>0</v>
      </c>
      <c r="N91" s="323">
        <f>N90-SUMIF(Direct_Capex_Totals!$B$19:$B$109,$B$3,Direct_Capex_Totals!T$19:T$109)</f>
        <v>0</v>
      </c>
      <c r="O91" s="323">
        <f>O90-SUMIF(Direct_Capex_Totals!$B$19:$B$109,$B$3,Direct_Capex_Totals!U$19:U$109)</f>
        <v>0</v>
      </c>
      <c r="P91" s="324">
        <f>SUM(K91:O91)</f>
        <v>0</v>
      </c>
      <c r="Q91" s="11"/>
    </row>
    <row r="92" spans="2:35" x14ac:dyDescent="0.3">
      <c r="B92" s="232"/>
      <c r="C92" s="171"/>
      <c r="D92" s="171"/>
      <c r="E92" s="171"/>
      <c r="F92" s="171"/>
      <c r="G92" s="171"/>
      <c r="H92" s="171"/>
      <c r="I92" s="171"/>
      <c r="J92" s="171"/>
      <c r="K92" s="157"/>
      <c r="L92" s="157"/>
      <c r="M92" s="157"/>
      <c r="N92" s="157"/>
      <c r="O92" s="157"/>
      <c r="P92" s="233"/>
    </row>
    <row r="93" spans="2:35" x14ac:dyDescent="0.3">
      <c r="B93" s="251" t="s">
        <v>103</v>
      </c>
      <c r="C93" s="252"/>
      <c r="D93" s="252"/>
      <c r="E93" s="252"/>
      <c r="F93" s="252"/>
      <c r="G93" s="252"/>
      <c r="H93" s="252"/>
      <c r="I93" s="252"/>
      <c r="J93" s="252"/>
      <c r="K93" s="26">
        <f t="shared" ref="K93:P93" si="60">K59+K90</f>
        <v>7238.2425995528592</v>
      </c>
      <c r="L93" s="26">
        <f t="shared" si="60"/>
        <v>1939.2103630300126</v>
      </c>
      <c r="M93" s="26">
        <f t="shared" si="60"/>
        <v>789.46642762929525</v>
      </c>
      <c r="N93" s="26">
        <f t="shared" si="60"/>
        <v>4485.5913752356437</v>
      </c>
      <c r="O93" s="26">
        <f t="shared" si="60"/>
        <v>582.9585482043251</v>
      </c>
      <c r="P93" s="253">
        <f t="shared" si="60"/>
        <v>15035.469313652135</v>
      </c>
    </row>
    <row r="94" spans="2:35" x14ac:dyDescent="0.3">
      <c r="B94" s="258" t="s">
        <v>55</v>
      </c>
      <c r="C94" s="254"/>
      <c r="D94" s="254"/>
      <c r="E94" s="254"/>
      <c r="F94" s="254"/>
      <c r="G94" s="254"/>
      <c r="H94" s="254"/>
      <c r="I94" s="254"/>
      <c r="J94" s="254"/>
      <c r="K94" s="255">
        <f>K93-SUMIF(Direct_Capex_Totals!$B$132:$B$140,$B$3,Direct_Capex_Totals!Q$132:Q$140)</f>
        <v>0</v>
      </c>
      <c r="L94" s="255">
        <f>L93-SUMIF(Direct_Capex_Totals!$B$132:$B$140,$B$3,Direct_Capex_Totals!R$132:R$140)</f>
        <v>0</v>
      </c>
      <c r="M94" s="255">
        <f>M93-SUMIF(Direct_Capex_Totals!$B$132:$B$140,$B$3,Direct_Capex_Totals!S$132:S$140)</f>
        <v>0</v>
      </c>
      <c r="N94" s="256">
        <f>N93-SUMIF(Direct_Capex_Totals!$B$132:$B$140,$B$3,Direct_Capex_Totals!T$132:T$140)</f>
        <v>0</v>
      </c>
      <c r="O94" s="255">
        <f>O93-SUMIF(Direct_Capex_Totals!$B$132:$B$140,$B$3,Direct_Capex_Totals!U$132:U$140)</f>
        <v>0</v>
      </c>
      <c r="P94" s="257">
        <f>SUM(K94:O94)</f>
        <v>0</v>
      </c>
    </row>
    <row r="97" spans="3:16" hidden="1" outlineLevel="1" x14ac:dyDescent="0.3">
      <c r="C97" t="s">
        <v>261</v>
      </c>
      <c r="D97" t="s">
        <v>18</v>
      </c>
      <c r="E97" t="s">
        <v>42</v>
      </c>
      <c r="F97" s="171" t="str">
        <f t="shared" ref="F97:F117" si="61">D97&amp;E97</f>
        <v>SubtransmissionAugmentation</v>
      </c>
      <c r="K97" s="6">
        <v>1322.8607285948005</v>
      </c>
      <c r="L97" s="6">
        <v>0</v>
      </c>
      <c r="M97" s="6">
        <v>0</v>
      </c>
      <c r="N97" s="6">
        <v>1497.8497303953061</v>
      </c>
      <c r="O97" s="6">
        <v>318.6202723320057</v>
      </c>
      <c r="P97" s="6">
        <v>3139.3307313221121</v>
      </c>
    </row>
    <row r="98" spans="3:16" hidden="1" outlineLevel="1" x14ac:dyDescent="0.3">
      <c r="D98" t="s">
        <v>18</v>
      </c>
      <c r="E98" t="s">
        <v>44</v>
      </c>
      <c r="F98" s="171" t="str">
        <f t="shared" si="61"/>
        <v>SubtransmissionReplacement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</row>
    <row r="99" spans="3:16" hidden="1" outlineLevel="1" x14ac:dyDescent="0.3">
      <c r="D99" t="s">
        <v>22</v>
      </c>
      <c r="E99" t="s">
        <v>42</v>
      </c>
      <c r="F99" s="171" t="str">
        <f t="shared" si="61"/>
        <v>SCADA/Network controlAugmentation</v>
      </c>
      <c r="K99" s="6">
        <v>2614.6961393492943</v>
      </c>
      <c r="L99" s="6">
        <v>0</v>
      </c>
      <c r="M99" s="6">
        <v>0</v>
      </c>
      <c r="N99" s="6">
        <v>367.88386372007363</v>
      </c>
      <c r="O99" s="6">
        <v>4.426942909760589</v>
      </c>
      <c r="P99" s="6">
        <v>2987.0069459791289</v>
      </c>
    </row>
    <row r="100" spans="3:16" hidden="1" outlineLevel="1" x14ac:dyDescent="0.3">
      <c r="D100" t="s">
        <v>22</v>
      </c>
      <c r="E100" t="s">
        <v>44</v>
      </c>
      <c r="F100" s="171" t="str">
        <f t="shared" si="61"/>
        <v>SCADA/Network controlReplacement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3:16" hidden="1" outlineLevel="1" x14ac:dyDescent="0.3">
      <c r="D101" t="s">
        <v>195</v>
      </c>
      <c r="E101" t="s">
        <v>66</v>
      </c>
      <c r="F101" s="171" t="str">
        <f t="shared" si="61"/>
        <v>LandNon-Network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</row>
    <row r="102" spans="3:16" hidden="1" outlineLevel="1" x14ac:dyDescent="0.3">
      <c r="F102" s="171"/>
      <c r="K102" s="6">
        <v>3937.5568679440948</v>
      </c>
      <c r="L102" s="6">
        <v>0</v>
      </c>
      <c r="M102" s="6">
        <v>0</v>
      </c>
      <c r="N102" s="6">
        <v>1865.7335941153797</v>
      </c>
      <c r="O102" s="6">
        <v>323.04721524176631</v>
      </c>
      <c r="P102" s="6">
        <v>6126.3376773012405</v>
      </c>
    </row>
    <row r="103" spans="3:16" hidden="1" outlineLevel="1" x14ac:dyDescent="0.3">
      <c r="C103" t="s">
        <v>368</v>
      </c>
      <c r="D103" t="s">
        <v>18</v>
      </c>
      <c r="E103" t="s">
        <v>42</v>
      </c>
      <c r="F103" s="171" t="str">
        <f t="shared" ref="F103:F107" si="62">D103&amp;E103</f>
        <v>SubtransmissionAugmentation</v>
      </c>
      <c r="K103" s="6"/>
      <c r="L103" s="6">
        <v>391.58020136579404</v>
      </c>
      <c r="M103" s="6">
        <v>304.88505136857583</v>
      </c>
      <c r="N103" s="6">
        <v>0</v>
      </c>
      <c r="O103" s="6"/>
      <c r="P103" s="6">
        <v>696.46525273436987</v>
      </c>
    </row>
    <row r="104" spans="3:16" hidden="1" outlineLevel="1" x14ac:dyDescent="0.3">
      <c r="D104" t="s">
        <v>18</v>
      </c>
      <c r="E104" t="s">
        <v>44</v>
      </c>
      <c r="F104" s="171" t="str">
        <f t="shared" si="62"/>
        <v>SubtransmissionReplacement</v>
      </c>
      <c r="K104" s="6"/>
      <c r="L104" s="6">
        <v>0</v>
      </c>
      <c r="M104" s="6">
        <v>0</v>
      </c>
      <c r="N104" s="6">
        <v>0</v>
      </c>
      <c r="O104" s="6"/>
      <c r="P104" s="6">
        <v>0</v>
      </c>
    </row>
    <row r="105" spans="3:16" hidden="1" outlineLevel="1" x14ac:dyDescent="0.3">
      <c r="D105" t="s">
        <v>22</v>
      </c>
      <c r="E105" t="s">
        <v>42</v>
      </c>
      <c r="F105" s="171" t="str">
        <f t="shared" si="62"/>
        <v>SCADA/Network controlAugmentation</v>
      </c>
      <c r="K105" s="6"/>
      <c r="L105" s="6">
        <v>372.58029863420597</v>
      </c>
      <c r="M105" s="6">
        <v>290.09169281747063</v>
      </c>
      <c r="N105" s="6">
        <v>0</v>
      </c>
      <c r="O105" s="6"/>
      <c r="P105" s="6">
        <v>662.6719914516766</v>
      </c>
    </row>
    <row r="106" spans="3:16" hidden="1" outlineLevel="1" x14ac:dyDescent="0.3">
      <c r="D106" t="s">
        <v>22</v>
      </c>
      <c r="E106" t="s">
        <v>44</v>
      </c>
      <c r="F106" s="171" t="str">
        <f t="shared" si="62"/>
        <v>SCADA/Network controlReplacement</v>
      </c>
      <c r="K106" s="6"/>
      <c r="L106" s="6">
        <v>0</v>
      </c>
      <c r="M106" s="6">
        <v>0</v>
      </c>
      <c r="N106" s="6">
        <v>0</v>
      </c>
      <c r="O106" s="6"/>
      <c r="P106" s="6">
        <v>0</v>
      </c>
    </row>
    <row r="107" spans="3:16" hidden="1" outlineLevel="1" x14ac:dyDescent="0.3">
      <c r="D107" t="s">
        <v>195</v>
      </c>
      <c r="E107" t="s">
        <v>66</v>
      </c>
      <c r="F107" s="171" t="str">
        <f t="shared" si="62"/>
        <v>LandNon-Network</v>
      </c>
      <c r="K107" s="39"/>
      <c r="L107" s="39">
        <v>0</v>
      </c>
      <c r="M107" s="39">
        <v>0</v>
      </c>
      <c r="N107" s="39">
        <v>0</v>
      </c>
      <c r="O107" s="39"/>
      <c r="P107" s="39">
        <v>0</v>
      </c>
    </row>
    <row r="108" spans="3:16" hidden="1" outlineLevel="1" x14ac:dyDescent="0.3">
      <c r="F108" s="171"/>
      <c r="K108" s="6">
        <v>0</v>
      </c>
      <c r="L108" s="6">
        <v>764.16049999999996</v>
      </c>
      <c r="M108" s="6">
        <v>594.97674418604652</v>
      </c>
      <c r="N108" s="6">
        <v>0</v>
      </c>
      <c r="O108" s="6">
        <v>0</v>
      </c>
      <c r="P108" s="6">
        <v>1359.1372441860465</v>
      </c>
    </row>
    <row r="109" spans="3:16" hidden="1" outlineLevel="1" x14ac:dyDescent="0.3">
      <c r="C109" t="s">
        <v>377</v>
      </c>
      <c r="D109" t="s">
        <v>18</v>
      </c>
      <c r="E109" t="s">
        <v>42</v>
      </c>
      <c r="F109" s="171" t="str">
        <f t="shared" ref="F109:F113" si="63">D109&amp;E109</f>
        <v>SubtransmissionAugmentation</v>
      </c>
      <c r="K109" s="6">
        <v>1322.8607285948005</v>
      </c>
      <c r="L109" s="6">
        <v>391.58020136579404</v>
      </c>
      <c r="M109" s="6">
        <v>304.88505136857583</v>
      </c>
      <c r="N109" s="6">
        <v>1497.8497303953061</v>
      </c>
      <c r="O109" s="6">
        <v>318.6202723320057</v>
      </c>
      <c r="P109" s="6">
        <v>3835.7959840564818</v>
      </c>
    </row>
    <row r="110" spans="3:16" hidden="1" outlineLevel="1" x14ac:dyDescent="0.3">
      <c r="D110" t="s">
        <v>18</v>
      </c>
      <c r="E110" t="s">
        <v>44</v>
      </c>
      <c r="F110" s="171" t="str">
        <f t="shared" si="63"/>
        <v>SubtransmissionReplacement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3:16" hidden="1" outlineLevel="1" x14ac:dyDescent="0.3">
      <c r="D111" t="s">
        <v>22</v>
      </c>
      <c r="E111" t="s">
        <v>42</v>
      </c>
      <c r="F111" s="171" t="str">
        <f t="shared" si="63"/>
        <v>SCADA/Network controlAugmentation</v>
      </c>
      <c r="K111" s="6">
        <v>2614.6961393492943</v>
      </c>
      <c r="L111" s="6">
        <v>372.58029863420597</v>
      </c>
      <c r="M111" s="6">
        <v>290.09169281747063</v>
      </c>
      <c r="N111" s="6">
        <v>367.88386372007363</v>
      </c>
      <c r="O111" s="6">
        <v>4.426942909760589</v>
      </c>
      <c r="P111" s="6">
        <v>3649.6789374308055</v>
      </c>
    </row>
    <row r="112" spans="3:16" hidden="1" outlineLevel="1" x14ac:dyDescent="0.3">
      <c r="D112" t="s">
        <v>22</v>
      </c>
      <c r="E112" t="s">
        <v>44</v>
      </c>
      <c r="F112" s="171" t="str">
        <f t="shared" si="63"/>
        <v>SCADA/Network controlReplacement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</row>
    <row r="113" spans="3:16" hidden="1" outlineLevel="1" x14ac:dyDescent="0.3">
      <c r="D113" t="s">
        <v>195</v>
      </c>
      <c r="E113" t="s">
        <v>66</v>
      </c>
      <c r="F113" s="171" t="str">
        <f t="shared" si="63"/>
        <v>LandNon-Network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</row>
    <row r="114" spans="3:16" hidden="1" outlineLevel="1" x14ac:dyDescent="0.3">
      <c r="F114" s="171"/>
      <c r="K114" s="6">
        <v>3937.5568679440948</v>
      </c>
      <c r="L114" s="6">
        <v>764.16049999999996</v>
      </c>
      <c r="M114" s="6">
        <v>594.97674418604652</v>
      </c>
      <c r="N114" s="6">
        <v>1865.7335941153797</v>
      </c>
      <c r="O114" s="6">
        <v>323.04721524176631</v>
      </c>
      <c r="P114" s="6">
        <v>7485.4749214872872</v>
      </c>
    </row>
    <row r="115" spans="3:16" hidden="1" outlineLevel="1" x14ac:dyDescent="0.3">
      <c r="F115" s="171"/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</row>
    <row r="116" spans="3:16" hidden="1" outlineLevel="1" x14ac:dyDescent="0.3">
      <c r="C116" t="s">
        <v>17</v>
      </c>
      <c r="D116" t="s">
        <v>19</v>
      </c>
      <c r="E116" t="s">
        <v>42</v>
      </c>
      <c r="F116" s="171" t="str">
        <f t="shared" si="61"/>
        <v>Distribution system assetsAugmentation</v>
      </c>
      <c r="K116" s="6">
        <v>218.96334139534881</v>
      </c>
      <c r="L116" s="6">
        <v>192.82221205244252</v>
      </c>
      <c r="M116" s="6">
        <v>181.31916279069767</v>
      </c>
      <c r="N116" s="6">
        <v>575.79134877086301</v>
      </c>
      <c r="O116" s="6">
        <v>58.07553670664651</v>
      </c>
      <c r="P116" s="6">
        <v>1226.9716017159985</v>
      </c>
    </row>
    <row r="117" spans="3:16" hidden="1" outlineLevel="1" x14ac:dyDescent="0.3">
      <c r="D117" t="s">
        <v>19</v>
      </c>
      <c r="E117" t="s">
        <v>44</v>
      </c>
      <c r="F117" s="171" t="str">
        <f t="shared" si="61"/>
        <v>Distribution system assetsReplacement</v>
      </c>
      <c r="K117" s="39">
        <v>0</v>
      </c>
      <c r="L117" s="39">
        <v>2.3590816423472742</v>
      </c>
      <c r="M117" s="39">
        <v>0</v>
      </c>
      <c r="N117" s="39">
        <v>72.963931813953479</v>
      </c>
      <c r="O117" s="39">
        <v>0</v>
      </c>
      <c r="P117" s="39">
        <v>75.323013456300757</v>
      </c>
    </row>
    <row r="118" spans="3:16" hidden="1" outlineLevel="1" x14ac:dyDescent="0.3">
      <c r="K118" s="14">
        <v>218.96334139534881</v>
      </c>
      <c r="L118" s="14">
        <v>195.18129369478979</v>
      </c>
      <c r="M118" s="14">
        <v>181.31916279069767</v>
      </c>
      <c r="N118" s="14">
        <v>648.75528058481655</v>
      </c>
      <c r="O118" s="14">
        <v>58.07553670664651</v>
      </c>
      <c r="P118" s="14">
        <v>1302.2946151722992</v>
      </c>
    </row>
    <row r="119" spans="3:16" hidden="1" outlineLevel="1" x14ac:dyDescent="0.3">
      <c r="K119" s="19">
        <f>K118-K72</f>
        <v>0</v>
      </c>
      <c r="L119" s="19">
        <f t="shared" ref="L119:P119" si="64">L118-L72</f>
        <v>0</v>
      </c>
      <c r="M119" s="19">
        <f t="shared" si="64"/>
        <v>0</v>
      </c>
      <c r="N119" s="19">
        <f t="shared" si="64"/>
        <v>0</v>
      </c>
      <c r="O119" s="19">
        <f t="shared" si="64"/>
        <v>0</v>
      </c>
      <c r="P119" s="19">
        <f t="shared" si="64"/>
        <v>0</v>
      </c>
    </row>
    <row r="120" spans="3:16" collapsed="1" x14ac:dyDescent="0.3"/>
  </sheetData>
  <mergeCells count="3">
    <mergeCell ref="G3:I3"/>
    <mergeCell ref="K3:P3"/>
    <mergeCell ref="R3:X3"/>
  </mergeCells>
  <pageMargins left="0.25" right="0.25" top="0.75" bottom="0.75" header="0.3" footer="0.3"/>
  <pageSetup paperSize="9" scale="72" fitToHeight="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B1:AZ119"/>
  <sheetViews>
    <sheetView zoomScale="85" zoomScaleNormal="85" workbookViewId="0">
      <pane xSplit="3" ySplit="4" topLeftCell="G5" activePane="bottomRight" state="frozen"/>
      <selection activeCell="N1" sqref="N1"/>
      <selection pane="topRight" activeCell="N1" sqref="N1"/>
      <selection pane="bottomLeft" activeCell="N1" sqref="N1"/>
      <selection pane="bottomRight" activeCell="N5" sqref="N5"/>
    </sheetView>
  </sheetViews>
  <sheetFormatPr defaultRowHeight="14.4" outlineLevelRow="1" outlineLevelCol="1" x14ac:dyDescent="0.3"/>
  <cols>
    <col min="1" max="1" width="2.33203125" customWidth="1"/>
    <col min="2" max="2" width="3" customWidth="1"/>
    <col min="3" max="3" width="52" customWidth="1"/>
    <col min="4" max="6" width="20.6640625" hidden="1" customWidth="1" outlineLevel="1"/>
    <col min="7" max="7" width="9.33203125" customWidth="1" collapsed="1"/>
    <col min="8" max="8" width="8.6640625" customWidth="1"/>
    <col min="9" max="9" width="10.6640625" customWidth="1"/>
    <col min="10" max="10" width="2.33203125" customWidth="1"/>
    <col min="11" max="11" width="10" bestFit="1" customWidth="1"/>
    <col min="12" max="12" width="9.44140625" bestFit="1" customWidth="1"/>
    <col min="13" max="13" width="9.44140625" customWidth="1"/>
    <col min="14" max="14" width="12.33203125" customWidth="1"/>
    <col min="15" max="15" width="9.109375" bestFit="1" customWidth="1"/>
    <col min="16" max="16" width="10.33203125" customWidth="1"/>
    <col min="17" max="18" width="9.33203125" bestFit="1" customWidth="1"/>
    <col min="19" max="19" width="10.33203125" customWidth="1"/>
    <col min="20" max="20" width="9.5546875" bestFit="1" customWidth="1"/>
    <col min="26" max="35" width="8.88671875" hidden="1" customWidth="1" outlineLevel="1"/>
    <col min="36" max="36" width="8.88671875" collapsed="1"/>
    <col min="41" max="41" width="42.44140625" customWidth="1"/>
  </cols>
  <sheetData>
    <row r="1" spans="2:33" x14ac:dyDescent="0.3">
      <c r="N1" s="567" t="s">
        <v>425</v>
      </c>
    </row>
    <row r="2" spans="2:33" x14ac:dyDescent="0.3">
      <c r="B2" s="22" t="str">
        <f>STN_8&amp;" Volumes &amp; Unit Rates"</f>
        <v>BDL Volumes &amp; Unit Rates</v>
      </c>
      <c r="R2" s="176"/>
      <c r="S2" s="176"/>
      <c r="T2" s="176"/>
      <c r="U2" s="176"/>
      <c r="V2" s="176"/>
      <c r="W2" s="176"/>
      <c r="X2" s="176"/>
    </row>
    <row r="3" spans="2:33" x14ac:dyDescent="0.3">
      <c r="B3" t="str">
        <f>STN_8</f>
        <v>BDL</v>
      </c>
      <c r="G3" s="596" t="s">
        <v>135</v>
      </c>
      <c r="H3" s="597"/>
      <c r="I3" s="598"/>
      <c r="K3" s="596" t="s">
        <v>633</v>
      </c>
      <c r="L3" s="597"/>
      <c r="M3" s="597"/>
      <c r="N3" s="597"/>
      <c r="O3" s="597"/>
      <c r="P3" s="598"/>
      <c r="R3" s="596" t="s">
        <v>352</v>
      </c>
      <c r="S3" s="597"/>
      <c r="T3" s="597"/>
      <c r="U3" s="597"/>
      <c r="V3" s="597"/>
      <c r="W3" s="597"/>
      <c r="X3" s="598"/>
    </row>
    <row r="4" spans="2:33" ht="45" customHeight="1" x14ac:dyDescent="0.3">
      <c r="D4" t="s">
        <v>362</v>
      </c>
      <c r="E4" t="s">
        <v>84</v>
      </c>
      <c r="G4" s="221" t="s">
        <v>634</v>
      </c>
      <c r="H4" s="230" t="s">
        <v>265</v>
      </c>
      <c r="I4" s="220" t="s">
        <v>293</v>
      </c>
      <c r="K4" s="220" t="s">
        <v>135</v>
      </c>
      <c r="L4" s="220" t="s">
        <v>290</v>
      </c>
      <c r="M4" s="295" t="s">
        <v>136</v>
      </c>
      <c r="N4" s="221" t="s">
        <v>137</v>
      </c>
      <c r="O4" s="220" t="s">
        <v>60</v>
      </c>
      <c r="P4" s="220" t="s">
        <v>291</v>
      </c>
      <c r="Q4" s="266" t="s">
        <v>114</v>
      </c>
      <c r="R4" s="298" t="s">
        <v>285</v>
      </c>
      <c r="S4" s="298" t="s">
        <v>289</v>
      </c>
      <c r="T4" s="298" t="s">
        <v>256</v>
      </c>
      <c r="U4" s="298" t="s">
        <v>286</v>
      </c>
      <c r="V4" s="298" t="s">
        <v>287</v>
      </c>
      <c r="W4" s="298" t="s">
        <v>288</v>
      </c>
      <c r="X4" s="298" t="s">
        <v>345</v>
      </c>
      <c r="Y4" s="460" t="s">
        <v>485</v>
      </c>
    </row>
    <row r="5" spans="2:33" x14ac:dyDescent="0.3">
      <c r="B5" s="248" t="s">
        <v>314</v>
      </c>
      <c r="C5" s="292"/>
      <c r="D5" s="292"/>
      <c r="E5" s="292"/>
      <c r="F5" s="292"/>
      <c r="G5" s="221"/>
      <c r="H5" s="293"/>
      <c r="I5" s="294"/>
      <c r="J5" s="292"/>
      <c r="K5" s="294"/>
      <c r="L5" s="294"/>
      <c r="M5" s="294"/>
      <c r="N5" s="295"/>
      <c r="O5" s="294"/>
      <c r="P5" s="294"/>
      <c r="R5" s="325">
        <f>Lab_Rates!$C$6*(1+Escalators!C5)*(1+Escalators!C15)</f>
        <v>158.45839054425579</v>
      </c>
      <c r="S5" s="325">
        <f>Lab_Rates!$C$7*(1+Escalators!C5)*(1+Escalators!C15)</f>
        <v>148.03349642950209</v>
      </c>
      <c r="T5" s="325">
        <f>Lab_Rates!$C$8*(1+Escalators!C5)*(1+Escalators!C15)</f>
        <v>172.01075289343555</v>
      </c>
      <c r="U5" s="325">
        <f>Lab_Rates!$C$9*(1+Escalators!C5)*(1+Escalators!C15)</f>
        <v>224.1352234672039</v>
      </c>
      <c r="V5" s="325">
        <f>Lab_Rates!$C$6*(1+Escalators!C5)*(1+Escalators!C15)</f>
        <v>158.45839054425579</v>
      </c>
      <c r="W5" s="325">
        <f>Lab_Rates!$C$10*(1+Escalators!C5)*(1+Escalators!C15)</f>
        <v>158.45839054425579</v>
      </c>
      <c r="X5" s="325">
        <f>Lab_Rates!$C$5*(1+Escalators!C5)*(1+Escalators!C15)</f>
        <v>130.31117643442087</v>
      </c>
    </row>
    <row r="6" spans="2:33" x14ac:dyDescent="0.3">
      <c r="B6" s="251"/>
      <c r="C6" s="171"/>
      <c r="D6" s="171"/>
      <c r="E6" s="171"/>
      <c r="F6" s="171"/>
      <c r="G6" s="271"/>
      <c r="H6" s="231"/>
      <c r="I6" s="264"/>
      <c r="K6" s="271"/>
      <c r="L6" s="271"/>
      <c r="M6" s="271"/>
      <c r="N6" s="222"/>
      <c r="O6" s="271"/>
      <c r="P6" s="223"/>
      <c r="R6" s="326"/>
      <c r="S6" s="326"/>
      <c r="T6" s="326"/>
      <c r="U6" s="326"/>
      <c r="V6" s="326"/>
      <c r="W6" s="326"/>
      <c r="X6" s="326"/>
    </row>
    <row r="7" spans="2:33" x14ac:dyDescent="0.3">
      <c r="B7" s="232" t="s">
        <v>315</v>
      </c>
      <c r="D7" t="s">
        <v>365</v>
      </c>
      <c r="E7" t="s">
        <v>365</v>
      </c>
      <c r="G7" s="309"/>
      <c r="H7" s="314"/>
      <c r="I7" s="315"/>
      <c r="K7" s="309"/>
      <c r="L7" s="271">
        <f>SUMPRODUCT(R$5:X$5,R7:X7)/Thousands</f>
        <v>0</v>
      </c>
      <c r="M7" s="447">
        <v>644.55813953488359</v>
      </c>
      <c r="N7" s="447"/>
      <c r="O7" s="309"/>
      <c r="P7" s="223">
        <f t="shared" ref="P7" si="0">SUM(K7:O7)</f>
        <v>644.55813953488359</v>
      </c>
      <c r="Q7" s="19"/>
      <c r="R7" s="327">
        <v>0</v>
      </c>
      <c r="S7" s="328"/>
      <c r="T7" s="328"/>
      <c r="U7" s="328"/>
      <c r="V7" s="328"/>
      <c r="W7" s="328"/>
      <c r="X7" s="328"/>
    </row>
    <row r="8" spans="2:33" x14ac:dyDescent="0.3">
      <c r="B8" s="234"/>
      <c r="C8" s="42"/>
      <c r="D8" s="42"/>
      <c r="E8" s="42"/>
      <c r="F8" s="42"/>
      <c r="G8" s="241"/>
      <c r="H8" s="284"/>
      <c r="I8" s="263"/>
      <c r="K8" s="241"/>
      <c r="L8" s="241"/>
      <c r="M8" s="310"/>
      <c r="N8" s="310"/>
      <c r="O8" s="310"/>
      <c r="P8" s="242"/>
      <c r="R8" s="326"/>
      <c r="S8" s="326"/>
      <c r="T8" s="326"/>
      <c r="U8" s="326"/>
      <c r="V8" s="326"/>
      <c r="W8" s="326"/>
      <c r="X8" s="326"/>
    </row>
    <row r="9" spans="2:33" x14ac:dyDescent="0.3">
      <c r="B9" s="237" t="s">
        <v>269</v>
      </c>
      <c r="C9" s="238"/>
      <c r="D9" s="292"/>
      <c r="E9" s="292"/>
      <c r="F9" s="292"/>
      <c r="G9" s="239"/>
      <c r="H9" s="285"/>
      <c r="I9" s="220"/>
      <c r="K9" s="239"/>
      <c r="L9" s="239"/>
      <c r="M9" s="311"/>
      <c r="N9" s="311"/>
      <c r="O9" s="311"/>
      <c r="P9" s="243"/>
      <c r="R9" s="326"/>
      <c r="S9" s="326"/>
      <c r="T9" s="326"/>
      <c r="U9" s="326"/>
      <c r="V9" s="326"/>
      <c r="W9" s="326"/>
      <c r="X9" s="326"/>
    </row>
    <row r="10" spans="2:33" x14ac:dyDescent="0.3">
      <c r="B10" s="232"/>
      <c r="C10" s="171" t="s">
        <v>270</v>
      </c>
      <c r="D10" s="171" t="s">
        <v>365</v>
      </c>
      <c r="E10" s="171" t="s">
        <v>365</v>
      </c>
      <c r="F10" s="171"/>
      <c r="G10" s="309"/>
      <c r="H10" s="314"/>
      <c r="I10" s="315"/>
      <c r="K10" s="307"/>
      <c r="L10" s="225">
        <f>SUMPRODUCT(R$5:X$5,R10:X10)/Thousands</f>
        <v>48.69400000000001</v>
      </c>
      <c r="M10" s="306"/>
      <c r="N10" s="306">
        <v>0</v>
      </c>
      <c r="O10" s="307"/>
      <c r="P10" s="223">
        <f>SUM(K10:O10)</f>
        <v>48.69400000000001</v>
      </c>
      <c r="Q10" s="19"/>
      <c r="R10" s="327">
        <v>207.21403142993012</v>
      </c>
      <c r="S10" s="327">
        <v>77.473237968352223</v>
      </c>
      <c r="T10" s="327">
        <v>15.400463648641695</v>
      </c>
      <c r="U10" s="327">
        <v>7.7699453535485574</v>
      </c>
      <c r="V10" s="327">
        <v>0</v>
      </c>
      <c r="W10" s="327">
        <v>0</v>
      </c>
      <c r="X10" s="327">
        <v>0</v>
      </c>
      <c r="Y10" s="14">
        <f>SUM(R10:X10)</f>
        <v>307.85767840047259</v>
      </c>
      <c r="AA10" s="15"/>
      <c r="AB10" s="15"/>
      <c r="AC10" s="15"/>
      <c r="AD10" s="15"/>
      <c r="AE10" s="15"/>
      <c r="AF10" s="15"/>
      <c r="AG10" s="15"/>
    </row>
    <row r="11" spans="2:33" x14ac:dyDescent="0.3">
      <c r="B11" s="232"/>
      <c r="C11" s="171" t="s">
        <v>271</v>
      </c>
      <c r="D11" s="171" t="s">
        <v>365</v>
      </c>
      <c r="E11" s="171" t="s">
        <v>365</v>
      </c>
      <c r="F11" s="171"/>
      <c r="G11" s="309"/>
      <c r="H11" s="314"/>
      <c r="I11" s="315"/>
      <c r="K11" s="307"/>
      <c r="L11" s="225">
        <f>SUMPRODUCT(R$5:X$5,R11:X11)/Thousands</f>
        <v>418.2349999999999</v>
      </c>
      <c r="M11" s="306"/>
      <c r="N11" s="447">
        <v>0</v>
      </c>
      <c r="O11" s="307"/>
      <c r="P11" s="223">
        <f>SUM(K11:O11)</f>
        <v>418.2349999999999</v>
      </c>
      <c r="Q11" s="19"/>
      <c r="R11" s="327">
        <v>287.37562488533695</v>
      </c>
      <c r="S11" s="327">
        <v>0</v>
      </c>
      <c r="T11" s="327">
        <v>576.74054524328756</v>
      </c>
      <c r="U11" s="327">
        <v>82.47121044214812</v>
      </c>
      <c r="V11" s="327">
        <v>775.91418719040985</v>
      </c>
      <c r="W11" s="327">
        <v>833.38931216747721</v>
      </c>
      <c r="X11" s="327">
        <v>0</v>
      </c>
      <c r="Y11" s="14">
        <f t="shared" ref="Y11:Y13" si="1">SUM(R11:X11)</f>
        <v>2555.8908799286596</v>
      </c>
      <c r="AA11" s="15"/>
      <c r="AB11" s="15"/>
      <c r="AC11" s="15"/>
      <c r="AD11" s="15"/>
      <c r="AE11" s="15"/>
      <c r="AF11" s="15"/>
      <c r="AG11" s="15"/>
    </row>
    <row r="12" spans="2:33" x14ac:dyDescent="0.3">
      <c r="B12" s="232"/>
      <c r="C12" s="171" t="s">
        <v>304</v>
      </c>
      <c r="D12" s="171" t="s">
        <v>365</v>
      </c>
      <c r="E12" s="171" t="s">
        <v>365</v>
      </c>
      <c r="F12" s="171"/>
      <c r="G12" s="309"/>
      <c r="H12" s="314"/>
      <c r="I12" s="315"/>
      <c r="K12" s="307"/>
      <c r="L12" s="225">
        <f>SUMPRODUCT(R$5:X$5,R12:X12)/Thousands</f>
        <v>200.16399999999999</v>
      </c>
      <c r="M12" s="306"/>
      <c r="N12" s="306">
        <v>0</v>
      </c>
      <c r="O12" s="307"/>
      <c r="P12" s="223">
        <f>SUM(K12:O12)</f>
        <v>200.16399999999999</v>
      </c>
      <c r="Q12" s="19"/>
      <c r="R12" s="327">
        <v>0</v>
      </c>
      <c r="S12" s="327">
        <v>0</v>
      </c>
      <c r="T12" s="327">
        <v>289.49496150656887</v>
      </c>
      <c r="U12" s="327">
        <v>0</v>
      </c>
      <c r="V12" s="327">
        <v>336.69592164483231</v>
      </c>
      <c r="W12" s="327">
        <v>78.883044499646431</v>
      </c>
      <c r="X12" s="327">
        <v>648.56892482765409</v>
      </c>
      <c r="Y12" s="14">
        <f t="shared" si="1"/>
        <v>1353.6428524787016</v>
      </c>
      <c r="AA12" s="15"/>
      <c r="AB12" s="15"/>
      <c r="AC12" s="15"/>
      <c r="AD12" s="15"/>
      <c r="AE12" s="15"/>
      <c r="AF12" s="15"/>
      <c r="AG12" s="15"/>
    </row>
    <row r="13" spans="2:33" x14ac:dyDescent="0.3">
      <c r="B13" s="232"/>
      <c r="C13" s="171" t="s">
        <v>272</v>
      </c>
      <c r="D13" s="171" t="s">
        <v>365</v>
      </c>
      <c r="E13" s="171" t="s">
        <v>365</v>
      </c>
      <c r="F13" s="171"/>
      <c r="G13" s="309"/>
      <c r="H13" s="314"/>
      <c r="I13" s="315"/>
      <c r="K13" s="307"/>
      <c r="L13" s="225">
        <f>SUMPRODUCT(R$5:X$5,R13:X13)/Thousands</f>
        <v>124.9875</v>
      </c>
      <c r="M13" s="306"/>
      <c r="N13" s="306">
        <v>0</v>
      </c>
      <c r="O13" s="307"/>
      <c r="P13" s="223">
        <f>SUM(K13:O13)</f>
        <v>124.9875</v>
      </c>
      <c r="Q13" s="19"/>
      <c r="R13" s="327">
        <v>0</v>
      </c>
      <c r="S13" s="327">
        <v>0</v>
      </c>
      <c r="T13" s="327">
        <v>726.62608527405553</v>
      </c>
      <c r="U13" s="327">
        <v>0</v>
      </c>
      <c r="V13" s="327">
        <v>0</v>
      </c>
      <c r="W13" s="327">
        <v>0</v>
      </c>
      <c r="X13" s="327">
        <v>0</v>
      </c>
      <c r="Y13" s="14">
        <f t="shared" si="1"/>
        <v>726.62608527405553</v>
      </c>
      <c r="AA13" s="15"/>
      <c r="AB13" s="15"/>
      <c r="AC13" s="15"/>
      <c r="AD13" s="15"/>
      <c r="AE13" s="15"/>
      <c r="AF13" s="15"/>
      <c r="AG13" s="15"/>
    </row>
    <row r="14" spans="2:33" x14ac:dyDescent="0.3">
      <c r="B14" s="234"/>
      <c r="C14" s="42"/>
      <c r="D14" s="42"/>
      <c r="E14" s="42"/>
      <c r="F14" s="42"/>
      <c r="G14" s="241"/>
      <c r="H14" s="240"/>
      <c r="I14" s="263"/>
      <c r="K14" s="244"/>
      <c r="L14" s="245"/>
      <c r="M14" s="245"/>
      <c r="N14" s="246"/>
      <c r="O14" s="244"/>
      <c r="P14" s="247"/>
      <c r="R14" s="326"/>
      <c r="S14" s="326"/>
      <c r="T14" s="326"/>
      <c r="U14" s="326"/>
      <c r="V14" s="326"/>
      <c r="W14" s="326"/>
      <c r="X14" s="326"/>
    </row>
    <row r="15" spans="2:33" x14ac:dyDescent="0.3">
      <c r="B15" s="237" t="s">
        <v>261</v>
      </c>
      <c r="C15" s="238"/>
      <c r="D15" s="292"/>
      <c r="E15" s="292"/>
      <c r="F15" s="292"/>
      <c r="G15" s="297"/>
      <c r="H15" s="248"/>
      <c r="I15" s="243"/>
      <c r="K15" s="249"/>
      <c r="L15" s="249"/>
      <c r="M15" s="355"/>
      <c r="N15" s="249"/>
      <c r="O15" s="249"/>
      <c r="P15" s="250"/>
      <c r="Q15" s="11"/>
      <c r="R15" s="329"/>
      <c r="S15" s="326"/>
      <c r="T15" s="326"/>
      <c r="U15" s="326"/>
      <c r="V15" s="326"/>
      <c r="W15" s="326"/>
      <c r="X15" s="326"/>
      <c r="AA15" s="28"/>
      <c r="AB15" s="28"/>
      <c r="AC15" s="28"/>
      <c r="AD15" s="28"/>
      <c r="AE15" s="28"/>
      <c r="AF15" s="28"/>
      <c r="AG15" s="28"/>
    </row>
    <row r="16" spans="2:33" x14ac:dyDescent="0.3">
      <c r="B16" s="251" t="s">
        <v>263</v>
      </c>
      <c r="C16" s="171"/>
      <c r="D16" s="171"/>
      <c r="E16" s="171"/>
      <c r="F16" s="171"/>
      <c r="G16" s="228"/>
      <c r="H16" s="232"/>
      <c r="I16" s="224"/>
      <c r="J16" s="157"/>
      <c r="K16" s="225"/>
      <c r="L16" s="225"/>
      <c r="M16" s="225"/>
      <c r="N16" s="225"/>
      <c r="O16" s="225"/>
      <c r="P16" s="224"/>
      <c r="R16" s="326"/>
      <c r="S16" s="326"/>
      <c r="T16" s="326"/>
      <c r="U16" s="326"/>
      <c r="V16" s="326"/>
      <c r="W16" s="326"/>
      <c r="X16" s="326"/>
      <c r="AA16" s="28"/>
      <c r="AB16" s="28"/>
      <c r="AC16" s="28"/>
      <c r="AD16" s="28"/>
      <c r="AE16" s="28"/>
      <c r="AF16" s="28"/>
      <c r="AG16" s="28"/>
    </row>
    <row r="17" spans="2:33" x14ac:dyDescent="0.3">
      <c r="B17" s="232"/>
      <c r="C17" s="171" t="s">
        <v>306</v>
      </c>
      <c r="D17" s="171" t="str">
        <f>INDEX(Unit_Rates!$C$7:$K$54,MATCH($C17,Unit_Rates!$C$7:$C$54,0),5)</f>
        <v>Subtransmission</v>
      </c>
      <c r="E17" s="171" t="str">
        <f>INDEX(Unit_Rates!$C$7:$K$54,MATCH($C17,Unit_Rates!$C$7:$C$54,0),6)</f>
        <v>Augmentation</v>
      </c>
      <c r="F17" s="171" t="str">
        <f>D17&amp;E17</f>
        <v>SubtransmissionAugmentation</v>
      </c>
      <c r="G17" s="268">
        <f>INDEX(Unit_Rates!$C$7:$K$54,MATCH($C17,Unit_Rates!$C$7:$C$54,0),7)</f>
        <v>78.838847145488032</v>
      </c>
      <c r="H17" s="299"/>
      <c r="I17" s="264" t="s">
        <v>292</v>
      </c>
      <c r="J17" s="157"/>
      <c r="K17" s="226">
        <f>G17*$H17</f>
        <v>0</v>
      </c>
      <c r="L17" s="302">
        <f t="shared" ref="L17:L40" si="2">SUMPRODUCT(R$5:X$5,R17:X17)/Thousands</f>
        <v>0</v>
      </c>
      <c r="M17" s="306"/>
      <c r="N17" s="570"/>
      <c r="O17" s="571"/>
      <c r="P17" s="572"/>
      <c r="Q17" s="336">
        <f>P17-H17*VLOOKUP(C17,Unit_Rates!$C$7:$E$39,3,FALSE)</f>
        <v>0</v>
      </c>
      <c r="R17" s="327">
        <v>0</v>
      </c>
      <c r="S17" s="327">
        <v>0</v>
      </c>
      <c r="T17" s="327">
        <v>0</v>
      </c>
      <c r="U17" s="327">
        <v>0</v>
      </c>
      <c r="V17" s="327">
        <v>0</v>
      </c>
      <c r="W17" s="327">
        <v>0</v>
      </c>
      <c r="X17" s="327">
        <v>0</v>
      </c>
      <c r="Y17" s="14">
        <f t="shared" ref="Y17:Y40" si="3">SUM(R17:X17)</f>
        <v>0</v>
      </c>
      <c r="AA17" s="28"/>
      <c r="AB17" s="28"/>
      <c r="AC17" s="28"/>
      <c r="AD17" s="28"/>
      <c r="AE17" s="28"/>
      <c r="AF17" s="28"/>
      <c r="AG17" s="28"/>
    </row>
    <row r="18" spans="2:33" x14ac:dyDescent="0.3">
      <c r="B18" s="232"/>
      <c r="C18" s="171" t="s">
        <v>329</v>
      </c>
      <c r="D18" s="171" t="str">
        <f>INDEX(Unit_Rates!$C$7:$K$54,MATCH($C18,Unit_Rates!$C$7:$C$54,0),5)</f>
        <v>Subtransmission</v>
      </c>
      <c r="E18" s="171" t="str">
        <f>INDEX(Unit_Rates!$C$7:$K$54,MATCH($C18,Unit_Rates!$C$7:$C$54,0),6)</f>
        <v>Augmentation</v>
      </c>
      <c r="F18" s="171" t="str">
        <f t="shared" ref="F18:F40" si="4">D18&amp;E18</f>
        <v>SubtransmissionAugmentation</v>
      </c>
      <c r="G18" s="268">
        <f>INDEX(Unit_Rates!$C$7:$K$54,MATCH($C18,Unit_Rates!$C$7:$C$54,0),7)</f>
        <v>90.745458563535905</v>
      </c>
      <c r="H18" s="299">
        <v>2</v>
      </c>
      <c r="I18" s="264" t="s">
        <v>292</v>
      </c>
      <c r="J18" s="157"/>
      <c r="K18" s="226">
        <f>G18*$H18</f>
        <v>181.49091712707181</v>
      </c>
      <c r="L18" s="302">
        <f t="shared" si="2"/>
        <v>0</v>
      </c>
      <c r="M18" s="306"/>
      <c r="N18" s="570"/>
      <c r="O18" s="571"/>
      <c r="P18" s="572"/>
      <c r="Q18" s="336">
        <f>P18-H18*VLOOKUP(C18,Unit_Rates!$C$7:$E$39,3,FALSE)</f>
        <v>0</v>
      </c>
      <c r="R18" s="327">
        <v>0</v>
      </c>
      <c r="S18" s="327">
        <v>0</v>
      </c>
      <c r="T18" s="327">
        <v>0</v>
      </c>
      <c r="U18" s="327">
        <v>0</v>
      </c>
      <c r="V18" s="327">
        <v>0</v>
      </c>
      <c r="W18" s="327">
        <v>0</v>
      </c>
      <c r="X18" s="327">
        <v>0</v>
      </c>
      <c r="Y18" s="14">
        <f t="shared" si="3"/>
        <v>0</v>
      </c>
      <c r="AA18" s="28"/>
      <c r="AB18" s="28"/>
      <c r="AC18" s="28"/>
      <c r="AD18" s="28"/>
      <c r="AE18" s="28"/>
      <c r="AF18" s="28"/>
      <c r="AG18" s="28"/>
    </row>
    <row r="19" spans="2:33" x14ac:dyDescent="0.3">
      <c r="B19" s="232"/>
      <c r="C19" s="171" t="s">
        <v>502</v>
      </c>
      <c r="D19" s="171" t="str">
        <f>INDEX(Unit_Rates!$C$7:$K$54,MATCH($C19,Unit_Rates!$C$7:$C$54,0),5)</f>
        <v>Subtransmission</v>
      </c>
      <c r="E19" s="171" t="str">
        <f>INDEX(Unit_Rates!$C$7:$K$54,MATCH($C19,Unit_Rates!$C$7:$C$54,0),6)</f>
        <v>Augmentation</v>
      </c>
      <c r="F19" s="171" t="str">
        <f t="shared" si="4"/>
        <v>SubtransmissionAugmentation</v>
      </c>
      <c r="G19" s="268">
        <f>INDEX(Unit_Rates!$C$7:$K$54,MATCH($C19,Unit_Rates!$C$7:$C$54,0),7)</f>
        <v>25.236519337016578</v>
      </c>
      <c r="H19" s="299">
        <v>1</v>
      </c>
      <c r="I19" s="264" t="s">
        <v>292</v>
      </c>
      <c r="J19" s="157"/>
      <c r="K19" s="226">
        <f>G19*H19</f>
        <v>25.236519337016578</v>
      </c>
      <c r="L19" s="302">
        <f t="shared" si="2"/>
        <v>0</v>
      </c>
      <c r="M19" s="306"/>
      <c r="N19" s="570"/>
      <c r="O19" s="571"/>
      <c r="P19" s="569"/>
      <c r="Q19" s="336">
        <f>P19-H19*VLOOKUP(C19,Unit_Rates!$C$7:$E$39,3,FALSE)</f>
        <v>0</v>
      </c>
      <c r="R19" s="327">
        <v>0</v>
      </c>
      <c r="S19" s="327">
        <v>0</v>
      </c>
      <c r="T19" s="327">
        <v>0</v>
      </c>
      <c r="U19" s="327">
        <v>0</v>
      </c>
      <c r="V19" s="327">
        <v>0</v>
      </c>
      <c r="W19" s="327">
        <v>0</v>
      </c>
      <c r="X19" s="327">
        <v>0</v>
      </c>
      <c r="Y19" s="14">
        <f t="shared" si="3"/>
        <v>0</v>
      </c>
    </row>
    <row r="20" spans="2:33" x14ac:dyDescent="0.3">
      <c r="B20" s="232"/>
      <c r="C20" s="171" t="s">
        <v>503</v>
      </c>
      <c r="D20" s="171" t="str">
        <f>INDEX(Unit_Rates!$C$7:$K$54,MATCH($C20,Unit_Rates!$C$7:$C$54,0),5)</f>
        <v>Subtransmission</v>
      </c>
      <c r="E20" s="171" t="str">
        <f>INDEX(Unit_Rates!$C$7:$K$54,MATCH($C20,Unit_Rates!$C$7:$C$54,0),6)</f>
        <v>Augmentation</v>
      </c>
      <c r="F20" s="171" t="str">
        <f t="shared" si="4"/>
        <v>SubtransmissionAugmentation</v>
      </c>
      <c r="G20" s="268">
        <f>INDEX(Unit_Rates!$C$7:$K$54,MATCH($C20,Unit_Rates!$C$7:$C$54,0),7)</f>
        <v>38.571335174953965</v>
      </c>
      <c r="H20" s="299">
        <v>1</v>
      </c>
      <c r="I20" s="264" t="s">
        <v>292</v>
      </c>
      <c r="J20" s="157"/>
      <c r="K20" s="226">
        <f>G20*H20</f>
        <v>38.571335174953965</v>
      </c>
      <c r="L20" s="302">
        <f t="shared" si="2"/>
        <v>0</v>
      </c>
      <c r="M20" s="306"/>
      <c r="N20" s="570"/>
      <c r="O20" s="571"/>
      <c r="P20" s="569"/>
      <c r="Q20" s="336">
        <f>P20-H20*VLOOKUP(C20,Unit_Rates!$C$7:$E$39,3,FALSE)</f>
        <v>0</v>
      </c>
      <c r="R20" s="327">
        <v>0</v>
      </c>
      <c r="S20" s="327">
        <v>0</v>
      </c>
      <c r="T20" s="327">
        <v>0</v>
      </c>
      <c r="U20" s="327">
        <v>0</v>
      </c>
      <c r="V20" s="327">
        <v>0</v>
      </c>
      <c r="W20" s="327">
        <v>0</v>
      </c>
      <c r="X20" s="327">
        <v>0</v>
      </c>
      <c r="Y20" s="14">
        <f t="shared" si="3"/>
        <v>0</v>
      </c>
      <c r="AA20" s="28"/>
      <c r="AB20" s="28"/>
      <c r="AC20" s="28"/>
      <c r="AD20" s="28"/>
      <c r="AE20" s="28"/>
      <c r="AF20" s="28"/>
      <c r="AG20" s="28"/>
    </row>
    <row r="21" spans="2:33" x14ac:dyDescent="0.3">
      <c r="B21" s="232"/>
      <c r="C21" s="171" t="s">
        <v>266</v>
      </c>
      <c r="D21" s="171" t="str">
        <f>Unit_Rates!G12</f>
        <v>SCADA/Network control</v>
      </c>
      <c r="E21" s="171" t="str">
        <f>Unit_Rates!H12</f>
        <v>Augmentation</v>
      </c>
      <c r="F21" s="171" t="str">
        <f t="shared" si="4"/>
        <v>SCADA/Network controlAugmentation</v>
      </c>
      <c r="G21" s="268">
        <f>INDEX(Unit_Rates!$C$7:$K$54,MATCH($C21,Unit_Rates!$C$7:$C$54,0),7)</f>
        <v>1084.7777777777778</v>
      </c>
      <c r="H21" s="299">
        <v>2</v>
      </c>
      <c r="I21" s="264" t="s">
        <v>292</v>
      </c>
      <c r="J21" s="157"/>
      <c r="K21" s="226">
        <f>G21*H21</f>
        <v>2169.5555555555557</v>
      </c>
      <c r="L21" s="302">
        <f t="shared" si="2"/>
        <v>0</v>
      </c>
      <c r="M21" s="306"/>
      <c r="N21" s="570"/>
      <c r="O21" s="571"/>
      <c r="P21" s="569"/>
      <c r="Q21" s="336">
        <f>P21-H21*VLOOKUP(C21,Unit_Rates!$C$7:$E$39,3,FALSE)</f>
        <v>0</v>
      </c>
      <c r="R21" s="327">
        <v>0</v>
      </c>
      <c r="S21" s="327">
        <v>0</v>
      </c>
      <c r="T21" s="327">
        <v>0</v>
      </c>
      <c r="U21" s="327">
        <v>0</v>
      </c>
      <c r="V21" s="327">
        <v>0</v>
      </c>
      <c r="W21" s="327">
        <v>0</v>
      </c>
      <c r="X21" s="327">
        <v>0</v>
      </c>
      <c r="Y21" s="14">
        <f t="shared" si="3"/>
        <v>0</v>
      </c>
      <c r="AA21" s="28"/>
      <c r="AB21" s="28"/>
      <c r="AC21" s="28"/>
      <c r="AD21" s="28"/>
      <c r="AE21" s="28"/>
      <c r="AF21" s="28"/>
      <c r="AG21" s="28"/>
    </row>
    <row r="22" spans="2:33" x14ac:dyDescent="0.3">
      <c r="B22" s="232"/>
      <c r="C22" s="171" t="s">
        <v>308</v>
      </c>
      <c r="D22" s="171" t="str">
        <f>INDEX(Unit_Rates!$C$7:$K$54,MATCH($C22,Unit_Rates!$C$7:$C$54,0),5)</f>
        <v>Subtransmission</v>
      </c>
      <c r="E22" s="171" t="str">
        <f>INDEX(Unit_Rates!$C$7:$K$54,MATCH($C22,Unit_Rates!$C$7:$C$54,0),6)</f>
        <v>Augmentation</v>
      </c>
      <c r="F22" s="171" t="str">
        <f t="shared" si="4"/>
        <v>SubtransmissionAugmentation</v>
      </c>
      <c r="G22" s="268">
        <f>INDEX(Unit_Rates!$C$7:$K$54,MATCH($C22,Unit_Rates!$C$7:$C$54,0),7)</f>
        <v>0</v>
      </c>
      <c r="H22" s="299">
        <v>2</v>
      </c>
      <c r="I22" s="264" t="s">
        <v>292</v>
      </c>
      <c r="J22" s="157"/>
      <c r="K22" s="226">
        <f>G22*H22</f>
        <v>0</v>
      </c>
      <c r="L22" s="302">
        <f t="shared" si="2"/>
        <v>0</v>
      </c>
      <c r="M22" s="306"/>
      <c r="N22" s="570"/>
      <c r="O22" s="571"/>
      <c r="P22" s="569"/>
      <c r="Q22" s="336">
        <f>P22-H22*VLOOKUP(C22,Unit_Rates!$C$7:$E$39,3,FALSE)</f>
        <v>0</v>
      </c>
      <c r="R22" s="327">
        <v>0</v>
      </c>
      <c r="S22" s="327">
        <v>0</v>
      </c>
      <c r="T22" s="327">
        <v>0</v>
      </c>
      <c r="U22" s="327">
        <v>0</v>
      </c>
      <c r="V22" s="327">
        <v>0</v>
      </c>
      <c r="W22" s="327">
        <v>0</v>
      </c>
      <c r="X22" s="327">
        <v>0</v>
      </c>
      <c r="Y22" s="14">
        <f t="shared" si="3"/>
        <v>0</v>
      </c>
      <c r="AA22" s="28"/>
      <c r="AB22" s="28"/>
      <c r="AC22" s="28"/>
      <c r="AD22" s="28"/>
      <c r="AE22" s="28"/>
      <c r="AF22" s="28"/>
      <c r="AG22" s="28"/>
    </row>
    <row r="23" spans="2:33" x14ac:dyDescent="0.3">
      <c r="B23" s="232"/>
      <c r="C23" s="171" t="s">
        <v>280</v>
      </c>
      <c r="D23" s="171" t="str">
        <f>INDEX(Unit_Rates!$C$7:$K$54,MATCH($C23,Unit_Rates!$C$7:$C$54,0),5)</f>
        <v>Subtransmission</v>
      </c>
      <c r="E23" s="171" t="str">
        <f>INDEX(Unit_Rates!$C$7:$K$54,MATCH($C23,Unit_Rates!$C$7:$C$54,0),6)</f>
        <v>Augmentation</v>
      </c>
      <c r="F23" s="171" t="str">
        <f t="shared" si="4"/>
        <v>SubtransmissionAugmentation</v>
      </c>
      <c r="G23" s="268">
        <f>INDEX(Unit_Rates!$C$7:$K$54,MATCH($C23,Unit_Rates!$C$7:$C$54,0),7)</f>
        <v>1249.4511627906975</v>
      </c>
      <c r="H23" s="299"/>
      <c r="I23" s="264" t="s">
        <v>292</v>
      </c>
      <c r="J23" s="157"/>
      <c r="K23" s="226">
        <f t="shared" ref="K23:K40" si="5">G23*H23</f>
        <v>0</v>
      </c>
      <c r="L23" s="302">
        <f t="shared" si="2"/>
        <v>0</v>
      </c>
      <c r="M23" s="306"/>
      <c r="N23" s="570"/>
      <c r="O23" s="571"/>
      <c r="P23" s="569"/>
      <c r="Q23" s="336">
        <f>P23-H23*VLOOKUP(C23,Unit_Rates!$C$7:$E$39,3,FALSE)</f>
        <v>0</v>
      </c>
      <c r="R23" s="327">
        <v>0</v>
      </c>
      <c r="S23" s="327">
        <v>0</v>
      </c>
      <c r="T23" s="327">
        <v>0</v>
      </c>
      <c r="U23" s="327">
        <v>0</v>
      </c>
      <c r="V23" s="327">
        <v>0</v>
      </c>
      <c r="W23" s="327">
        <v>0</v>
      </c>
      <c r="X23" s="327">
        <v>0</v>
      </c>
      <c r="Y23" s="14">
        <f t="shared" si="3"/>
        <v>0</v>
      </c>
      <c r="AA23" s="28"/>
      <c r="AB23" s="28"/>
      <c r="AC23" s="28"/>
      <c r="AD23" s="28"/>
      <c r="AE23" s="28"/>
      <c r="AF23" s="28"/>
      <c r="AG23" s="28"/>
    </row>
    <row r="24" spans="2:33" x14ac:dyDescent="0.3">
      <c r="B24" s="232"/>
      <c r="C24" s="171" t="s">
        <v>279</v>
      </c>
      <c r="D24" s="171" t="str">
        <f>INDEX(Unit_Rates!$C$7:$K$54,MATCH($C24,Unit_Rates!$C$7:$C$54,0),5)</f>
        <v>Subtransmission</v>
      </c>
      <c r="E24" s="171" t="str">
        <f>INDEX(Unit_Rates!$C$7:$K$54,MATCH($C24,Unit_Rates!$C$7:$C$54,0),6)</f>
        <v>Augmentation</v>
      </c>
      <c r="F24" s="171" t="str">
        <f t="shared" si="4"/>
        <v>SubtransmissionAugmentation</v>
      </c>
      <c r="G24" s="268">
        <f>INDEX(Unit_Rates!$C$7:$K$54,MATCH($C24,Unit_Rates!$C$7:$C$54,0),7)</f>
        <v>1378.3627906976742</v>
      </c>
      <c r="H24" s="299"/>
      <c r="I24" s="264" t="s">
        <v>292</v>
      </c>
      <c r="J24" s="157"/>
      <c r="K24" s="226">
        <f t="shared" si="5"/>
        <v>0</v>
      </c>
      <c r="L24" s="302">
        <f t="shared" si="2"/>
        <v>0</v>
      </c>
      <c r="M24" s="306"/>
      <c r="N24" s="570"/>
      <c r="O24" s="571"/>
      <c r="P24" s="569"/>
      <c r="Q24" s="336">
        <f>P24-H24*VLOOKUP(C24,Unit_Rates!$C$7:$E$39,3,FALSE)</f>
        <v>0</v>
      </c>
      <c r="R24" s="327">
        <v>0</v>
      </c>
      <c r="S24" s="327">
        <v>0</v>
      </c>
      <c r="T24" s="327">
        <v>0</v>
      </c>
      <c r="U24" s="327">
        <v>0</v>
      </c>
      <c r="V24" s="327">
        <v>0</v>
      </c>
      <c r="W24" s="327">
        <v>0</v>
      </c>
      <c r="X24" s="327">
        <v>0</v>
      </c>
      <c r="Y24" s="14">
        <f t="shared" si="3"/>
        <v>0</v>
      </c>
    </row>
    <row r="25" spans="2:33" x14ac:dyDescent="0.3">
      <c r="B25" s="232"/>
      <c r="C25" s="171" t="s">
        <v>518</v>
      </c>
      <c r="D25" s="171" t="str">
        <f>INDEX(Unit_Rates!$C$7:$K$54,MATCH($C25,Unit_Rates!$C$7:$C$54,0),5)</f>
        <v>Subtransmission</v>
      </c>
      <c r="E25" s="171" t="str">
        <f>INDEX(Unit_Rates!$C$7:$K$54,MATCH($C25,Unit_Rates!$C$7:$C$54,0),6)</f>
        <v>Augmentation</v>
      </c>
      <c r="F25" s="171" t="str">
        <f t="shared" si="4"/>
        <v>SubtransmissionAugmentation</v>
      </c>
      <c r="G25" s="268">
        <f>INDEX(Unit_Rates!$C$7:$K$54,MATCH($C25,Unit_Rates!$C$7:$C$54,0),7)</f>
        <v>196.83714790697672</v>
      </c>
      <c r="H25" s="299">
        <v>1</v>
      </c>
      <c r="I25" s="264" t="s">
        <v>292</v>
      </c>
      <c r="J25" s="157"/>
      <c r="K25" s="226">
        <f t="shared" si="5"/>
        <v>196.83714790697672</v>
      </c>
      <c r="L25" s="302">
        <f t="shared" si="2"/>
        <v>0</v>
      </c>
      <c r="M25" s="306"/>
      <c r="N25" s="570"/>
      <c r="O25" s="571"/>
      <c r="P25" s="569"/>
      <c r="Q25" s="336">
        <f>P25-H25*VLOOKUP(C25,Unit_Rates!$C$7:$E$39,3,FALSE)</f>
        <v>0</v>
      </c>
      <c r="R25" s="327">
        <v>0</v>
      </c>
      <c r="S25" s="327">
        <v>0</v>
      </c>
      <c r="T25" s="327">
        <v>0</v>
      </c>
      <c r="U25" s="327">
        <v>0</v>
      </c>
      <c r="V25" s="327">
        <v>0</v>
      </c>
      <c r="W25" s="327">
        <v>0</v>
      </c>
      <c r="X25" s="327">
        <v>0</v>
      </c>
      <c r="Y25" s="14">
        <f t="shared" si="3"/>
        <v>0</v>
      </c>
    </row>
    <row r="26" spans="2:33" x14ac:dyDescent="0.3">
      <c r="B26" s="232"/>
      <c r="C26" s="171" t="s">
        <v>517</v>
      </c>
      <c r="D26" s="171" t="str">
        <f>INDEX(Unit_Rates!$C$7:$K$54,MATCH($C26,Unit_Rates!$C$7:$C$54,0),5)</f>
        <v>Subtransmission</v>
      </c>
      <c r="E26" s="171" t="str">
        <f>INDEX(Unit_Rates!$C$7:$K$54,MATCH($C26,Unit_Rates!$C$7:$C$54,0),6)</f>
        <v>Augmentation</v>
      </c>
      <c r="F26" s="171" t="str">
        <f t="shared" ref="F26" si="6">D26&amp;E26</f>
        <v>SubtransmissionAugmentation</v>
      </c>
      <c r="G26" s="268">
        <f>INDEX(Unit_Rates!$C$7:$K$54,MATCH($C26,Unit_Rates!$C$7:$C$54,0),7)</f>
        <v>86.121892093023249</v>
      </c>
      <c r="H26" s="299">
        <v>1</v>
      </c>
      <c r="I26" s="264" t="s">
        <v>292</v>
      </c>
      <c r="J26" s="157"/>
      <c r="K26" s="226">
        <f t="shared" ref="K26" si="7">G26*H26</f>
        <v>86.121892093023249</v>
      </c>
      <c r="L26" s="302">
        <f t="shared" ref="L26" si="8">SUMPRODUCT(R$5:X$5,R26:X26)/Thousands</f>
        <v>0</v>
      </c>
      <c r="M26" s="306"/>
      <c r="N26" s="570"/>
      <c r="O26" s="571"/>
      <c r="P26" s="569"/>
      <c r="Q26" s="336">
        <f>P26-H26*VLOOKUP(C26,Unit_Rates!$C$7:$E$39,3,FALSE)</f>
        <v>0</v>
      </c>
      <c r="R26" s="327">
        <v>0</v>
      </c>
      <c r="S26" s="327">
        <v>0</v>
      </c>
      <c r="T26" s="327">
        <v>0</v>
      </c>
      <c r="U26" s="327">
        <v>0</v>
      </c>
      <c r="V26" s="327">
        <v>0</v>
      </c>
      <c r="W26" s="327">
        <v>0</v>
      </c>
      <c r="X26" s="327">
        <v>0</v>
      </c>
      <c r="Y26" s="14">
        <f t="shared" ref="Y26" si="9">SUM(R26:X26)</f>
        <v>0</v>
      </c>
    </row>
    <row r="27" spans="2:33" x14ac:dyDescent="0.3">
      <c r="B27" s="232"/>
      <c r="C27" s="171" t="s">
        <v>373</v>
      </c>
      <c r="D27" s="171" t="str">
        <f>INDEX(Unit_Rates!$C$7:$K$54,MATCH($C27,Unit_Rates!$C$7:$C$54,0),5)</f>
        <v>Subtransmission</v>
      </c>
      <c r="E27" s="171" t="str">
        <f>INDEX(Unit_Rates!$C$7:$K$54,MATCH($C27,Unit_Rates!$C$7:$C$54,0),6)</f>
        <v>Augmentation</v>
      </c>
      <c r="F27" s="171" t="str">
        <f t="shared" si="4"/>
        <v>SubtransmissionAugmentation</v>
      </c>
      <c r="G27" s="268">
        <f>INDEX(Unit_Rates!$C$7:$K$54,MATCH($C27,Unit_Rates!$C$7:$C$54,0),7)</f>
        <v>0</v>
      </c>
      <c r="H27" s="299"/>
      <c r="I27" s="264" t="s">
        <v>292</v>
      </c>
      <c r="J27" s="157"/>
      <c r="K27" s="226">
        <f t="shared" ref="K27" si="10">G27*H27</f>
        <v>0</v>
      </c>
      <c r="L27" s="302">
        <f t="shared" si="2"/>
        <v>0</v>
      </c>
      <c r="M27" s="306"/>
      <c r="N27" s="570"/>
      <c r="O27" s="571"/>
      <c r="P27" s="569"/>
      <c r="Q27" s="336">
        <f>P27-H27*VLOOKUP(C27,Unit_Rates!$C$7:$E$39,3,FALSE)</f>
        <v>0</v>
      </c>
      <c r="R27" s="327">
        <v>0</v>
      </c>
      <c r="S27" s="327">
        <v>0</v>
      </c>
      <c r="T27" s="327">
        <v>0</v>
      </c>
      <c r="U27" s="327">
        <v>0</v>
      </c>
      <c r="V27" s="327">
        <v>0</v>
      </c>
      <c r="W27" s="327">
        <v>0</v>
      </c>
      <c r="X27" s="327">
        <v>0</v>
      </c>
      <c r="Y27" s="14">
        <f t="shared" si="3"/>
        <v>0</v>
      </c>
    </row>
    <row r="28" spans="2:33" x14ac:dyDescent="0.3">
      <c r="B28" s="232"/>
      <c r="C28" s="171" t="s">
        <v>350</v>
      </c>
      <c r="D28" s="171" t="str">
        <f>INDEX(Unit_Rates!$C$7:$K$54,MATCH($C28,Unit_Rates!$C$7:$C$54,0),5)</f>
        <v>Subtransmission</v>
      </c>
      <c r="E28" s="171" t="str">
        <f>INDEX(Unit_Rates!$C$7:$K$54,MATCH($C28,Unit_Rates!$C$7:$C$54,0),6)</f>
        <v>Augmentation</v>
      </c>
      <c r="F28" s="171" t="str">
        <f t="shared" si="4"/>
        <v>SubtransmissionAugmentation</v>
      </c>
      <c r="G28" s="268">
        <f>INDEX(Unit_Rates!$C$7:$K$54,MATCH($C28,Unit_Rates!$C$7:$C$54,0),7)</f>
        <v>62.900871086556172</v>
      </c>
      <c r="H28" s="299"/>
      <c r="I28" s="264" t="s">
        <v>292</v>
      </c>
      <c r="J28" s="157"/>
      <c r="K28" s="226">
        <f t="shared" ref="K28" si="11">G28*H28</f>
        <v>0</v>
      </c>
      <c r="L28" s="302">
        <f t="shared" si="2"/>
        <v>0</v>
      </c>
      <c r="M28" s="306"/>
      <c r="N28" s="570"/>
      <c r="O28" s="571"/>
      <c r="P28" s="569"/>
      <c r="Q28" s="336">
        <f>P28-H28*VLOOKUP(C28,Unit_Rates!$C$7:$E$39,3,FALSE)</f>
        <v>0</v>
      </c>
      <c r="R28" s="327">
        <v>0</v>
      </c>
      <c r="S28" s="327">
        <v>0</v>
      </c>
      <c r="T28" s="327">
        <v>0</v>
      </c>
      <c r="U28" s="327">
        <v>0</v>
      </c>
      <c r="V28" s="327">
        <v>0</v>
      </c>
      <c r="W28" s="327">
        <v>0</v>
      </c>
      <c r="X28" s="327">
        <v>0</v>
      </c>
      <c r="Y28" s="14">
        <f t="shared" si="3"/>
        <v>0</v>
      </c>
    </row>
    <row r="29" spans="2:33" x14ac:dyDescent="0.3">
      <c r="B29" s="232"/>
      <c r="C29" s="171" t="s">
        <v>334</v>
      </c>
      <c r="D29" s="171" t="str">
        <f>INDEX(Unit_Rates!$C$7:$K$54,MATCH($C29,Unit_Rates!$C$7:$C$54,0),5)</f>
        <v>Subtransmission</v>
      </c>
      <c r="E29" s="171" t="str">
        <f>INDEX(Unit_Rates!$C$7:$K$54,MATCH($C29,Unit_Rates!$C$7:$C$54,0),6)</f>
        <v>Augmentation</v>
      </c>
      <c r="F29" s="171" t="str">
        <f t="shared" si="4"/>
        <v>SubtransmissionAugmentation</v>
      </c>
      <c r="G29" s="268">
        <f>INDEX(Unit_Rates!$C$7:$K$54,MATCH($C29,Unit_Rates!$C$7:$C$54,0),7)</f>
        <v>6.8116309209302308</v>
      </c>
      <c r="H29" s="299"/>
      <c r="I29" s="264" t="s">
        <v>292</v>
      </c>
      <c r="J29" s="157"/>
      <c r="K29" s="226">
        <f t="shared" ref="K29:K34" si="12">G29*H29</f>
        <v>0</v>
      </c>
      <c r="L29" s="302">
        <f t="shared" si="2"/>
        <v>0</v>
      </c>
      <c r="M29" s="306"/>
      <c r="N29" s="570"/>
      <c r="O29" s="571"/>
      <c r="P29" s="569"/>
      <c r="Q29" s="336">
        <f>P29-H29*VLOOKUP(C29,Unit_Rates!$C$7:$E$39,3,FALSE)</f>
        <v>0</v>
      </c>
      <c r="R29" s="327">
        <v>0</v>
      </c>
      <c r="S29" s="327">
        <v>0</v>
      </c>
      <c r="T29" s="327">
        <v>0</v>
      </c>
      <c r="U29" s="327">
        <v>0</v>
      </c>
      <c r="V29" s="327">
        <v>0</v>
      </c>
      <c r="W29" s="327">
        <v>0</v>
      </c>
      <c r="X29" s="327">
        <v>0</v>
      </c>
      <c r="Y29" s="14">
        <f t="shared" si="3"/>
        <v>0</v>
      </c>
    </row>
    <row r="30" spans="2:33" x14ac:dyDescent="0.3">
      <c r="B30" s="232"/>
      <c r="C30" s="171" t="s">
        <v>333</v>
      </c>
      <c r="D30" s="171" t="str">
        <f>INDEX(Unit_Rates!$C$7:$K$54,MATCH($C30,Unit_Rates!$C$7:$C$54,0),5)</f>
        <v>Subtransmission</v>
      </c>
      <c r="E30" s="171" t="str">
        <f>INDEX(Unit_Rates!$C$7:$K$54,MATCH($C30,Unit_Rates!$C$7:$C$54,0),6)</f>
        <v>Augmentation</v>
      </c>
      <c r="F30" s="171" t="str">
        <f t="shared" si="4"/>
        <v>SubtransmissionAugmentation</v>
      </c>
      <c r="G30" s="268">
        <f>INDEX(Unit_Rates!$C$7:$K$54,MATCH($C30,Unit_Rates!$C$7:$C$54,0),7)</f>
        <v>0</v>
      </c>
      <c r="H30" s="299"/>
      <c r="I30" s="264" t="s">
        <v>292</v>
      </c>
      <c r="J30" s="157"/>
      <c r="K30" s="226">
        <f t="shared" si="12"/>
        <v>0</v>
      </c>
      <c r="L30" s="302">
        <f t="shared" si="2"/>
        <v>0</v>
      </c>
      <c r="M30" s="306"/>
      <c r="N30" s="570"/>
      <c r="O30" s="571"/>
      <c r="P30" s="569"/>
      <c r="Q30" s="336">
        <f>P30-H30*VLOOKUP(C30,Unit_Rates!$C$7:$E$39,3,FALSE)</f>
        <v>0</v>
      </c>
      <c r="R30" s="327">
        <v>0</v>
      </c>
      <c r="S30" s="327">
        <v>0</v>
      </c>
      <c r="T30" s="327">
        <v>0</v>
      </c>
      <c r="U30" s="327">
        <v>0</v>
      </c>
      <c r="V30" s="327">
        <v>0</v>
      </c>
      <c r="W30" s="327">
        <v>0</v>
      </c>
      <c r="X30" s="327">
        <v>0</v>
      </c>
      <c r="Y30" s="14">
        <f t="shared" si="3"/>
        <v>0</v>
      </c>
    </row>
    <row r="31" spans="2:33" ht="15" x14ac:dyDescent="0.25">
      <c r="B31" s="232"/>
      <c r="C31" s="236" t="s">
        <v>493</v>
      </c>
      <c r="D31" s="171" t="str">
        <f>INDEX(Unit_Rates!$C$7:$K$54,MATCH($C31,Unit_Rates!$C$7:$C$54,0),5)</f>
        <v>Subtransmission</v>
      </c>
      <c r="E31" s="171" t="str">
        <f>INDEX(Unit_Rates!$C$7:$K$54,MATCH($C31,Unit_Rates!$C$7:$C$54,0),6)</f>
        <v>Augmentation</v>
      </c>
      <c r="F31" s="171" t="str">
        <f t="shared" ref="F31" si="13">D31&amp;E31</f>
        <v>SubtransmissionAugmentation</v>
      </c>
      <c r="G31" s="268">
        <f>INDEX(Unit_Rates!$C$7:$K$54,MATCH($C31,Unit_Rates!$C$7:$C$54,0),7)</f>
        <v>0</v>
      </c>
      <c r="H31" s="299">
        <f ca="1">OFFSET(Feeder_Vols!$C$6,MATCH($B$3,Feeder_Vols!$B$7:$B$15,0),0)</f>
        <v>8</v>
      </c>
      <c r="I31" s="264" t="s">
        <v>292</v>
      </c>
      <c r="J31" s="157"/>
      <c r="K31" s="226">
        <f t="shared" ca="1" si="12"/>
        <v>0</v>
      </c>
      <c r="L31" s="302">
        <f t="shared" si="2"/>
        <v>0</v>
      </c>
      <c r="M31" s="356"/>
      <c r="N31" s="568"/>
      <c r="O31" s="568"/>
      <c r="P31" s="569"/>
      <c r="Q31" s="336">
        <f ca="1">P31-H31*VLOOKUP(C31,Unit_Rates!$C$7:$E$39,3,FALSE)</f>
        <v>0</v>
      </c>
      <c r="R31" s="327">
        <v>0</v>
      </c>
      <c r="S31" s="327">
        <v>0</v>
      </c>
      <c r="T31" s="327">
        <v>0</v>
      </c>
      <c r="U31" s="327">
        <v>0</v>
      </c>
      <c r="V31" s="327">
        <v>0</v>
      </c>
      <c r="W31" s="327">
        <v>0</v>
      </c>
      <c r="X31" s="327">
        <v>0</v>
      </c>
      <c r="Y31" s="14">
        <f t="shared" si="3"/>
        <v>0</v>
      </c>
    </row>
    <row r="32" spans="2:33" ht="15" x14ac:dyDescent="0.25">
      <c r="B32" s="232"/>
      <c r="C32" s="171" t="s">
        <v>335</v>
      </c>
      <c r="D32" s="171" t="str">
        <f>INDEX(Unit_Rates!$C$7:$K$54,MATCH($C32,Unit_Rates!$C$7:$C$54,0),5)</f>
        <v>Subtransmission</v>
      </c>
      <c r="E32" s="171" t="str">
        <f>INDEX(Unit_Rates!$C$7:$K$54,MATCH($C32,Unit_Rates!$C$7:$C$54,0),6)</f>
        <v>Augmentation</v>
      </c>
      <c r="F32" s="171" t="str">
        <f t="shared" si="4"/>
        <v>SubtransmissionAugmentation</v>
      </c>
      <c r="G32" s="268">
        <f>INDEX(Unit_Rates!$C$7:$K$54,MATCH($C32,Unit_Rates!$C$7:$C$54,0),7)</f>
        <v>0</v>
      </c>
      <c r="H32" s="299">
        <v>6</v>
      </c>
      <c r="I32" s="264" t="s">
        <v>292</v>
      </c>
      <c r="J32" s="157"/>
      <c r="K32" s="226">
        <f t="shared" si="12"/>
        <v>0</v>
      </c>
      <c r="L32" s="302">
        <f t="shared" si="2"/>
        <v>0</v>
      </c>
      <c r="M32" s="306"/>
      <c r="N32" s="570"/>
      <c r="O32" s="571"/>
      <c r="P32" s="569"/>
      <c r="Q32" s="336">
        <f>P32-H32*VLOOKUP(C32,Unit_Rates!$C$7:$E$39,3,FALSE)</f>
        <v>0</v>
      </c>
      <c r="R32" s="327">
        <v>0</v>
      </c>
      <c r="S32" s="327">
        <v>0</v>
      </c>
      <c r="T32" s="327">
        <v>0</v>
      </c>
      <c r="U32" s="327">
        <v>0</v>
      </c>
      <c r="V32" s="327">
        <v>0</v>
      </c>
      <c r="W32" s="327">
        <v>0</v>
      </c>
      <c r="X32" s="327">
        <v>0</v>
      </c>
      <c r="Y32" s="14">
        <f t="shared" si="3"/>
        <v>0</v>
      </c>
    </row>
    <row r="33" spans="2:52" ht="15" x14ac:dyDescent="0.25">
      <c r="B33" s="232"/>
      <c r="C33" s="171" t="s">
        <v>336</v>
      </c>
      <c r="D33" s="171" t="str">
        <f>INDEX(Unit_Rates!$C$7:$K$54,MATCH($C33,Unit_Rates!$C$7:$C$54,0),5)</f>
        <v>Subtransmission</v>
      </c>
      <c r="E33" s="171" t="str">
        <f>INDEX(Unit_Rates!$C$7:$K$54,MATCH($C33,Unit_Rates!$C$7:$C$54,0),6)</f>
        <v>Augmentation</v>
      </c>
      <c r="F33" s="171" t="str">
        <f t="shared" si="4"/>
        <v>SubtransmissionAugmentation</v>
      </c>
      <c r="G33" s="268">
        <f>INDEX(Unit_Rates!$C$7:$K$54,MATCH($C33,Unit_Rates!$C$7:$C$54,0),7)</f>
        <v>0.60844172586161538</v>
      </c>
      <c r="H33" s="299">
        <v>10</v>
      </c>
      <c r="I33" s="264" t="s">
        <v>292</v>
      </c>
      <c r="J33" s="157"/>
      <c r="K33" s="226">
        <f t="shared" si="12"/>
        <v>6.0844172586161536</v>
      </c>
      <c r="L33" s="302">
        <f t="shared" si="2"/>
        <v>0</v>
      </c>
      <c r="M33" s="306"/>
      <c r="N33" s="570"/>
      <c r="O33" s="571"/>
      <c r="P33" s="569"/>
      <c r="Q33" s="336">
        <f>P33-H33*VLOOKUP(C33,Unit_Rates!$C$7:$E$39,3,FALSE)</f>
        <v>0</v>
      </c>
      <c r="R33" s="327">
        <v>0</v>
      </c>
      <c r="S33" s="327">
        <v>0</v>
      </c>
      <c r="T33" s="327">
        <v>0</v>
      </c>
      <c r="U33" s="327">
        <v>0</v>
      </c>
      <c r="V33" s="327">
        <v>0</v>
      </c>
      <c r="W33" s="327">
        <v>0</v>
      </c>
      <c r="X33" s="327">
        <v>0</v>
      </c>
      <c r="Y33" s="14">
        <f t="shared" si="3"/>
        <v>0</v>
      </c>
    </row>
    <row r="34" spans="2:52" x14ac:dyDescent="0.3">
      <c r="B34" s="232"/>
      <c r="C34" s="171" t="s">
        <v>495</v>
      </c>
      <c r="D34" s="171" t="str">
        <f>INDEX(Unit_Rates!$C$7:$K$54,MATCH($C34,Unit_Rates!$C$7:$C$54,0),5)</f>
        <v>Subtransmission</v>
      </c>
      <c r="E34" s="171" t="str">
        <f>INDEX(Unit_Rates!$C$7:$K$54,MATCH($C34,Unit_Rates!$C$7:$C$54,0),6)</f>
        <v>Augmentation</v>
      </c>
      <c r="F34" s="171" t="str">
        <f t="shared" si="4"/>
        <v>SubtransmissionAugmentation</v>
      </c>
      <c r="G34" s="268">
        <f>INDEX(Unit_Rates!$C$7:$K$54,MATCH($C34,Unit_Rates!$C$7:$C$54,0),7)</f>
        <v>0</v>
      </c>
      <c r="H34" s="299">
        <v>1</v>
      </c>
      <c r="I34" s="264" t="s">
        <v>292</v>
      </c>
      <c r="J34" s="157"/>
      <c r="K34" s="226">
        <f t="shared" si="12"/>
        <v>0</v>
      </c>
      <c r="L34" s="302">
        <f t="shared" si="2"/>
        <v>0</v>
      </c>
      <c r="M34" s="306"/>
      <c r="N34" s="570"/>
      <c r="O34" s="571"/>
      <c r="P34" s="569"/>
      <c r="Q34" s="336">
        <f>P34-H34*VLOOKUP(C34,Unit_Rates!$C$7:$E$39,3,FALSE)</f>
        <v>0</v>
      </c>
      <c r="R34" s="327">
        <v>0</v>
      </c>
      <c r="S34" s="327">
        <v>0</v>
      </c>
      <c r="T34" s="327">
        <v>0</v>
      </c>
      <c r="U34" s="327">
        <v>0</v>
      </c>
      <c r="V34" s="327">
        <v>0</v>
      </c>
      <c r="W34" s="327">
        <v>0</v>
      </c>
      <c r="X34" s="327">
        <v>0</v>
      </c>
      <c r="Y34" s="14">
        <f t="shared" si="3"/>
        <v>0</v>
      </c>
    </row>
    <row r="35" spans="2:52" x14ac:dyDescent="0.3">
      <c r="B35" s="232"/>
      <c r="C35" s="171" t="s">
        <v>209</v>
      </c>
      <c r="D35" s="171" t="str">
        <f>INDEX(Unit_Rates!$C$7:$K$54,MATCH($C35,Unit_Rates!$C$7:$C$54,0),5)</f>
        <v>Subtransmission</v>
      </c>
      <c r="E35" s="171" t="str">
        <f>INDEX(Unit_Rates!$C$7:$K$54,MATCH($C35,Unit_Rates!$C$7:$C$54,0),6)</f>
        <v>Augmentation</v>
      </c>
      <c r="F35" s="171" t="str">
        <f t="shared" si="4"/>
        <v>SubtransmissionAugmentation</v>
      </c>
      <c r="G35" s="268">
        <f>INDEX(Unit_Rates!$C$7:$K$54,MATCH($C35,Unit_Rates!$C$7:$C$54,0),7)</f>
        <v>94.457808471454882</v>
      </c>
      <c r="H35" s="299">
        <v>2</v>
      </c>
      <c r="I35" s="264" t="s">
        <v>292</v>
      </c>
      <c r="J35" s="157"/>
      <c r="K35" s="226">
        <f t="shared" si="5"/>
        <v>188.91561694290976</v>
      </c>
      <c r="L35" s="302">
        <f t="shared" si="2"/>
        <v>0</v>
      </c>
      <c r="M35" s="306"/>
      <c r="N35" s="570"/>
      <c r="O35" s="571"/>
      <c r="P35" s="569"/>
      <c r="Q35" s="336">
        <f>P35-H35*VLOOKUP(C35,Unit_Rates!$C$7:$E$39,3,FALSE)</f>
        <v>0</v>
      </c>
      <c r="R35" s="327">
        <v>0</v>
      </c>
      <c r="S35" s="327">
        <v>0</v>
      </c>
      <c r="T35" s="327">
        <v>0</v>
      </c>
      <c r="U35" s="327">
        <v>0</v>
      </c>
      <c r="V35" s="327">
        <v>0</v>
      </c>
      <c r="W35" s="327">
        <v>0</v>
      </c>
      <c r="X35" s="327">
        <v>0</v>
      </c>
      <c r="Y35" s="14">
        <f t="shared" si="3"/>
        <v>0</v>
      </c>
    </row>
    <row r="36" spans="2:52" x14ac:dyDescent="0.3">
      <c r="B36" s="232"/>
      <c r="C36" s="171" t="s">
        <v>212</v>
      </c>
      <c r="D36" s="171" t="str">
        <f>INDEX(Unit_Rates!$C$7:$K$54,MATCH($C36,Unit_Rates!$C$7:$C$54,0),5)</f>
        <v>Subtransmission</v>
      </c>
      <c r="E36" s="171" t="str">
        <f>INDEX(Unit_Rates!$C$7:$K$54,MATCH($C36,Unit_Rates!$C$7:$C$54,0),6)</f>
        <v>Augmentation</v>
      </c>
      <c r="F36" s="171" t="str">
        <f t="shared" si="4"/>
        <v>SubtransmissionAugmentation</v>
      </c>
      <c r="G36" s="268">
        <f>INDEX(Unit_Rates!$C$7:$K$54,MATCH($C36,Unit_Rates!$C$7:$C$54,0),7)</f>
        <v>0</v>
      </c>
      <c r="H36" s="299">
        <v>2</v>
      </c>
      <c r="I36" s="264" t="s">
        <v>292</v>
      </c>
      <c r="J36" s="157"/>
      <c r="K36" s="226">
        <f t="shared" si="5"/>
        <v>0</v>
      </c>
      <c r="L36" s="302">
        <f t="shared" si="2"/>
        <v>0</v>
      </c>
      <c r="M36" s="306"/>
      <c r="N36" s="570"/>
      <c r="O36" s="571"/>
      <c r="P36" s="569"/>
      <c r="Q36" s="336">
        <f>P36-H36*VLOOKUP(C36,Unit_Rates!$C$7:$E$39,3,FALSE)</f>
        <v>0</v>
      </c>
      <c r="R36" s="327">
        <v>0</v>
      </c>
      <c r="S36" s="327">
        <v>0</v>
      </c>
      <c r="T36" s="327">
        <v>0</v>
      </c>
      <c r="U36" s="327">
        <v>0</v>
      </c>
      <c r="V36" s="327">
        <v>0</v>
      </c>
      <c r="W36" s="327">
        <v>0</v>
      </c>
      <c r="X36" s="327">
        <v>0</v>
      </c>
      <c r="Y36" s="14">
        <f t="shared" si="3"/>
        <v>0</v>
      </c>
    </row>
    <row r="37" spans="2:52" x14ac:dyDescent="0.3">
      <c r="B37" s="232"/>
      <c r="C37" s="171" t="s">
        <v>364</v>
      </c>
      <c r="D37" s="171" t="str">
        <f>INDEX(Unit_Rates!$C$7:$K$54,MATCH($C37,Unit_Rates!$C$7:$C$54,0),5)</f>
        <v>Subtransmission</v>
      </c>
      <c r="E37" s="171" t="str">
        <f>INDEX(Unit_Rates!$C$7:$K$54,MATCH($C37,Unit_Rates!$C$7:$C$54,0),6)</f>
        <v>Augmentation</v>
      </c>
      <c r="F37" s="171" t="str">
        <f t="shared" si="4"/>
        <v>SubtransmissionAugmentation</v>
      </c>
      <c r="G37" s="268">
        <f>INDEX(Unit_Rates!$C$7:$K$54,MATCH($C37,Unit_Rates!$C$7:$C$54,0),7)</f>
        <v>226.61039779005526</v>
      </c>
      <c r="H37" s="299"/>
      <c r="I37" s="264" t="s">
        <v>292</v>
      </c>
      <c r="J37" s="157"/>
      <c r="K37" s="226">
        <f t="shared" si="5"/>
        <v>0</v>
      </c>
      <c r="L37" s="302">
        <f t="shared" si="2"/>
        <v>0</v>
      </c>
      <c r="M37" s="306"/>
      <c r="N37" s="570"/>
      <c r="O37" s="571"/>
      <c r="P37" s="569"/>
      <c r="Q37" s="336">
        <f>P37-H37*VLOOKUP(C37,Unit_Rates!$C$7:$E$39,3,FALSE)</f>
        <v>0</v>
      </c>
      <c r="R37" s="327">
        <v>0</v>
      </c>
      <c r="S37" s="327">
        <v>0</v>
      </c>
      <c r="T37" s="327">
        <v>0</v>
      </c>
      <c r="U37" s="327">
        <v>0</v>
      </c>
      <c r="V37" s="327">
        <v>0</v>
      </c>
      <c r="W37" s="327">
        <v>0</v>
      </c>
      <c r="X37" s="327">
        <v>0</v>
      </c>
      <c r="Y37" s="14">
        <f t="shared" si="3"/>
        <v>0</v>
      </c>
    </row>
    <row r="38" spans="2:52" x14ac:dyDescent="0.3">
      <c r="B38" s="232"/>
      <c r="C38" s="236" t="s">
        <v>273</v>
      </c>
      <c r="D38" s="171" t="str">
        <f>INDEX(Unit_Rates!$C$7:$K$54,MATCH($C38,Unit_Rates!$C$7:$C$54,0),5)</f>
        <v>Subtransmission</v>
      </c>
      <c r="E38" s="171" t="str">
        <f>INDEX(Unit_Rates!$C$7:$K$54,MATCH($C38,Unit_Rates!$C$7:$C$54,0),6)</f>
        <v>Augmentation</v>
      </c>
      <c r="F38" s="171" t="str">
        <f t="shared" si="4"/>
        <v>SubtransmissionAugmentation</v>
      </c>
      <c r="G38" s="268">
        <f>INDEX(Unit_Rates!$C$7:$K$54,MATCH($C38,Unit_Rates!$C$7:$C$54,0),7)</f>
        <v>362.24270165745855</v>
      </c>
      <c r="H38" s="299"/>
      <c r="I38" s="264" t="s">
        <v>292</v>
      </c>
      <c r="J38" s="157"/>
      <c r="K38" s="226">
        <f t="shared" si="5"/>
        <v>0</v>
      </c>
      <c r="L38" s="302">
        <f t="shared" si="2"/>
        <v>0</v>
      </c>
      <c r="M38" s="306"/>
      <c r="N38" s="570"/>
      <c r="O38" s="571"/>
      <c r="P38" s="569"/>
      <c r="Q38" s="336">
        <f>P38-H38*VLOOKUP(C38,Unit_Rates!$C$7:$E$39,3,FALSE)</f>
        <v>0</v>
      </c>
      <c r="R38" s="327">
        <v>0</v>
      </c>
      <c r="S38" s="327">
        <v>0</v>
      </c>
      <c r="T38" s="327">
        <v>0</v>
      </c>
      <c r="U38" s="327">
        <v>0</v>
      </c>
      <c r="V38" s="327">
        <v>0</v>
      </c>
      <c r="W38" s="327">
        <v>0</v>
      </c>
      <c r="X38" s="327">
        <v>0</v>
      </c>
      <c r="Y38" s="14">
        <f t="shared" si="3"/>
        <v>0</v>
      </c>
      <c r="AW38" s="11"/>
    </row>
    <row r="39" spans="2:52" x14ac:dyDescent="0.3">
      <c r="B39" s="232"/>
      <c r="C39" s="171" t="s">
        <v>303</v>
      </c>
      <c r="D39" s="171" t="s">
        <v>18</v>
      </c>
      <c r="E39" s="171" t="s">
        <v>42</v>
      </c>
      <c r="F39" s="171" t="str">
        <f t="shared" si="4"/>
        <v>SubtransmissionAugmentation</v>
      </c>
      <c r="G39" s="441">
        <v>0.12668244202470991</v>
      </c>
      <c r="H39" s="299">
        <v>1030</v>
      </c>
      <c r="I39" s="264" t="s">
        <v>318</v>
      </c>
      <c r="J39" s="157"/>
      <c r="K39" s="226">
        <f t="shared" si="5"/>
        <v>130.48291528545121</v>
      </c>
      <c r="L39" s="302">
        <f t="shared" si="2"/>
        <v>0</v>
      </c>
      <c r="M39" s="356"/>
      <c r="N39" s="568"/>
      <c r="O39" s="573"/>
      <c r="P39" s="569"/>
      <c r="Q39" s="290"/>
      <c r="R39" s="327">
        <v>0</v>
      </c>
      <c r="S39" s="327">
        <v>0</v>
      </c>
      <c r="T39" s="327">
        <v>0</v>
      </c>
      <c r="U39" s="327">
        <v>0</v>
      </c>
      <c r="V39" s="327">
        <v>0</v>
      </c>
      <c r="W39" s="327">
        <v>0</v>
      </c>
      <c r="X39" s="327">
        <v>0</v>
      </c>
      <c r="Y39" s="14">
        <f t="shared" si="3"/>
        <v>0</v>
      </c>
    </row>
    <row r="40" spans="2:52" x14ac:dyDescent="0.3">
      <c r="B40" s="232"/>
      <c r="C40" s="171" t="s">
        <v>60</v>
      </c>
      <c r="D40" s="171" t="s">
        <v>18</v>
      </c>
      <c r="E40" s="171" t="s">
        <v>42</v>
      </c>
      <c r="F40" s="171" t="str">
        <f t="shared" si="4"/>
        <v>SubtransmissionAugmentation</v>
      </c>
      <c r="G40" s="441">
        <v>1.5724972375690609</v>
      </c>
      <c r="H40" s="468">
        <v>1</v>
      </c>
      <c r="I40" s="264" t="s">
        <v>292</v>
      </c>
      <c r="J40" s="157"/>
      <c r="K40" s="226">
        <f t="shared" si="5"/>
        <v>1.5724972375690609</v>
      </c>
      <c r="L40" s="227">
        <f t="shared" si="2"/>
        <v>0</v>
      </c>
      <c r="M40" s="306"/>
      <c r="N40" s="568"/>
      <c r="O40" s="573"/>
      <c r="P40" s="569"/>
      <c r="Q40" s="290"/>
      <c r="R40" s="327">
        <v>0</v>
      </c>
      <c r="S40" s="327">
        <v>0</v>
      </c>
      <c r="T40" s="327">
        <v>0</v>
      </c>
      <c r="U40" s="327">
        <v>0</v>
      </c>
      <c r="V40" s="327">
        <v>0</v>
      </c>
      <c r="W40" s="327">
        <v>0</v>
      </c>
      <c r="X40" s="327">
        <v>0</v>
      </c>
      <c r="Y40" s="14">
        <f t="shared" si="3"/>
        <v>0</v>
      </c>
      <c r="AP40" s="462"/>
      <c r="AQ40" s="13"/>
      <c r="AR40" s="462"/>
      <c r="AS40" s="462"/>
      <c r="AT40" s="462"/>
      <c r="AU40" s="462"/>
      <c r="AV40" s="318"/>
      <c r="AW40" s="318"/>
      <c r="AX40" s="547"/>
      <c r="AY40" s="548"/>
      <c r="AZ40" s="318"/>
    </row>
    <row r="41" spans="2:52" x14ac:dyDescent="0.3">
      <c r="B41" s="232"/>
      <c r="C41" s="171"/>
      <c r="D41" s="171"/>
      <c r="E41" s="171"/>
      <c r="F41" s="171"/>
      <c r="G41" s="268"/>
      <c r="H41" s="232"/>
      <c r="I41" s="224"/>
      <c r="J41" s="157"/>
      <c r="K41" s="225"/>
      <c r="L41" s="224"/>
      <c r="M41" s="224"/>
      <c r="N41" s="225"/>
      <c r="O41" s="225"/>
      <c r="P41" s="224"/>
      <c r="Q41" s="291"/>
      <c r="R41" s="326"/>
      <c r="S41" s="326"/>
      <c r="T41" s="326"/>
      <c r="U41" s="326"/>
      <c r="V41" s="326"/>
      <c r="W41" s="326"/>
      <c r="X41" s="326"/>
      <c r="Y41" s="14"/>
      <c r="AP41" s="49"/>
      <c r="AQ41" s="38"/>
      <c r="AR41" s="465"/>
      <c r="AT41" s="465"/>
      <c r="AU41" s="465"/>
      <c r="AV41" s="549"/>
      <c r="AW41" s="415"/>
      <c r="AX41" s="547"/>
      <c r="AY41" s="236"/>
      <c r="AZ41" s="416"/>
    </row>
    <row r="42" spans="2:52" x14ac:dyDescent="0.3">
      <c r="B42" s="251" t="s">
        <v>307</v>
      </c>
      <c r="C42" s="171"/>
      <c r="D42" s="171"/>
      <c r="E42" s="171"/>
      <c r="F42" s="171"/>
      <c r="G42" s="268"/>
      <c r="H42" s="277"/>
      <c r="I42" s="266"/>
      <c r="J42" s="274"/>
      <c r="K42" s="226"/>
      <c r="L42" s="226"/>
      <c r="M42" s="226"/>
      <c r="N42" s="281"/>
      <c r="O42" s="226"/>
      <c r="P42" s="223"/>
      <c r="Q42" s="290"/>
      <c r="R42" s="326"/>
      <c r="S42" s="326"/>
      <c r="T42" s="326"/>
      <c r="U42" s="326"/>
      <c r="V42" s="326"/>
      <c r="W42" s="326"/>
      <c r="X42" s="326"/>
      <c r="AP42" s="49"/>
      <c r="AQ42" s="38"/>
      <c r="AR42" s="465"/>
      <c r="AS42" s="465"/>
      <c r="AT42" s="465"/>
      <c r="AU42" s="465"/>
      <c r="AV42" s="549"/>
      <c r="AW42" s="415"/>
      <c r="AX42" s="547"/>
      <c r="AY42" s="236"/>
      <c r="AZ42" s="416"/>
    </row>
    <row r="43" spans="2:52" x14ac:dyDescent="0.3">
      <c r="B43" s="232"/>
      <c r="C43" s="276" t="s">
        <v>500</v>
      </c>
      <c r="D43" s="171" t="str">
        <f>INDEX(Unit_Rates!$C$7:$K$54,MATCH($C43,Unit_Rates!$C$7:$C$54,0),5)</f>
        <v>SCADA/Network control</v>
      </c>
      <c r="E43" s="171" t="str">
        <f>INDEX(Unit_Rates!$C$7:$K$54,MATCH($C43,Unit_Rates!$C$7:$C$54,0),6)</f>
        <v>Augmentation</v>
      </c>
      <c r="F43" s="171" t="str">
        <f t="shared" ref="F43:F50" si="14">D43&amp;E43</f>
        <v>SCADA/Network controlAugmentation</v>
      </c>
      <c r="G43" s="268">
        <f>INDEX(Unit_Rates!$C$7:$K$54,MATCH($C43,Unit_Rates!$C$7:$C$54,0),7)</f>
        <v>58.317856353591161</v>
      </c>
      <c r="H43" s="299">
        <v>1</v>
      </c>
      <c r="I43" s="264" t="s">
        <v>292</v>
      </c>
      <c r="J43" s="157"/>
      <c r="K43" s="225">
        <f>G43*H43</f>
        <v>58.317856353591161</v>
      </c>
      <c r="L43" s="225">
        <f t="shared" ref="L43:L50" si="15">SUMPRODUCT(R$5:X$5,R43:X43)/Thousands</f>
        <v>0</v>
      </c>
      <c r="M43" s="306"/>
      <c r="N43" s="570"/>
      <c r="O43" s="571"/>
      <c r="P43" s="569"/>
      <c r="Q43" s="336">
        <f>P43-H43*VLOOKUP(C43,Unit_Rates!$C$44:$E$54,3,FALSE)</f>
        <v>0</v>
      </c>
      <c r="R43" s="327">
        <v>0</v>
      </c>
      <c r="S43" s="327">
        <v>0</v>
      </c>
      <c r="T43" s="327">
        <v>0</v>
      </c>
      <c r="U43" s="327">
        <v>0</v>
      </c>
      <c r="V43" s="327">
        <v>0</v>
      </c>
      <c r="W43" s="327">
        <v>0</v>
      </c>
      <c r="X43" s="327">
        <v>0</v>
      </c>
      <c r="Y43" s="14">
        <f t="shared" ref="Y43:Y50" si="16">SUM(R43:X43)</f>
        <v>0</v>
      </c>
      <c r="AP43" s="49"/>
      <c r="AQ43" s="38"/>
      <c r="AR43" s="465"/>
      <c r="AS43" s="465"/>
      <c r="AT43" s="465"/>
      <c r="AU43" s="465"/>
      <c r="AV43" s="549"/>
      <c r="AW43" s="415"/>
      <c r="AX43" s="547"/>
      <c r="AY43" s="236"/>
      <c r="AZ43" s="416"/>
    </row>
    <row r="44" spans="2:52" x14ac:dyDescent="0.3">
      <c r="B44" s="232"/>
      <c r="C44" s="276" t="s">
        <v>319</v>
      </c>
      <c r="D44" s="171" t="str">
        <f>INDEX(Unit_Rates!$C$7:$K$54,MATCH($C44,Unit_Rates!$C$7:$C$54,0),5)</f>
        <v>SCADA/Network control</v>
      </c>
      <c r="E44" s="171" t="str">
        <f>INDEX(Unit_Rates!$C$7:$K$54,MATCH($C44,Unit_Rates!$C$7:$C$54,0),6)</f>
        <v>Augmentation</v>
      </c>
      <c r="F44" s="171" t="str">
        <f t="shared" si="14"/>
        <v>SCADA/Network controlAugmentation</v>
      </c>
      <c r="G44" s="268">
        <f>INDEX(Unit_Rates!$C$7:$K$54,MATCH($C44,Unit_Rates!$C$7:$C$54,0),7)</f>
        <v>5.88950276243094</v>
      </c>
      <c r="H44" s="299">
        <v>2</v>
      </c>
      <c r="I44" s="264" t="s">
        <v>292</v>
      </c>
      <c r="J44" s="157"/>
      <c r="K44" s="225">
        <f>G44*H44</f>
        <v>11.77900552486188</v>
      </c>
      <c r="L44" s="225">
        <f t="shared" si="15"/>
        <v>0</v>
      </c>
      <c r="M44" s="306"/>
      <c r="N44" s="570"/>
      <c r="O44" s="571"/>
      <c r="P44" s="569"/>
      <c r="Q44" s="336">
        <f>P44-H44*VLOOKUP(C44,Unit_Rates!$C$44:$E$54,3,FALSE)</f>
        <v>0</v>
      </c>
      <c r="R44" s="327">
        <v>0</v>
      </c>
      <c r="S44" s="327">
        <v>0</v>
      </c>
      <c r="T44" s="327">
        <v>0</v>
      </c>
      <c r="U44" s="327">
        <v>0</v>
      </c>
      <c r="V44" s="327">
        <v>0</v>
      </c>
      <c r="W44" s="327">
        <v>0</v>
      </c>
      <c r="X44" s="327">
        <v>0</v>
      </c>
      <c r="Y44" s="14">
        <f t="shared" si="16"/>
        <v>0</v>
      </c>
      <c r="AP44" s="49"/>
      <c r="AQ44" s="38"/>
      <c r="AR44" s="465"/>
      <c r="AS44" s="390"/>
      <c r="AT44" s="466"/>
      <c r="AU44" s="466"/>
      <c r="AV44" s="236"/>
      <c r="AW44" s="415"/>
      <c r="AX44" s="547"/>
      <c r="AY44" s="236"/>
      <c r="AZ44" s="416"/>
    </row>
    <row r="45" spans="2:52" x14ac:dyDescent="0.3">
      <c r="B45" s="232"/>
      <c r="C45" s="276" t="s">
        <v>321</v>
      </c>
      <c r="D45" s="171" t="str">
        <f>INDEX(Unit_Rates!$C$7:$K$54,MATCH($C45,Unit_Rates!$C$7:$C$54,0),5)</f>
        <v>SCADA/Network control</v>
      </c>
      <c r="E45" s="171" t="str">
        <f>INDEX(Unit_Rates!$C$7:$K$54,MATCH($C45,Unit_Rates!$C$7:$C$54,0),6)</f>
        <v>Augmentation</v>
      </c>
      <c r="F45" s="171" t="str">
        <f t="shared" si="14"/>
        <v>SCADA/Network controlAugmentation</v>
      </c>
      <c r="G45" s="268">
        <f>INDEX(Unit_Rates!$C$7:$K$54,MATCH($C45,Unit_Rates!$C$7:$C$54,0),7)</f>
        <v>8.2030957642725593</v>
      </c>
      <c r="H45" s="299">
        <v>2</v>
      </c>
      <c r="I45" s="264" t="s">
        <v>292</v>
      </c>
      <c r="J45" s="157"/>
      <c r="K45" s="225">
        <f t="shared" ref="K45:K48" si="17">G45*H45</f>
        <v>16.406191528545119</v>
      </c>
      <c r="L45" s="225">
        <f t="shared" si="15"/>
        <v>0</v>
      </c>
      <c r="M45" s="306"/>
      <c r="N45" s="570"/>
      <c r="O45" s="571"/>
      <c r="P45" s="569"/>
      <c r="Q45" s="336">
        <f>P45-H45*VLOOKUP(C45,Unit_Rates!$C$44:$E$54,3,FALSE)</f>
        <v>0</v>
      </c>
      <c r="R45" s="327">
        <v>0</v>
      </c>
      <c r="S45" s="327">
        <v>0</v>
      </c>
      <c r="T45" s="327">
        <v>0</v>
      </c>
      <c r="U45" s="327">
        <v>0</v>
      </c>
      <c r="V45" s="327">
        <v>0</v>
      </c>
      <c r="W45" s="327">
        <v>0</v>
      </c>
      <c r="X45" s="327">
        <v>0</v>
      </c>
      <c r="Y45" s="14">
        <f t="shared" si="16"/>
        <v>0</v>
      </c>
      <c r="AV45" s="236"/>
      <c r="AW45" s="415"/>
      <c r="AX45" s="236"/>
      <c r="AY45" s="236"/>
      <c r="AZ45" s="416"/>
    </row>
    <row r="46" spans="2:52" x14ac:dyDescent="0.3">
      <c r="B46" s="232"/>
      <c r="C46" s="276" t="s">
        <v>520</v>
      </c>
      <c r="D46" s="171" t="str">
        <f>INDEX(Unit_Rates!$C$7:$K$54,MATCH($C46,Unit_Rates!$C$7:$C$54,0),5)</f>
        <v>SCADA/Network control</v>
      </c>
      <c r="E46" s="171" t="str">
        <f>INDEX(Unit_Rates!$C$7:$K$54,MATCH($C46,Unit_Rates!$C$7:$C$54,0),6)</f>
        <v>Augmentation</v>
      </c>
      <c r="F46" s="171" t="str">
        <f t="shared" si="14"/>
        <v>SCADA/Network controlAugmentation</v>
      </c>
      <c r="G46" s="268">
        <f>INDEX(Unit_Rates!$C$7:$K$54,MATCH($C46,Unit_Rates!$C$7:$C$54,0),7)</f>
        <v>92.456849907918979</v>
      </c>
      <c r="H46" s="299">
        <v>2</v>
      </c>
      <c r="I46" s="264" t="s">
        <v>292</v>
      </c>
      <c r="J46" s="157"/>
      <c r="K46" s="225">
        <f t="shared" si="17"/>
        <v>184.91369981583796</v>
      </c>
      <c r="L46" s="225">
        <f t="shared" si="15"/>
        <v>0</v>
      </c>
      <c r="M46" s="306"/>
      <c r="N46" s="570"/>
      <c r="O46" s="571"/>
      <c r="P46" s="569"/>
      <c r="Q46" s="336">
        <f>P46-H46*VLOOKUP(C46,Unit_Rates!$C$44:$E$54,3,FALSE)</f>
        <v>0</v>
      </c>
      <c r="R46" s="327">
        <v>0</v>
      </c>
      <c r="S46" s="327">
        <v>0</v>
      </c>
      <c r="T46" s="327">
        <v>0</v>
      </c>
      <c r="U46" s="327">
        <v>0</v>
      </c>
      <c r="V46" s="327">
        <v>0</v>
      </c>
      <c r="W46" s="327">
        <v>0</v>
      </c>
      <c r="X46" s="327">
        <v>0</v>
      </c>
      <c r="Y46" s="14">
        <f t="shared" si="16"/>
        <v>0</v>
      </c>
      <c r="AV46" s="236"/>
      <c r="AW46" s="415"/>
      <c r="AX46" s="236"/>
      <c r="AY46" s="236"/>
      <c r="AZ46" s="416"/>
    </row>
    <row r="47" spans="2:52" x14ac:dyDescent="0.3">
      <c r="B47" s="232"/>
      <c r="C47" s="276" t="s">
        <v>528</v>
      </c>
      <c r="D47" s="171" t="str">
        <f>INDEX(Unit_Rates!$C$7:$K$54,MATCH($C47,Unit_Rates!$C$7:$C$54,0),5)</f>
        <v>SCADA/Network control</v>
      </c>
      <c r="E47" s="171" t="str">
        <f>INDEX(Unit_Rates!$C$7:$K$54,MATCH($C47,Unit_Rates!$C$7:$C$54,0),6)</f>
        <v>Augmentation</v>
      </c>
      <c r="F47" s="171" t="str">
        <f t="shared" ref="F47" si="18">D47&amp;E47</f>
        <v>SCADA/Network controlAugmentation</v>
      </c>
      <c r="G47" s="268">
        <f>INDEX(Unit_Rates!$C$7:$K$54,MATCH($C47,Unit_Rates!$C$7:$C$54,0),7)</f>
        <v>31.775830570902396</v>
      </c>
      <c r="H47" s="299">
        <v>1</v>
      </c>
      <c r="I47" s="264" t="s">
        <v>292</v>
      </c>
      <c r="J47" s="157"/>
      <c r="K47" s="225">
        <f t="shared" ref="K47" si="19">G47*H47</f>
        <v>31.775830570902396</v>
      </c>
      <c r="L47" s="225">
        <f t="shared" ref="L47" si="20">SUMPRODUCT(R$5:X$5,R47:X47)/Thousands</f>
        <v>0</v>
      </c>
      <c r="M47" s="306"/>
      <c r="N47" s="570"/>
      <c r="O47" s="571"/>
      <c r="P47" s="569"/>
      <c r="Q47" s="336">
        <f>P47-H47*VLOOKUP(C47,Unit_Rates!$C$44:$E$54,3,FALSE)</f>
        <v>0</v>
      </c>
      <c r="R47" s="327">
        <v>0</v>
      </c>
      <c r="S47" s="327">
        <v>0</v>
      </c>
      <c r="T47" s="327">
        <v>0</v>
      </c>
      <c r="U47" s="327">
        <v>0</v>
      </c>
      <c r="V47" s="327">
        <v>0</v>
      </c>
      <c r="W47" s="327">
        <v>0</v>
      </c>
      <c r="X47" s="327">
        <v>0</v>
      </c>
      <c r="Y47" s="14">
        <f t="shared" ref="Y47" si="21">SUM(R47:X47)</f>
        <v>0</v>
      </c>
      <c r="AV47" s="236"/>
      <c r="AW47" s="415"/>
      <c r="AX47" s="236"/>
      <c r="AY47" s="236"/>
      <c r="AZ47" s="416"/>
    </row>
    <row r="48" spans="2:52" x14ac:dyDescent="0.3">
      <c r="B48" s="232"/>
      <c r="C48" s="171" t="s">
        <v>324</v>
      </c>
      <c r="D48" s="276" t="s">
        <v>22</v>
      </c>
      <c r="E48" s="276" t="s">
        <v>42</v>
      </c>
      <c r="F48" s="171" t="str">
        <f t="shared" si="14"/>
        <v>SCADA/Network controlAugmentation</v>
      </c>
      <c r="G48" s="441">
        <v>15.214548802946593</v>
      </c>
      <c r="H48" s="299">
        <v>1</v>
      </c>
      <c r="I48" s="264" t="s">
        <v>292</v>
      </c>
      <c r="J48" s="157"/>
      <c r="K48" s="225">
        <f t="shared" si="17"/>
        <v>15.214548802946593</v>
      </c>
      <c r="L48" s="225">
        <f t="shared" si="15"/>
        <v>0</v>
      </c>
      <c r="M48" s="306"/>
      <c r="N48" s="568"/>
      <c r="O48" s="573"/>
      <c r="P48" s="569"/>
      <c r="Q48" s="290"/>
      <c r="R48" s="327">
        <v>0</v>
      </c>
      <c r="S48" s="327">
        <v>0</v>
      </c>
      <c r="T48" s="327">
        <v>0</v>
      </c>
      <c r="U48" s="327">
        <v>0</v>
      </c>
      <c r="V48" s="327">
        <v>0</v>
      </c>
      <c r="W48" s="327">
        <v>0</v>
      </c>
      <c r="X48" s="327">
        <v>0</v>
      </c>
      <c r="Y48" s="14">
        <f t="shared" si="16"/>
        <v>0</v>
      </c>
      <c r="AV48" s="236"/>
      <c r="AW48" s="415"/>
      <c r="AX48" s="236"/>
      <c r="AY48" s="236"/>
      <c r="AZ48" s="416"/>
    </row>
    <row r="49" spans="2:52" x14ac:dyDescent="0.3">
      <c r="B49" s="232"/>
      <c r="C49" s="171" t="s">
        <v>322</v>
      </c>
      <c r="D49" s="276" t="s">
        <v>22</v>
      </c>
      <c r="E49" s="276" t="s">
        <v>42</v>
      </c>
      <c r="F49" s="171" t="str">
        <f t="shared" si="14"/>
        <v>SCADA/Network controlAugmentation</v>
      </c>
      <c r="G49" s="441">
        <v>62.25106261510129</v>
      </c>
      <c r="H49" s="533">
        <v>1</v>
      </c>
      <c r="I49" s="264" t="s">
        <v>292</v>
      </c>
      <c r="J49" s="157"/>
      <c r="K49" s="225">
        <f t="shared" ref="K49" si="22">G49*H49</f>
        <v>62.25106261510129</v>
      </c>
      <c r="L49" s="225">
        <f t="shared" si="15"/>
        <v>0</v>
      </c>
      <c r="M49" s="306"/>
      <c r="N49" s="568"/>
      <c r="O49" s="573"/>
      <c r="P49" s="569"/>
      <c r="Q49" s="290"/>
      <c r="R49" s="327">
        <v>0</v>
      </c>
      <c r="S49" s="327">
        <v>0</v>
      </c>
      <c r="T49" s="327">
        <v>0</v>
      </c>
      <c r="U49" s="327">
        <v>0</v>
      </c>
      <c r="V49" s="327">
        <v>0</v>
      </c>
      <c r="W49" s="327">
        <v>0</v>
      </c>
      <c r="X49" s="327">
        <v>0</v>
      </c>
      <c r="Y49" s="14">
        <f t="shared" si="16"/>
        <v>0</v>
      </c>
      <c r="AV49" s="236"/>
      <c r="AW49" s="415"/>
      <c r="AX49" s="236"/>
      <c r="AY49" s="236"/>
      <c r="AZ49" s="416"/>
    </row>
    <row r="50" spans="2:52" x14ac:dyDescent="0.3">
      <c r="B50" s="251" t="s">
        <v>281</v>
      </c>
      <c r="C50" s="171"/>
      <c r="D50" s="236" t="s">
        <v>18</v>
      </c>
      <c r="E50" s="236" t="s">
        <v>42</v>
      </c>
      <c r="F50" s="171" t="str">
        <f t="shared" si="14"/>
        <v>SubtransmissionAugmentation</v>
      </c>
      <c r="G50" s="441"/>
      <c r="H50" s="299"/>
      <c r="I50" s="264" t="s">
        <v>292</v>
      </c>
      <c r="J50" s="157"/>
      <c r="K50" s="225">
        <f>G50*H50</f>
        <v>0</v>
      </c>
      <c r="L50" s="225">
        <f t="shared" si="15"/>
        <v>0</v>
      </c>
      <c r="M50" s="306"/>
      <c r="N50" s="568"/>
      <c r="O50" s="573"/>
      <c r="P50" s="569"/>
      <c r="Q50" s="290"/>
      <c r="R50" s="327">
        <v>0</v>
      </c>
      <c r="S50" s="327">
        <v>0</v>
      </c>
      <c r="T50" s="327">
        <v>0</v>
      </c>
      <c r="U50" s="327">
        <v>0</v>
      </c>
      <c r="V50" s="327">
        <v>0</v>
      </c>
      <c r="W50" s="327">
        <v>0</v>
      </c>
      <c r="X50" s="327">
        <v>0</v>
      </c>
      <c r="Y50" s="14">
        <f t="shared" si="16"/>
        <v>0</v>
      </c>
      <c r="AP50" s="49"/>
      <c r="AQ50" s="49"/>
      <c r="AR50" s="531"/>
      <c r="AS50" s="531"/>
      <c r="AT50" s="531"/>
      <c r="AU50" s="531"/>
      <c r="AV50" s="551"/>
      <c r="AW50" s="551"/>
      <c r="AX50" s="547"/>
      <c r="AY50" s="236"/>
      <c r="AZ50" s="416"/>
    </row>
    <row r="51" spans="2:52" x14ac:dyDescent="0.3">
      <c r="B51" s="251" t="s">
        <v>312</v>
      </c>
      <c r="C51" s="171"/>
      <c r="D51" s="171"/>
      <c r="E51" s="276"/>
      <c r="F51" s="276"/>
      <c r="G51" s="265"/>
      <c r="H51" s="232"/>
      <c r="I51" s="224"/>
      <c r="J51" s="171"/>
      <c r="K51" s="225"/>
      <c r="L51" s="225"/>
      <c r="M51" s="225"/>
      <c r="N51" s="222"/>
      <c r="O51" s="225"/>
      <c r="P51" s="223"/>
      <c r="Q51" s="290"/>
      <c r="R51" s="326"/>
      <c r="S51" s="326"/>
      <c r="T51" s="326"/>
      <c r="U51" s="326"/>
      <c r="V51" s="326"/>
      <c r="W51" s="326"/>
      <c r="X51" s="326"/>
      <c r="Y51" s="14"/>
      <c r="AP51" s="464"/>
      <c r="AQ51" s="13"/>
      <c r="AR51" s="464"/>
      <c r="AS51" s="464"/>
      <c r="AT51" s="464"/>
      <c r="AU51" s="464"/>
      <c r="AV51" s="318"/>
      <c r="AW51" s="318"/>
      <c r="AX51" s="547"/>
      <c r="AY51" s="236"/>
      <c r="AZ51" s="236"/>
    </row>
    <row r="52" spans="2:52" x14ac:dyDescent="0.3">
      <c r="B52" s="232"/>
      <c r="C52" s="171" t="s">
        <v>311</v>
      </c>
      <c r="D52" s="236" t="s">
        <v>18</v>
      </c>
      <c r="E52" s="236" t="s">
        <v>42</v>
      </c>
      <c r="F52" s="171" t="str">
        <f t="shared" ref="F52:F56" si="23">D52&amp;E52</f>
        <v>SubtransmissionAugmentation</v>
      </c>
      <c r="G52" s="441">
        <v>0</v>
      </c>
      <c r="H52" s="299"/>
      <c r="I52" s="264" t="s">
        <v>292</v>
      </c>
      <c r="J52" s="171"/>
      <c r="K52" s="225">
        <f>G52*H52</f>
        <v>0</v>
      </c>
      <c r="L52" s="225">
        <f>SUMPRODUCT(R$5:X$5,R52:X52)/Thousands</f>
        <v>0</v>
      </c>
      <c r="M52" s="306"/>
      <c r="N52" s="568"/>
      <c r="O52" s="573"/>
      <c r="P52" s="569"/>
      <c r="Q52" s="290"/>
      <c r="R52" s="327">
        <v>0</v>
      </c>
      <c r="S52" s="327">
        <v>0</v>
      </c>
      <c r="T52" s="327">
        <v>0</v>
      </c>
      <c r="U52" s="327">
        <v>0</v>
      </c>
      <c r="V52" s="327">
        <v>0</v>
      </c>
      <c r="W52" s="327">
        <v>0</v>
      </c>
      <c r="X52" s="327">
        <v>0</v>
      </c>
      <c r="Y52" s="14">
        <f t="shared" ref="Y52:Y56" si="24">SUM(R52:X52)</f>
        <v>0</v>
      </c>
      <c r="AP52" s="464"/>
      <c r="AR52" s="6"/>
      <c r="AS52" s="5"/>
      <c r="AT52" s="467"/>
      <c r="AU52" s="6"/>
      <c r="AV52" s="274"/>
      <c r="AW52" s="415"/>
      <c r="AX52" s="547"/>
      <c r="AY52" s="236"/>
      <c r="AZ52" s="236"/>
    </row>
    <row r="53" spans="2:52" x14ac:dyDescent="0.3">
      <c r="B53" s="232"/>
      <c r="C53" s="236" t="s">
        <v>316</v>
      </c>
      <c r="D53" s="171" t="str">
        <f>Unit_Rates!G39</f>
        <v>Subtransmission</v>
      </c>
      <c r="E53" s="171" t="str">
        <f>Unit_Rates!H39</f>
        <v>Augmentation</v>
      </c>
      <c r="F53" s="171" t="str">
        <f t="shared" si="23"/>
        <v>SubtransmissionAugmentation</v>
      </c>
      <c r="G53" s="268">
        <f>Unit_Rates!$I$39</f>
        <v>123.95348837209301</v>
      </c>
      <c r="H53" s="299"/>
      <c r="I53" s="264" t="s">
        <v>292</v>
      </c>
      <c r="J53" s="171"/>
      <c r="K53" s="225">
        <f>G53*H53</f>
        <v>0</v>
      </c>
      <c r="L53" s="225">
        <f>SUMPRODUCT(R$5:X$5,R53:X53)/Thousands</f>
        <v>0</v>
      </c>
      <c r="M53" s="306"/>
      <c r="N53" s="568"/>
      <c r="O53" s="568"/>
      <c r="P53" s="569"/>
      <c r="Q53" s="336">
        <f>P53-H53*VLOOKUP("Oil separator",Unit_Rates!$C$7:$E$39,3,FALSE)</f>
        <v>0</v>
      </c>
      <c r="R53" s="327">
        <v>0</v>
      </c>
      <c r="S53" s="327">
        <v>0</v>
      </c>
      <c r="T53" s="327">
        <v>0</v>
      </c>
      <c r="U53" s="327">
        <v>0</v>
      </c>
      <c r="V53" s="327">
        <v>0</v>
      </c>
      <c r="W53" s="327">
        <v>0</v>
      </c>
      <c r="X53" s="327">
        <v>0</v>
      </c>
      <c r="Y53" s="14">
        <f t="shared" si="24"/>
        <v>0</v>
      </c>
      <c r="AP53" s="464"/>
      <c r="AR53" s="6"/>
      <c r="AS53" s="5"/>
      <c r="AT53" s="38"/>
      <c r="AU53" s="6"/>
      <c r="AV53" s="274"/>
      <c r="AW53" s="415"/>
      <c r="AX53" s="236"/>
      <c r="AY53" s="236"/>
      <c r="AZ53" s="236"/>
    </row>
    <row r="54" spans="2:52" x14ac:dyDescent="0.3">
      <c r="B54" s="232"/>
      <c r="C54" s="296" t="s">
        <v>317</v>
      </c>
      <c r="D54" s="171" t="s">
        <v>18</v>
      </c>
      <c r="E54" s="276" t="s">
        <v>42</v>
      </c>
      <c r="F54" s="171" t="str">
        <f t="shared" si="23"/>
        <v>SubtransmissionAugmentation</v>
      </c>
      <c r="G54" s="441">
        <v>0</v>
      </c>
      <c r="H54" s="299"/>
      <c r="I54" s="264" t="s">
        <v>292</v>
      </c>
      <c r="J54" s="171"/>
      <c r="K54" s="225">
        <f>G54*H54</f>
        <v>0</v>
      </c>
      <c r="L54" s="225">
        <f>SUMPRODUCT(R$5:X$5,R54:X54)/Thousands</f>
        <v>0</v>
      </c>
      <c r="M54" s="306"/>
      <c r="N54" s="568"/>
      <c r="O54" s="573"/>
      <c r="P54" s="569"/>
      <c r="Q54" s="290"/>
      <c r="R54" s="327">
        <v>0</v>
      </c>
      <c r="S54" s="327">
        <v>0</v>
      </c>
      <c r="T54" s="327">
        <v>0</v>
      </c>
      <c r="U54" s="327">
        <v>0</v>
      </c>
      <c r="V54" s="327">
        <v>0</v>
      </c>
      <c r="W54" s="327">
        <v>0</v>
      </c>
      <c r="X54" s="327">
        <v>0</v>
      </c>
      <c r="Y54" s="14">
        <f t="shared" si="24"/>
        <v>0</v>
      </c>
      <c r="AP54" s="464"/>
      <c r="AR54" s="6"/>
      <c r="AS54" s="6"/>
      <c r="AT54" s="6"/>
      <c r="AU54" s="6"/>
      <c r="AV54" s="274"/>
      <c r="AW54" s="415"/>
      <c r="AX54" s="236"/>
      <c r="AY54" s="236"/>
      <c r="AZ54" s="236"/>
    </row>
    <row r="55" spans="2:52" x14ac:dyDescent="0.3">
      <c r="B55" s="313" t="s">
        <v>284</v>
      </c>
      <c r="C55" s="296"/>
      <c r="D55" s="171" t="s">
        <v>18</v>
      </c>
      <c r="E55" s="276" t="s">
        <v>42</v>
      </c>
      <c r="F55" s="171" t="str">
        <f t="shared" si="23"/>
        <v>SubtransmissionAugmentation</v>
      </c>
      <c r="G55" s="268">
        <v>0</v>
      </c>
      <c r="H55" s="299"/>
      <c r="I55" s="264" t="s">
        <v>292</v>
      </c>
      <c r="J55" s="171"/>
      <c r="K55" s="228">
        <v>0</v>
      </c>
      <c r="L55" s="228">
        <f>SUMPRODUCT(R$5:X$5,R55:X55)/Thousands</f>
        <v>0</v>
      </c>
      <c r="M55" s="306"/>
      <c r="N55" s="568"/>
      <c r="O55" s="566"/>
      <c r="P55" s="569"/>
      <c r="Q55" s="290"/>
      <c r="R55" s="327">
        <v>0</v>
      </c>
      <c r="S55" s="327">
        <v>0</v>
      </c>
      <c r="T55" s="327">
        <v>0</v>
      </c>
      <c r="U55" s="327">
        <v>0</v>
      </c>
      <c r="V55" s="327">
        <v>0</v>
      </c>
      <c r="W55" s="327">
        <v>0</v>
      </c>
      <c r="X55" s="327">
        <v>0</v>
      </c>
      <c r="Y55" s="14">
        <f t="shared" si="24"/>
        <v>0</v>
      </c>
      <c r="AR55" s="14"/>
      <c r="AS55" s="14"/>
      <c r="AT55" s="14"/>
      <c r="AU55" s="14"/>
      <c r="AV55" s="415"/>
      <c r="AW55" s="415"/>
      <c r="AX55" s="236"/>
      <c r="AY55" s="236"/>
      <c r="AZ55" s="236"/>
    </row>
    <row r="56" spans="2:52" x14ac:dyDescent="0.3">
      <c r="B56" s="251" t="s">
        <v>268</v>
      </c>
      <c r="C56" s="171"/>
      <c r="D56" s="171" t="s">
        <v>195</v>
      </c>
      <c r="E56" s="276" t="s">
        <v>66</v>
      </c>
      <c r="F56" s="171" t="str">
        <f t="shared" si="23"/>
        <v>LandNon-Network</v>
      </c>
      <c r="G56" s="268">
        <v>0</v>
      </c>
      <c r="H56" s="299"/>
      <c r="I56" s="264" t="s">
        <v>292</v>
      </c>
      <c r="J56" s="171"/>
      <c r="K56" s="228">
        <v>0</v>
      </c>
      <c r="L56" s="228">
        <f>SUMPRODUCT(R$5:X$5,R56:X56)/Thousands</f>
        <v>0</v>
      </c>
      <c r="M56" s="306"/>
      <c r="N56" s="568"/>
      <c r="O56" s="566"/>
      <c r="P56" s="569"/>
      <c r="Q56" s="19"/>
      <c r="R56" s="327">
        <v>0</v>
      </c>
      <c r="S56" s="327">
        <v>0</v>
      </c>
      <c r="T56" s="327">
        <v>0</v>
      </c>
      <c r="U56" s="327">
        <v>0</v>
      </c>
      <c r="V56" s="327">
        <v>0</v>
      </c>
      <c r="W56" s="327">
        <v>0</v>
      </c>
      <c r="X56" s="327">
        <v>0</v>
      </c>
      <c r="Y56" s="14">
        <f t="shared" si="24"/>
        <v>0</v>
      </c>
    </row>
    <row r="57" spans="2:52" x14ac:dyDescent="0.3">
      <c r="B57" s="232"/>
      <c r="C57" s="171"/>
      <c r="D57" s="171"/>
      <c r="E57" s="171"/>
      <c r="F57" s="171"/>
      <c r="G57" s="224"/>
      <c r="H57" s="232"/>
      <c r="I57" s="224"/>
      <c r="J57" s="171"/>
      <c r="K57" s="229"/>
      <c r="L57" s="229"/>
      <c r="M57" s="229"/>
      <c r="N57" s="229"/>
      <c r="O57" s="229"/>
      <c r="P57" s="229"/>
    </row>
    <row r="58" spans="2:52" x14ac:dyDescent="0.3">
      <c r="B58" s="251" t="s">
        <v>282</v>
      </c>
      <c r="C58" s="171"/>
      <c r="D58" s="171"/>
      <c r="E58" s="171"/>
      <c r="F58" s="171"/>
      <c r="G58" s="224"/>
      <c r="H58" s="232"/>
      <c r="I58" s="224"/>
      <c r="J58" s="171"/>
      <c r="K58" s="319">
        <v>3405.5270091309308</v>
      </c>
      <c r="L58" s="319">
        <v>792.0804999999998</v>
      </c>
      <c r="M58" s="319">
        <v>644.55813953488359</v>
      </c>
      <c r="N58" s="319">
        <v>1806.8762958327982</v>
      </c>
      <c r="O58" s="319">
        <v>308.0280016137736</v>
      </c>
      <c r="P58" s="319">
        <v>6957.0699461123859</v>
      </c>
      <c r="Q58" s="178"/>
    </row>
    <row r="59" spans="2:52" x14ac:dyDescent="0.3">
      <c r="B59" s="259" t="s">
        <v>55</v>
      </c>
      <c r="C59" s="260"/>
      <c r="D59" s="260"/>
      <c r="E59" s="260"/>
      <c r="F59" s="260"/>
      <c r="G59" s="267"/>
      <c r="H59" s="259"/>
      <c r="I59" s="267"/>
      <c r="J59" s="260"/>
      <c r="K59" s="320">
        <f>K58-Direct_Capex_Totals!Q12</f>
        <v>0</v>
      </c>
      <c r="L59" s="321">
        <f>L58-Direct_Capex_Totals!R12</f>
        <v>0</v>
      </c>
      <c r="M59" s="321">
        <f>M58-Direct_Capex_Totals!S12</f>
        <v>0</v>
      </c>
      <c r="N59" s="321">
        <f>N58-Direct_Capex_Totals!T12</f>
        <v>0</v>
      </c>
      <c r="O59" s="321">
        <f>O58-Direct_Capex_Totals!U12</f>
        <v>0</v>
      </c>
      <c r="P59" s="322">
        <f>SUM(K59:O59)</f>
        <v>0</v>
      </c>
    </row>
    <row r="60" spans="2:52" ht="28.8" x14ac:dyDescent="0.3">
      <c r="B60" s="237" t="s">
        <v>262</v>
      </c>
      <c r="C60" s="238"/>
      <c r="D60" s="292"/>
      <c r="E60" s="292"/>
      <c r="F60" s="292"/>
      <c r="G60" s="273" t="s">
        <v>302</v>
      </c>
      <c r="H60" s="345" t="s">
        <v>265</v>
      </c>
      <c r="I60" s="18" t="s">
        <v>293</v>
      </c>
      <c r="J60" s="260"/>
      <c r="K60" s="18" t="s">
        <v>135</v>
      </c>
      <c r="L60" s="18" t="s">
        <v>290</v>
      </c>
      <c r="M60" s="273" t="s">
        <v>136</v>
      </c>
      <c r="N60" s="273" t="s">
        <v>137</v>
      </c>
      <c r="O60" s="18" t="s">
        <v>60</v>
      </c>
      <c r="P60" s="18" t="s">
        <v>291</v>
      </c>
    </row>
    <row r="61" spans="2:52" x14ac:dyDescent="0.3">
      <c r="B61" s="251"/>
      <c r="C61" s="171"/>
      <c r="D61" s="171"/>
      <c r="E61" s="171"/>
      <c r="F61" s="171"/>
      <c r="G61" s="224"/>
      <c r="H61" s="232"/>
      <c r="I61" s="224"/>
      <c r="J61" s="171"/>
      <c r="K61" s="235"/>
      <c r="L61" s="235"/>
      <c r="M61" s="235"/>
      <c r="N61" s="235"/>
      <c r="O61" s="235"/>
      <c r="P61" s="224"/>
    </row>
    <row r="62" spans="2:52" x14ac:dyDescent="0.3">
      <c r="B62" s="251" t="s">
        <v>17</v>
      </c>
      <c r="C62" s="171"/>
      <c r="D62" s="171"/>
      <c r="E62" s="171"/>
      <c r="F62" s="171"/>
      <c r="G62" s="224"/>
      <c r="H62" s="232"/>
      <c r="I62" s="224"/>
      <c r="J62" s="171"/>
      <c r="K62" s="235"/>
      <c r="L62" s="235"/>
      <c r="M62" s="235"/>
      <c r="N62" s="235"/>
      <c r="O62" s="235"/>
      <c r="P62" s="224"/>
      <c r="AI62" t="s">
        <v>486</v>
      </c>
    </row>
    <row r="63" spans="2:52" x14ac:dyDescent="0.3">
      <c r="B63" s="251"/>
      <c r="C63" s="282" t="s">
        <v>328</v>
      </c>
      <c r="D63" s="282" t="str">
        <f>IF($B$3="WYK2",Unit_Rates!G60,Unit_Rates!G61)</f>
        <v>Distribution system assets</v>
      </c>
      <c r="E63" s="282" t="str">
        <f>IF($B$3="WYK2",Unit_Rates!H60,Unit_Rates!H61)</f>
        <v>Augmentation</v>
      </c>
      <c r="F63" s="171" t="str">
        <f t="shared" ref="F63:F70" si="25">D63&amp;E63</f>
        <v>Distribution system assetsAugmentation</v>
      </c>
      <c r="G63" s="283">
        <v>0</v>
      </c>
      <c r="H63" s="455">
        <f>INDEX(Feeder_Vols!$E$7:$O$16,MATCH($B$3,Feeder_Vols!$B$7:$B$15,0),MATCH(1,Feeder_Vols!$E$6:$O$6,0))</f>
        <v>9</v>
      </c>
      <c r="I63" s="224" t="s">
        <v>297</v>
      </c>
      <c r="J63" s="282"/>
      <c r="K63" s="283"/>
      <c r="L63" s="283">
        <f t="shared" ref="L63:L70" si="26">SUMPRODUCT(R$5:X$5,R63:X63)/Thousands</f>
        <v>73.886437038316629</v>
      </c>
      <c r="M63" s="283">
        <f>$H63*IF($B$3="WYK2",Unit_Rates!K60,Unit_Rates!K61)</f>
        <v>163.1872465116279</v>
      </c>
      <c r="N63" s="283">
        <f>$H63*IF($B$3="WYK2",Unit_Rates!L60,Unit_Rates!L61)</f>
        <v>0</v>
      </c>
      <c r="O63" s="283">
        <f>$H63*IF($B$3="WYK2",Unit_Rates!M60,Unit_Rates!M61)</f>
        <v>0</v>
      </c>
      <c r="P63" s="228">
        <f t="shared" ref="P63:P70" si="27">SUM(K63:O63)</f>
        <v>237.07368354994452</v>
      </c>
      <c r="Q63" s="333"/>
      <c r="R63" s="327">
        <f>$AI63*Z63*$H63</f>
        <v>133.2236842105263</v>
      </c>
      <c r="S63" s="327">
        <f t="shared" ref="S63:X70" si="28">$AI63*AA63*$H63</f>
        <v>356.51408450704224</v>
      </c>
      <c r="T63" s="327">
        <f t="shared" si="28"/>
        <v>0</v>
      </c>
      <c r="U63" s="327">
        <f t="shared" si="28"/>
        <v>0</v>
      </c>
      <c r="V63" s="327">
        <f t="shared" si="28"/>
        <v>0</v>
      </c>
      <c r="W63" s="327">
        <f t="shared" si="28"/>
        <v>0</v>
      </c>
      <c r="X63" s="327">
        <f t="shared" si="28"/>
        <v>0</v>
      </c>
      <c r="Y63" s="14">
        <f t="shared" ref="Y63:Y87" si="29">SUM(R63:X63)</f>
        <v>489.73776871756854</v>
      </c>
      <c r="Z63" s="15">
        <v>0.27203065134099613</v>
      </c>
      <c r="AA63" s="15">
        <v>0.72796934865900376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6">
        <f>SUM(Z63:AF63)</f>
        <v>0.99999999999999989</v>
      </c>
      <c r="AH63" t="b">
        <f>AG63=1</f>
        <v>1</v>
      </c>
      <c r="AI63" s="390">
        <v>54.415307635285394</v>
      </c>
    </row>
    <row r="64" spans="2:52" x14ac:dyDescent="0.3">
      <c r="B64" s="251"/>
      <c r="C64" s="171" t="s">
        <v>231</v>
      </c>
      <c r="D64" s="282" t="str">
        <f>Unit_Rates!G62</f>
        <v>Distribution system assets</v>
      </c>
      <c r="E64" s="282" t="str">
        <f>Unit_Rates!H62</f>
        <v>Augmentation</v>
      </c>
      <c r="F64" s="171" t="str">
        <f t="shared" si="25"/>
        <v>Distribution system assetsAugmentation</v>
      </c>
      <c r="G64" s="565">
        <f>Unit_Rates!I62</f>
        <v>0</v>
      </c>
      <c r="H64" s="455">
        <f>INDEX(Feeder_Vols!$E$7:$O$16,MATCH($B$3,Feeder_Vols!$B$7:$B$15,0),MATCH(2,Feeder_Vols!$E$6:$O$6,0))</f>
        <v>18</v>
      </c>
      <c r="I64" s="224" t="s">
        <v>298</v>
      </c>
      <c r="J64" s="282"/>
      <c r="K64" s="565"/>
      <c r="L64" s="565"/>
      <c r="M64" s="565"/>
      <c r="N64" s="565"/>
      <c r="O64" s="565"/>
      <c r="P64" s="566"/>
      <c r="Q64" s="28">
        <f>P64-H64*Unit_Rates!$E$62</f>
        <v>0</v>
      </c>
      <c r="R64" s="563"/>
      <c r="S64" s="563"/>
      <c r="T64" s="563"/>
      <c r="U64" s="563"/>
      <c r="V64" s="563"/>
      <c r="W64" s="563"/>
      <c r="X64" s="563"/>
      <c r="Y64" s="564">
        <f t="shared" si="29"/>
        <v>0</v>
      </c>
      <c r="Z64" s="15">
        <v>0</v>
      </c>
      <c r="AA64" s="15">
        <v>0.14071351127025331</v>
      </c>
      <c r="AB64" s="15">
        <v>0.24322448098123187</v>
      </c>
      <c r="AC64" s="15">
        <v>0</v>
      </c>
      <c r="AD64" s="15">
        <v>0.1760177164995757</v>
      </c>
      <c r="AE64" s="15">
        <v>0.44004429124893918</v>
      </c>
      <c r="AF64" s="15">
        <v>0</v>
      </c>
      <c r="AG64" s="16">
        <f t="shared" ref="AG64:AG68" si="30">SUM(Z64:AF64)</f>
        <v>1</v>
      </c>
      <c r="AH64" t="b">
        <f t="shared" ref="AH64:AH68" si="31">AG64=1</f>
        <v>1</v>
      </c>
      <c r="AI64" s="562"/>
    </row>
    <row r="65" spans="2:35" x14ac:dyDescent="0.3">
      <c r="B65" s="251"/>
      <c r="C65" s="171" t="s">
        <v>235</v>
      </c>
      <c r="D65" s="282" t="str">
        <f>Unit_Rates!G63</f>
        <v>Distribution system assets</v>
      </c>
      <c r="E65" s="282" t="str">
        <f>Unit_Rates!H63</f>
        <v>Augmentation</v>
      </c>
      <c r="F65" s="171" t="str">
        <f t="shared" si="25"/>
        <v>Distribution system assetsAugmentation</v>
      </c>
      <c r="G65" s="565">
        <f>Unit_Rates!I63</f>
        <v>0</v>
      </c>
      <c r="H65" s="455">
        <f>INDEX(Feeder_Vols!$E$7:$O$16,MATCH($B$3,Feeder_Vols!$B$7:$B$15,0),MATCH(3,Feeder_Vols!$E$6:$O$6,0))</f>
        <v>2</v>
      </c>
      <c r="I65" s="224" t="s">
        <v>294</v>
      </c>
      <c r="J65" s="282"/>
      <c r="K65" s="565"/>
      <c r="L65" s="565"/>
      <c r="M65" s="565"/>
      <c r="N65" s="565"/>
      <c r="O65" s="565"/>
      <c r="P65" s="566"/>
      <c r="Q65" s="28">
        <f>P65-H65*Unit_Rates!$E$63</f>
        <v>0</v>
      </c>
      <c r="R65" s="563"/>
      <c r="S65" s="563"/>
      <c r="T65" s="563"/>
      <c r="U65" s="563"/>
      <c r="V65" s="563"/>
      <c r="W65" s="563"/>
      <c r="X65" s="563"/>
      <c r="Y65" s="564">
        <f t="shared" si="29"/>
        <v>0</v>
      </c>
      <c r="Z65" s="15">
        <v>0</v>
      </c>
      <c r="AA65" s="15">
        <v>0.11317869701862385</v>
      </c>
      <c r="AB65" s="15">
        <v>0.25101832039696309</v>
      </c>
      <c r="AC65" s="15">
        <v>0</v>
      </c>
      <c r="AD65" s="15">
        <v>0.18165799502411806</v>
      </c>
      <c r="AE65" s="15">
        <v>0.45414498756029509</v>
      </c>
      <c r="AF65" s="15">
        <v>0</v>
      </c>
      <c r="AG65" s="16">
        <f t="shared" si="30"/>
        <v>1</v>
      </c>
      <c r="AH65" t="b">
        <f t="shared" si="31"/>
        <v>1</v>
      </c>
      <c r="AI65" s="562"/>
    </row>
    <row r="66" spans="2:35" x14ac:dyDescent="0.3">
      <c r="B66" s="251"/>
      <c r="C66" s="171" t="s">
        <v>237</v>
      </c>
      <c r="D66" s="282" t="str">
        <f>Unit_Rates!G64</f>
        <v>Distribution system assets</v>
      </c>
      <c r="E66" s="282" t="str">
        <f>Unit_Rates!H64</f>
        <v>Augmentation</v>
      </c>
      <c r="F66" s="171" t="str">
        <f t="shared" si="25"/>
        <v>Distribution system assetsAugmentation</v>
      </c>
      <c r="G66" s="565">
        <f>Unit_Rates!I64</f>
        <v>0</v>
      </c>
      <c r="H66" s="455">
        <f>INDEX(Feeder_Vols!$E$7:$O$16,MATCH($B$3,Feeder_Vols!$B$7:$B$15,0),MATCH(4,Feeder_Vols!$E$6:$O$6,0))</f>
        <v>93</v>
      </c>
      <c r="I66" s="265" t="s">
        <v>299</v>
      </c>
      <c r="J66" s="282"/>
      <c r="K66" s="565"/>
      <c r="L66" s="565"/>
      <c r="M66" s="565"/>
      <c r="N66" s="565"/>
      <c r="O66" s="565"/>
      <c r="P66" s="566"/>
      <c r="Q66" s="28">
        <f>P66-H66*Unit_Rates!$E$64</f>
        <v>0</v>
      </c>
      <c r="R66" s="563"/>
      <c r="S66" s="563"/>
      <c r="T66" s="563"/>
      <c r="U66" s="563"/>
      <c r="V66" s="563"/>
      <c r="W66" s="563"/>
      <c r="X66" s="563"/>
      <c r="Y66" s="564">
        <f t="shared" si="29"/>
        <v>0</v>
      </c>
      <c r="Z66" s="15">
        <v>0</v>
      </c>
      <c r="AA66" s="15">
        <v>0.17737095137749856</v>
      </c>
      <c r="AB66" s="15">
        <v>0.23284844579258887</v>
      </c>
      <c r="AC66" s="15">
        <v>0</v>
      </c>
      <c r="AD66" s="15">
        <v>0.16850874366568935</v>
      </c>
      <c r="AE66" s="15">
        <v>0.42127185916422333</v>
      </c>
      <c r="AF66" s="15">
        <v>0</v>
      </c>
      <c r="AG66" s="16">
        <f t="shared" si="30"/>
        <v>1</v>
      </c>
      <c r="AH66" t="b">
        <f t="shared" si="31"/>
        <v>1</v>
      </c>
      <c r="AI66" s="562"/>
    </row>
    <row r="67" spans="2:35" x14ac:dyDescent="0.3">
      <c r="B67" s="251"/>
      <c r="C67" s="171" t="s">
        <v>233</v>
      </c>
      <c r="D67" s="282" t="str">
        <f>Unit_Rates!G65</f>
        <v>Distribution system assets</v>
      </c>
      <c r="E67" s="282" t="str">
        <f>Unit_Rates!H65</f>
        <v>Augmentation</v>
      </c>
      <c r="F67" s="171" t="str">
        <f t="shared" si="25"/>
        <v>Distribution system assetsAugmentation</v>
      </c>
      <c r="G67" s="283">
        <f>Unit_Rates!I65</f>
        <v>17.106573023255812</v>
      </c>
      <c r="H67" s="455">
        <f>INDEX(Feeder_Vols!$E$7:$O$16,MATCH($B$3,Feeder_Vols!$B$7:$B$15,0),MATCH(5,Feeder_Vols!$E$6:$O$6,0))</f>
        <v>35</v>
      </c>
      <c r="I67" s="265" t="s">
        <v>300</v>
      </c>
      <c r="J67" s="282"/>
      <c r="K67" s="283">
        <f t="shared" ref="K67" si="32">G67*H67</f>
        <v>598.73005581395341</v>
      </c>
      <c r="L67" s="283">
        <f t="shared" si="26"/>
        <v>114.15320236525615</v>
      </c>
      <c r="M67" s="283">
        <f>$H67*Unit_Rates!K65</f>
        <v>0</v>
      </c>
      <c r="N67" s="283">
        <f>$H67*Unit_Rates!L65</f>
        <v>1057.1341206581399</v>
      </c>
      <c r="O67" s="283">
        <f>$H67*Unit_Rates!M65</f>
        <v>134.05352636695392</v>
      </c>
      <c r="P67" s="228">
        <f t="shared" si="27"/>
        <v>1904.0709052043035</v>
      </c>
      <c r="Q67" s="28">
        <f>P67-H67*Unit_Rates!$E$65</f>
        <v>2.7511580802060962</v>
      </c>
      <c r="R67" s="327">
        <f t="shared" ref="R67:R70" si="33">$AI67*Z67*$H67</f>
        <v>0</v>
      </c>
      <c r="S67" s="327">
        <f t="shared" si="28"/>
        <v>48.999999999999986</v>
      </c>
      <c r="T67" s="327">
        <f t="shared" si="28"/>
        <v>186.44106704149567</v>
      </c>
      <c r="U67" s="327">
        <f t="shared" si="28"/>
        <v>0</v>
      </c>
      <c r="V67" s="327">
        <f t="shared" si="28"/>
        <v>134.9244564116087</v>
      </c>
      <c r="W67" s="327">
        <f t="shared" si="28"/>
        <v>337.31114102902171</v>
      </c>
      <c r="X67" s="327">
        <f t="shared" si="28"/>
        <v>0</v>
      </c>
      <c r="Y67" s="14">
        <f t="shared" si="29"/>
        <v>707.67666448212617</v>
      </c>
      <c r="Z67" s="15">
        <v>0</v>
      </c>
      <c r="AA67" s="15">
        <v>6.9240660967474346E-2</v>
      </c>
      <c r="AB67" s="15">
        <v>0.26345515741702774</v>
      </c>
      <c r="AC67" s="15">
        <v>0</v>
      </c>
      <c r="AD67" s="15">
        <v>0.19065833760442799</v>
      </c>
      <c r="AE67" s="15">
        <v>0.47664584401106991</v>
      </c>
      <c r="AF67" s="15">
        <v>0</v>
      </c>
      <c r="AG67" s="16">
        <f t="shared" si="30"/>
        <v>1</v>
      </c>
      <c r="AH67" t="b">
        <f t="shared" si="31"/>
        <v>1</v>
      </c>
      <c r="AI67" s="5">
        <v>20.21933327091789</v>
      </c>
    </row>
    <row r="68" spans="2:35" x14ac:dyDescent="0.3">
      <c r="B68" s="251"/>
      <c r="C68" s="282" t="s">
        <v>344</v>
      </c>
      <c r="D68" s="282" t="str">
        <f>Unit_Rates!G66</f>
        <v>Distribution system assets</v>
      </c>
      <c r="E68" s="282" t="str">
        <f>Unit_Rates!H66</f>
        <v>Augmentation</v>
      </c>
      <c r="F68" s="171" t="str">
        <f t="shared" si="25"/>
        <v>Distribution system assetsAugmentation</v>
      </c>
      <c r="G68" s="283">
        <f>Unit_Rates!I66</f>
        <v>0</v>
      </c>
      <c r="H68" s="455">
        <f>INDEX(Feeder_Vols!$E$7:$O$16,MATCH($B$3,Feeder_Vols!$B$7:$B$15,0),MATCH(1,Feeder_Vols!$E$6:$O$6,0))</f>
        <v>9</v>
      </c>
      <c r="I68" s="224" t="s">
        <v>297</v>
      </c>
      <c r="J68" s="282"/>
      <c r="K68" s="283"/>
      <c r="L68" s="283">
        <f t="shared" si="26"/>
        <v>54.415760869565275</v>
      </c>
      <c r="M68" s="283">
        <f>$H68*Unit_Rates!K66</f>
        <v>0</v>
      </c>
      <c r="N68" s="283">
        <f>$H68*Unit_Rates!L66</f>
        <v>70.039110212335657</v>
      </c>
      <c r="O68" s="283">
        <f>$H68*Unit_Rates!M66</f>
        <v>0</v>
      </c>
      <c r="P68" s="228">
        <f t="shared" si="27"/>
        <v>124.45487108190093</v>
      </c>
      <c r="Q68" s="28">
        <f>P68-H68*Unit_Rates!$E$66</f>
        <v>-0.15072042467132007</v>
      </c>
      <c r="R68" s="327">
        <f t="shared" si="33"/>
        <v>0</v>
      </c>
      <c r="S68" s="327">
        <f t="shared" si="28"/>
        <v>0</v>
      </c>
      <c r="T68" s="327">
        <f t="shared" si="28"/>
        <v>0</v>
      </c>
      <c r="U68" s="327">
        <f t="shared" si="28"/>
        <v>0</v>
      </c>
      <c r="V68" s="327">
        <f t="shared" si="28"/>
        <v>0</v>
      </c>
      <c r="W68" s="327">
        <f t="shared" si="28"/>
        <v>0</v>
      </c>
      <c r="X68" s="327">
        <f t="shared" si="28"/>
        <v>417.58322162757867</v>
      </c>
      <c r="Y68" s="14">
        <f t="shared" si="29"/>
        <v>417.58322162757867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1</v>
      </c>
      <c r="AG68" s="16">
        <f t="shared" si="30"/>
        <v>1</v>
      </c>
      <c r="AH68" t="b">
        <f t="shared" si="31"/>
        <v>1</v>
      </c>
      <c r="AI68" s="5">
        <v>46.398135736397627</v>
      </c>
    </row>
    <row r="69" spans="2:35" x14ac:dyDescent="0.3">
      <c r="B69" s="251"/>
      <c r="C69" s="348" t="s">
        <v>342</v>
      </c>
      <c r="D69" s="282" t="str">
        <f>Unit_Rates!G67</f>
        <v>Distribution system assets</v>
      </c>
      <c r="E69" s="282" t="str">
        <f>Unit_Rates!H67</f>
        <v>Replacement</v>
      </c>
      <c r="F69" s="171" t="str">
        <f t="shared" si="25"/>
        <v>Distribution system assetsReplacement</v>
      </c>
      <c r="G69" s="283">
        <f>Unit_Rates!I67</f>
        <v>0</v>
      </c>
      <c r="H69" s="455">
        <f>INDEX(Feeder_Vols!$E$7:$O$16,MATCH($B$3,Feeder_Vols!$B$7:$B$15,0),MATCH(1,Feeder_Vols!$E$6:$N$6,0))+INDEX(Feeder_Vols!$E$7:$N$16,MATCH($B$3,Feeder_Vols!$B$7:$B$15,0),MATCH(6,Feeder_Vols!$E$6:$O$6,0))</f>
        <v>69</v>
      </c>
      <c r="I69" s="224" t="s">
        <v>346</v>
      </c>
      <c r="J69" s="282"/>
      <c r="K69" s="283"/>
      <c r="L69" s="283">
        <f t="shared" si="26"/>
        <v>0</v>
      </c>
      <c r="M69" s="283">
        <f>$H69*Unit_Rates!K67</f>
        <v>0</v>
      </c>
      <c r="N69" s="283">
        <f>$H69*Unit_Rates!L67</f>
        <v>35.921720930232553</v>
      </c>
      <c r="O69" s="283">
        <f>$H69*Unit_Rates!M67</f>
        <v>0</v>
      </c>
      <c r="P69" s="228">
        <f t="shared" si="27"/>
        <v>35.921720930232553</v>
      </c>
      <c r="Q69" s="28">
        <f>P69-H69*Unit_Rates!$E$67</f>
        <v>0</v>
      </c>
      <c r="R69" s="330"/>
      <c r="S69" s="330"/>
      <c r="T69" s="330"/>
      <c r="U69" s="330"/>
      <c r="V69" s="330"/>
      <c r="W69" s="330"/>
      <c r="X69" s="330"/>
      <c r="Y69" s="14">
        <f t="shared" si="29"/>
        <v>0</v>
      </c>
      <c r="Z69" s="15"/>
      <c r="AA69" s="15"/>
      <c r="AB69" s="15"/>
      <c r="AC69" s="15"/>
      <c r="AD69" s="15"/>
      <c r="AE69" s="15"/>
      <c r="AF69" s="15"/>
      <c r="AI69" s="5">
        <v>0</v>
      </c>
    </row>
    <row r="70" spans="2:35" x14ac:dyDescent="0.3">
      <c r="B70" s="251"/>
      <c r="C70" s="348" t="s">
        <v>418</v>
      </c>
      <c r="D70" s="282" t="str">
        <f>Unit_Rates!G68</f>
        <v>Distribution system assets</v>
      </c>
      <c r="E70" s="282" t="str">
        <f>Unit_Rates!H68</f>
        <v>Replacement</v>
      </c>
      <c r="F70" s="171" t="str">
        <f t="shared" si="25"/>
        <v>Distribution system assetsReplacement</v>
      </c>
      <c r="G70" s="283">
        <f>Unit_Rates!I68</f>
        <v>0</v>
      </c>
      <c r="H70" s="455">
        <f>INDEX(Feeder_Vols!$E$7:$O$16,MATCH($B$3,Feeder_Vols!$B$7:$B$15,0),MATCH(7,Feeder_Vols!$E$6:$O$6,0))</f>
        <v>34</v>
      </c>
      <c r="I70" s="224" t="s">
        <v>343</v>
      </c>
      <c r="J70" s="282"/>
      <c r="K70" s="342"/>
      <c r="L70" s="342">
        <f t="shared" si="26"/>
        <v>5.3472517226538221</v>
      </c>
      <c r="M70" s="342">
        <f>$H70*Unit_Rates!K68</f>
        <v>0</v>
      </c>
      <c r="N70" s="342">
        <f>$H70*Unit_Rates!L68</f>
        <v>99.302828390697641</v>
      </c>
      <c r="O70" s="342">
        <f>$H70*Unit_Rates!M68</f>
        <v>0</v>
      </c>
      <c r="P70" s="229">
        <f t="shared" si="27"/>
        <v>104.65008011335146</v>
      </c>
      <c r="Q70" s="28">
        <f>P70-H70*Unit_Rates!$E$68</f>
        <v>0.26088444117827692</v>
      </c>
      <c r="R70" s="327">
        <f t="shared" si="33"/>
        <v>0</v>
      </c>
      <c r="S70" s="327">
        <f t="shared" si="28"/>
        <v>0</v>
      </c>
      <c r="T70" s="327">
        <f t="shared" si="28"/>
        <v>0</v>
      </c>
      <c r="U70" s="327">
        <f t="shared" si="28"/>
        <v>0</v>
      </c>
      <c r="V70" s="327">
        <f t="shared" si="28"/>
        <v>0</v>
      </c>
      <c r="W70" s="327">
        <f t="shared" si="28"/>
        <v>0</v>
      </c>
      <c r="X70" s="327">
        <f t="shared" si="28"/>
        <v>41.03448275862069</v>
      </c>
      <c r="Y70" s="14">
        <f t="shared" si="29"/>
        <v>41.03448275862069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1</v>
      </c>
      <c r="AG70" s="16">
        <f>SUM(Z70:AF70)</f>
        <v>1</v>
      </c>
      <c r="AH70" t="b">
        <f>AG70=1</f>
        <v>1</v>
      </c>
      <c r="AI70" s="5">
        <v>1.2068965517241379</v>
      </c>
    </row>
    <row r="71" spans="2:35" x14ac:dyDescent="0.3">
      <c r="B71" s="251"/>
      <c r="C71" s="236" t="s">
        <v>301</v>
      </c>
      <c r="D71" s="236"/>
      <c r="E71" s="236"/>
      <c r="F71" s="236"/>
      <c r="G71" s="268"/>
      <c r="H71" s="231"/>
      <c r="I71" s="224"/>
      <c r="J71" s="171"/>
      <c r="K71" s="268">
        <v>629.76800930232548</v>
      </c>
      <c r="L71" s="268">
        <v>286.08745274946693</v>
      </c>
      <c r="M71" s="268">
        <v>163.1872465116279</v>
      </c>
      <c r="N71" s="268">
        <v>1732.0272843942578</v>
      </c>
      <c r="O71" s="268">
        <v>174.76769866864177</v>
      </c>
      <c r="P71" s="268">
        <v>2985.8376916263196</v>
      </c>
      <c r="Q71" s="28"/>
      <c r="R71" s="326"/>
      <c r="S71" s="326"/>
      <c r="T71" s="326"/>
      <c r="U71" s="326"/>
      <c r="V71" s="326"/>
      <c r="W71" s="326"/>
      <c r="X71" s="326"/>
      <c r="Y71" s="14"/>
      <c r="AI71" s="5"/>
    </row>
    <row r="72" spans="2:35" x14ac:dyDescent="0.3">
      <c r="B72" s="251" t="s">
        <v>295</v>
      </c>
      <c r="C72" s="171"/>
      <c r="D72" s="171"/>
      <c r="E72" s="171"/>
      <c r="F72" s="171"/>
      <c r="G72" s="228"/>
      <c r="H72" s="231"/>
      <c r="I72" s="224"/>
      <c r="J72" s="171"/>
      <c r="K72" s="268"/>
      <c r="L72" s="268"/>
      <c r="M72" s="268"/>
      <c r="N72" s="268"/>
      <c r="O72" s="268"/>
      <c r="P72" s="228"/>
      <c r="Q72" s="28"/>
      <c r="R72" s="326"/>
      <c r="S72" s="326"/>
      <c r="T72" s="326"/>
      <c r="U72" s="326"/>
      <c r="V72" s="326"/>
      <c r="W72" s="326"/>
      <c r="X72" s="326"/>
      <c r="Y72" s="14"/>
      <c r="AI72" s="5"/>
    </row>
    <row r="73" spans="2:35" x14ac:dyDescent="0.3">
      <c r="B73" s="251"/>
      <c r="C73" s="171" t="s">
        <v>264</v>
      </c>
      <c r="D73" s="171" t="str">
        <f>Unit_Rates!G76</f>
        <v>Distribution system assets</v>
      </c>
      <c r="E73" s="171" t="str">
        <f>Unit_Rates!H76</f>
        <v>Replacement</v>
      </c>
      <c r="F73" s="171" t="str">
        <f t="shared" ref="F73" si="34">D73&amp;E73</f>
        <v>Distribution system assetsReplacement</v>
      </c>
      <c r="G73" s="228">
        <f>Unit_Rates!I76</f>
        <v>0.27269767441860471</v>
      </c>
      <c r="H73" s="456">
        <f>INDEX(Feeder_Vols!$B$21:$D$29,MATCH($B$3,Feeder_Vols!$B$21:$B$29,0),3)</f>
        <v>1945.0340291678581</v>
      </c>
      <c r="I73" s="266" t="s">
        <v>292</v>
      </c>
      <c r="J73" s="171"/>
      <c r="K73" s="268">
        <f>G73*H73</f>
        <v>530.40625641912345</v>
      </c>
      <c r="L73" s="268">
        <f>SUMPRODUCT(R$5:X$5,R73:X73)/Thousands</f>
        <v>264.80913416853696</v>
      </c>
      <c r="M73" s="268">
        <f>$H73*Unit_Rates!K76</f>
        <v>0</v>
      </c>
      <c r="N73" s="268">
        <f>$H73*Unit_Rates!L76</f>
        <v>1016.1950650535981</v>
      </c>
      <c r="O73" s="268">
        <f>$H73*Unit_Rates!M76</f>
        <v>0</v>
      </c>
      <c r="P73" s="228">
        <f>SUM(K73:O73)</f>
        <v>1811.4104556412585</v>
      </c>
      <c r="Q73" s="28">
        <f>P73-H73*Unit_Rates!$E$76</f>
        <v>-0.73346663762481512</v>
      </c>
      <c r="R73" s="327">
        <f t="shared" ref="R73:X73" si="35">$AI73*Z73*$H73</f>
        <v>47.172176829373271</v>
      </c>
      <c r="S73" s="327">
        <f t="shared" si="35"/>
        <v>0</v>
      </c>
      <c r="T73" s="327">
        <f t="shared" si="35"/>
        <v>588.84493832459395</v>
      </c>
      <c r="U73" s="327">
        <f t="shared" si="35"/>
        <v>0</v>
      </c>
      <c r="V73" s="327">
        <f t="shared" si="35"/>
        <v>0</v>
      </c>
      <c r="W73" s="327">
        <f t="shared" si="35"/>
        <v>0</v>
      </c>
      <c r="X73" s="327">
        <f t="shared" si="35"/>
        <v>1197.4924180775388</v>
      </c>
      <c r="Y73" s="14">
        <f t="shared" si="29"/>
        <v>1833.5095332315059</v>
      </c>
      <c r="Z73" s="15">
        <v>2.5727805595989302E-2</v>
      </c>
      <c r="AA73" s="15">
        <v>0</v>
      </c>
      <c r="AB73" s="15">
        <v>0.32115728206047139</v>
      </c>
      <c r="AC73" s="15">
        <v>0</v>
      </c>
      <c r="AD73" s="15">
        <v>0</v>
      </c>
      <c r="AE73" s="15">
        <v>0</v>
      </c>
      <c r="AF73" s="15">
        <v>0.65311491234353936</v>
      </c>
      <c r="AG73" s="16">
        <f>SUM(Z73:AF73)</f>
        <v>1</v>
      </c>
      <c r="AH73" t="b">
        <f>AG73=1</f>
        <v>1</v>
      </c>
      <c r="AI73" s="5">
        <v>0.94266193070973381</v>
      </c>
    </row>
    <row r="74" spans="2:35" x14ac:dyDescent="0.3">
      <c r="B74" s="251"/>
      <c r="C74" s="171" t="s">
        <v>511</v>
      </c>
      <c r="D74" s="171" t="str">
        <f>Unit_Rates!G77</f>
        <v>Distribution system assets</v>
      </c>
      <c r="E74" s="171" t="str">
        <f>Unit_Rates!H77</f>
        <v>Replacement</v>
      </c>
      <c r="F74" s="171" t="str">
        <f t="shared" ref="F74:F77" si="36">D74&amp;E74</f>
        <v>Distribution system assetsReplacement</v>
      </c>
      <c r="G74" s="268">
        <f>INDEX(Unit_Rates!$C$75:$K$80,MATCH($C74,Unit_Rates!$D$75:$D$80,0),7)</f>
        <v>0</v>
      </c>
      <c r="H74" s="456">
        <f>INDEX(Feeder_Vols!$H$21:$H$29,MATCH($B$3,Feeder_Vols!$G$21:$G$29,0),1)</f>
        <v>135</v>
      </c>
      <c r="I74" s="266" t="s">
        <v>292</v>
      </c>
      <c r="J74" s="171"/>
      <c r="K74" s="268">
        <f>G74*H74</f>
        <v>0</v>
      </c>
      <c r="L74" s="268">
        <f>SUMPRODUCT(R$5:X$5,R74:X74)/Thousands</f>
        <v>39.537477148080477</v>
      </c>
      <c r="M74" s="268">
        <f>$H74*Unit_Rates!K76</f>
        <v>0</v>
      </c>
      <c r="N74" s="268">
        <f>$H74*Unit_Rates!$L$77</f>
        <v>0</v>
      </c>
      <c r="O74" s="268">
        <f>$H74*Unit_Rates!M76</f>
        <v>0</v>
      </c>
      <c r="P74" s="228">
        <f>SUM(K74:O74)</f>
        <v>39.537477148080477</v>
      </c>
      <c r="Q74" s="28">
        <f>P74-H74*Unit_Rates!$E$77</f>
        <v>-0.21666649832836526</v>
      </c>
      <c r="R74" s="327">
        <f t="shared" ref="R74" si="37">$AI74*Z74*$H74</f>
        <v>0</v>
      </c>
      <c r="S74" s="327">
        <f t="shared" ref="S74" si="38">$AI74*AA74*$H74</f>
        <v>0</v>
      </c>
      <c r="T74" s="327">
        <f t="shared" ref="T74" si="39">$AI74*AB74*$H74</f>
        <v>0</v>
      </c>
      <c r="U74" s="327">
        <f t="shared" ref="U74" si="40">$AI74*AC74*$H74</f>
        <v>0</v>
      </c>
      <c r="V74" s="327">
        <f t="shared" ref="V74" si="41">$AI74*AD74*$H74</f>
        <v>249.51330764045636</v>
      </c>
      <c r="W74" s="327">
        <f t="shared" ref="W74" si="42">$AI74*AE74*$H74</f>
        <v>0</v>
      </c>
      <c r="X74" s="327">
        <f t="shared" ref="X74" si="43">$AI74*AF74*$H74</f>
        <v>0</v>
      </c>
      <c r="Y74" s="14">
        <f t="shared" si="29"/>
        <v>249.51330764045636</v>
      </c>
      <c r="Z74" s="15"/>
      <c r="AA74" s="15"/>
      <c r="AB74" s="15"/>
      <c r="AC74" s="15"/>
      <c r="AD74" s="15">
        <v>1</v>
      </c>
      <c r="AE74" s="15"/>
      <c r="AF74" s="15"/>
      <c r="AG74" s="16">
        <f>SUM(Z74:AF74)</f>
        <v>1</v>
      </c>
      <c r="AH74" t="b">
        <f>AG74=1</f>
        <v>1</v>
      </c>
      <c r="AI74" s="46">
        <v>1.8482467232626396</v>
      </c>
    </row>
    <row r="75" spans="2:35" x14ac:dyDescent="0.3">
      <c r="B75" s="251"/>
      <c r="C75" s="171" t="s">
        <v>512</v>
      </c>
      <c r="D75" s="171" t="str">
        <f>Unit_Rates!G78</f>
        <v>Distribution system assets</v>
      </c>
      <c r="E75" s="171" t="str">
        <f>Unit_Rates!H78</f>
        <v>Replacement</v>
      </c>
      <c r="F75" s="171" t="str">
        <f t="shared" si="36"/>
        <v>Distribution system assetsReplacement</v>
      </c>
      <c r="G75" s="268">
        <f>INDEX(Unit_Rates!$C$75:$K$80,MATCH($C75,Unit_Rates!$D$75:$D$80,0),7)</f>
        <v>0</v>
      </c>
      <c r="H75" s="456">
        <f>INDEX(Feeder_Vols!$I$21:$I$29,MATCH($B$3,Feeder_Vols!$G$21:$G$29,0),1)</f>
        <v>57</v>
      </c>
      <c r="I75" s="266" t="s">
        <v>292</v>
      </c>
      <c r="J75" s="171"/>
      <c r="K75" s="268">
        <f t="shared" ref="K75:K77" si="44">G75*H75</f>
        <v>0</v>
      </c>
      <c r="L75" s="268">
        <f>SUMPRODUCT(R$5:X$5,R75:X75)/Thousands</f>
        <v>556.45338208409487</v>
      </c>
      <c r="M75" s="268"/>
      <c r="N75" s="268">
        <f>$H75*Unit_Rates!$L$78</f>
        <v>0</v>
      </c>
      <c r="O75" s="268"/>
      <c r="P75" s="228">
        <f t="shared" ref="P75:P77" si="45">SUM(K75:O75)</f>
        <v>556.45338208409487</v>
      </c>
      <c r="Q75" s="28">
        <f>P75-H75*Unit_Rates!$E$78</f>
        <v>-3.049380346844373</v>
      </c>
      <c r="R75" s="327">
        <f t="shared" ref="R75" si="46">$AI75*Z75*$H75</f>
        <v>0</v>
      </c>
      <c r="S75" s="327">
        <f t="shared" ref="S75" si="47">$AI75*AA75*$H75</f>
        <v>0</v>
      </c>
      <c r="T75" s="327">
        <f t="shared" ref="T75" si="48">$AI75*AB75*$H75</f>
        <v>0</v>
      </c>
      <c r="U75" s="327">
        <f t="shared" ref="U75" si="49">$AI75*AC75*$H75</f>
        <v>0</v>
      </c>
      <c r="V75" s="327">
        <f t="shared" ref="V75" si="50">$AI75*AD75*$H75</f>
        <v>3511.6687741990108</v>
      </c>
      <c r="W75" s="327">
        <f t="shared" ref="W75" si="51">$AI75*AE75*$H75</f>
        <v>0</v>
      </c>
      <c r="X75" s="327">
        <f t="shared" ref="X75" si="52">$AI75*AF75*$H75</f>
        <v>0</v>
      </c>
      <c r="Y75" s="14">
        <f t="shared" si="29"/>
        <v>3511.6687741990108</v>
      </c>
      <c r="Z75" s="15"/>
      <c r="AA75" s="15"/>
      <c r="AB75" s="15"/>
      <c r="AC75" s="15"/>
      <c r="AD75" s="15">
        <v>1</v>
      </c>
      <c r="AE75" s="15"/>
      <c r="AF75" s="15"/>
      <c r="AG75" s="16">
        <f>SUM(Z75:AF75)</f>
        <v>1</v>
      </c>
      <c r="AH75" t="b">
        <f>AG75=1</f>
        <v>1</v>
      </c>
      <c r="AI75" s="46">
        <v>61.608224108754577</v>
      </c>
    </row>
    <row r="76" spans="2:35" x14ac:dyDescent="0.3">
      <c r="B76" s="251"/>
      <c r="C76" s="171" t="s">
        <v>513</v>
      </c>
      <c r="D76" s="171" t="str">
        <f>Unit_Rates!G79</f>
        <v>Distribution system assets</v>
      </c>
      <c r="E76" s="171" t="str">
        <f>Unit_Rates!H79</f>
        <v>Replacement</v>
      </c>
      <c r="F76" s="171" t="str">
        <f t="shared" si="36"/>
        <v>Distribution system assetsReplacement</v>
      </c>
      <c r="G76" s="268">
        <f>INDEX(Unit_Rates!$C$75:$K$80,MATCH($C76,Unit_Rates!$D$75:$D$80,0),7)</f>
        <v>4.9079189686924494</v>
      </c>
      <c r="H76" s="456">
        <f>INDEX(Feeder_Vols!$J$21:$J$29,MATCH($B$3,Feeder_Vols!$G$21:$G$29,0),1)</f>
        <v>23</v>
      </c>
      <c r="I76" s="266" t="s">
        <v>292</v>
      </c>
      <c r="J76" s="171"/>
      <c r="K76" s="268">
        <f t="shared" si="44"/>
        <v>112.88213627992633</v>
      </c>
      <c r="L76" s="268">
        <f>SUMPRODUCT(R$5:X$5,R76:X76)/Thousands</f>
        <v>0</v>
      </c>
      <c r="M76" s="268"/>
      <c r="N76" s="268">
        <f>$H76*Unit_Rates!$L$79</f>
        <v>366.86694290976061</v>
      </c>
      <c r="O76" s="268"/>
      <c r="P76" s="228">
        <f t="shared" si="45"/>
        <v>479.74907918968694</v>
      </c>
      <c r="Q76" s="28">
        <f>P76-H76*Unit_Rates!$E$79</f>
        <v>0</v>
      </c>
      <c r="R76" s="330"/>
      <c r="S76" s="330"/>
      <c r="T76" s="330"/>
      <c r="U76" s="330"/>
      <c r="V76" s="330"/>
      <c r="W76" s="330"/>
      <c r="X76" s="330"/>
      <c r="Y76" s="14">
        <f t="shared" si="29"/>
        <v>0</v>
      </c>
      <c r="Z76" s="15"/>
      <c r="AA76" s="15"/>
      <c r="AB76" s="15"/>
      <c r="AC76" s="15"/>
      <c r="AD76" s="15"/>
      <c r="AE76" s="15"/>
      <c r="AF76" s="15"/>
      <c r="AG76" s="16"/>
      <c r="AI76" s="5"/>
    </row>
    <row r="77" spans="2:35" x14ac:dyDescent="0.3">
      <c r="B77" s="251"/>
      <c r="C77" s="171" t="s">
        <v>539</v>
      </c>
      <c r="D77" s="171" t="str">
        <f>Unit_Rates!G80</f>
        <v>Distribution system assets</v>
      </c>
      <c r="E77" s="171" t="str">
        <f>Unit_Rates!H80</f>
        <v>Replacement</v>
      </c>
      <c r="F77" s="171" t="str">
        <f t="shared" si="36"/>
        <v>Distribution system assetsReplacement</v>
      </c>
      <c r="G77" s="268">
        <f>INDEX(Unit_Rates!$C$75:$K$80,MATCH($C77,Unit_Rates!$D$75:$D$80,0),7)</f>
        <v>9.8158379373848997E-2</v>
      </c>
      <c r="H77" s="456">
        <f>INDEX(Feeder_Vols!$K$21:$K$29,MATCH($B$3,Feeder_Vols!$G$21:$G$29,0),1)</f>
        <v>1596.97</v>
      </c>
      <c r="I77" s="266" t="s">
        <v>510</v>
      </c>
      <c r="J77" s="171"/>
      <c r="K77" s="268">
        <f t="shared" si="44"/>
        <v>156.75598710865563</v>
      </c>
      <c r="L77" s="268">
        <f>SUMPRODUCT(R$5:X$5,R77:X77)/Thousands</f>
        <v>0</v>
      </c>
      <c r="M77" s="268"/>
      <c r="N77" s="268">
        <f>$H77*Unit_Rates!$L$80</f>
        <v>227.07672292559852</v>
      </c>
      <c r="O77" s="268"/>
      <c r="P77" s="228">
        <f t="shared" si="45"/>
        <v>383.83271003425415</v>
      </c>
      <c r="Q77" s="28">
        <f>P77-H77*Unit_Rates!$E$80</f>
        <v>0</v>
      </c>
      <c r="R77" s="330"/>
      <c r="S77" s="330"/>
      <c r="T77" s="330"/>
      <c r="U77" s="330"/>
      <c r="V77" s="330"/>
      <c r="W77" s="330"/>
      <c r="X77" s="330"/>
      <c r="Y77" s="14">
        <f t="shared" si="29"/>
        <v>0</v>
      </c>
      <c r="Z77" s="15"/>
      <c r="AA77" s="15"/>
      <c r="AB77" s="15"/>
      <c r="AC77" s="15"/>
      <c r="AD77" s="15"/>
      <c r="AE77" s="15"/>
      <c r="AF77" s="15"/>
      <c r="AG77" s="16"/>
      <c r="AI77" s="5"/>
    </row>
    <row r="78" spans="2:35" x14ac:dyDescent="0.3">
      <c r="B78" s="251" t="s">
        <v>46</v>
      </c>
      <c r="C78" s="171"/>
      <c r="D78" s="171"/>
      <c r="E78" s="171"/>
      <c r="F78" s="171"/>
      <c r="G78" s="228"/>
      <c r="H78" s="231"/>
      <c r="I78" s="224"/>
      <c r="J78" s="171"/>
      <c r="K78" s="268"/>
      <c r="L78" s="268"/>
      <c r="M78" s="268"/>
      <c r="N78" s="268"/>
      <c r="O78" s="268"/>
      <c r="P78" s="228"/>
      <c r="Q78" s="28"/>
      <c r="R78" s="329"/>
      <c r="S78" s="326"/>
      <c r="T78" s="326"/>
      <c r="U78" s="326"/>
      <c r="V78" s="326"/>
      <c r="W78" s="326"/>
      <c r="X78" s="326"/>
      <c r="Y78" s="14"/>
      <c r="Z78" s="15"/>
      <c r="AA78" s="15"/>
      <c r="AB78" s="15"/>
      <c r="AC78" s="15"/>
      <c r="AD78" s="15"/>
      <c r="AE78" s="15"/>
      <c r="AF78" s="15"/>
      <c r="AI78" s="5"/>
    </row>
    <row r="79" spans="2:35" x14ac:dyDescent="0.3">
      <c r="B79" s="251"/>
      <c r="C79" s="171" t="s">
        <v>221</v>
      </c>
      <c r="D79" s="171" t="str">
        <f>Unit_Rates!G86</f>
        <v>Distribution system assets</v>
      </c>
      <c r="E79" s="171" t="str">
        <f>Unit_Rates!H86</f>
        <v>Replacement</v>
      </c>
      <c r="F79" s="171" t="str">
        <f t="shared" ref="F79:F82" si="53">D79&amp;E79</f>
        <v>Distribution system assetsReplacement</v>
      </c>
      <c r="G79" s="228">
        <f>Unit_Rates!I86</f>
        <v>22.447723472706969</v>
      </c>
      <c r="H79" s="457">
        <f>INDEX(Feeder_Vols!$C$35:$F$43,MATCH($B$3,Feeder_Vols!$B$35:$B$43,0),1)</f>
        <v>5</v>
      </c>
      <c r="I79" s="264" t="s">
        <v>292</v>
      </c>
      <c r="J79" s="171"/>
      <c r="K79" s="268">
        <f>G79*H79</f>
        <v>112.23861736353484</v>
      </c>
      <c r="L79" s="268">
        <f>SUMPRODUCT(R$5:X$5,R79:X79)/Thousands</f>
        <v>32.007043809320159</v>
      </c>
      <c r="M79" s="268">
        <f>$H79*Unit_Rates!K86</f>
        <v>0</v>
      </c>
      <c r="N79" s="268">
        <f>$H79*Unit_Rates!L86</f>
        <v>52.898176835276765</v>
      </c>
      <c r="O79" s="268">
        <f>$H79*Unit_Rates!M86</f>
        <v>0.11637108185287645</v>
      </c>
      <c r="P79" s="228">
        <f>SUM(K79:O79)</f>
        <v>197.26020908998464</v>
      </c>
      <c r="Q79" s="28">
        <f>P79-(H79*Unit_Rates!$E$86)</f>
        <v>-8.8652904201438787E-2</v>
      </c>
      <c r="R79" s="327">
        <f t="shared" ref="R79:X82" si="54">$AI79*Z79*$H79</f>
        <v>60.597063429811094</v>
      </c>
      <c r="S79" s="327">
        <f t="shared" si="54"/>
        <v>64.864462262896382</v>
      </c>
      <c r="T79" s="327">
        <f t="shared" si="54"/>
        <v>74.430332455202318</v>
      </c>
      <c r="U79" s="327">
        <f t="shared" si="54"/>
        <v>0</v>
      </c>
      <c r="V79" s="327">
        <f t="shared" si="54"/>
        <v>0</v>
      </c>
      <c r="W79" s="327">
        <f t="shared" si="54"/>
        <v>0</v>
      </c>
      <c r="X79" s="327">
        <f t="shared" si="54"/>
        <v>0</v>
      </c>
      <c r="Y79" s="14">
        <f t="shared" si="29"/>
        <v>199.8918581479098</v>
      </c>
      <c r="Z79" s="15">
        <v>0.30314923274650013</v>
      </c>
      <c r="AA79" s="15">
        <v>0.32449777026385929</v>
      </c>
      <c r="AB79" s="15">
        <v>0.37235299698964058</v>
      </c>
      <c r="AC79" s="15">
        <v>0</v>
      </c>
      <c r="AD79" s="15">
        <v>0</v>
      </c>
      <c r="AE79" s="15">
        <v>0</v>
      </c>
      <c r="AF79" s="15">
        <v>0</v>
      </c>
      <c r="AG79" s="16">
        <f t="shared" ref="AG79:AG82" si="55">SUM(Z79:AF79)</f>
        <v>1</v>
      </c>
      <c r="AH79" t="b">
        <f t="shared" ref="AH79:AH87" si="56">AG79=1</f>
        <v>1</v>
      </c>
      <c r="AI79" s="5">
        <v>39.978371629581957</v>
      </c>
    </row>
    <row r="80" spans="2:35" x14ac:dyDescent="0.3">
      <c r="B80" s="251"/>
      <c r="C80" s="171" t="s">
        <v>223</v>
      </c>
      <c r="D80" s="171" t="str">
        <f>Unit_Rates!G87</f>
        <v>Distribution system assets</v>
      </c>
      <c r="E80" s="171" t="str">
        <f>Unit_Rates!H87</f>
        <v>Replacement</v>
      </c>
      <c r="F80" s="171" t="str">
        <f t="shared" si="53"/>
        <v>Distribution system assetsReplacement</v>
      </c>
      <c r="G80" s="228">
        <f>Unit_Rates!I87</f>
        <v>21.323700104130506</v>
      </c>
      <c r="H80" s="457">
        <f>INDEX(Feeder_Vols!$C$35:$F$43,MATCH($B$3,Feeder_Vols!$B$35:$B$43,0),2)</f>
        <v>19</v>
      </c>
      <c r="I80" s="264" t="s">
        <v>292</v>
      </c>
      <c r="J80" s="171"/>
      <c r="K80" s="268">
        <f>G80*H80</f>
        <v>405.1503019784796</v>
      </c>
      <c r="L80" s="268">
        <f>SUMPRODUCT(R$5:X$5,R80:X80)/Thousands</f>
        <v>130.71598258706524</v>
      </c>
      <c r="M80" s="268">
        <f>$H80*Unit_Rates!K87</f>
        <v>83.413297466157559</v>
      </c>
      <c r="N80" s="268">
        <f>$H80*Unit_Rates!L87</f>
        <v>452.81504338771242</v>
      </c>
      <c r="O80" s="268">
        <f>$H80*Unit_Rates!M87</f>
        <v>119.16185352308223</v>
      </c>
      <c r="P80" s="228">
        <f>SUM(K80:O80)</f>
        <v>1191.2564789424973</v>
      </c>
      <c r="Q80" s="28">
        <f>P80-(H80*Unit_Rates!$E$87)</f>
        <v>-0.36205628832499315</v>
      </c>
      <c r="R80" s="327">
        <f t="shared" si="54"/>
        <v>247.47692212087233</v>
      </c>
      <c r="S80" s="327">
        <f t="shared" si="54"/>
        <v>264.90487438290563</v>
      </c>
      <c r="T80" s="327">
        <f t="shared" si="54"/>
        <v>303.97165383735438</v>
      </c>
      <c r="U80" s="327">
        <f t="shared" si="54"/>
        <v>0</v>
      </c>
      <c r="V80" s="327">
        <f t="shared" si="54"/>
        <v>0</v>
      </c>
      <c r="W80" s="327">
        <f t="shared" si="54"/>
        <v>0</v>
      </c>
      <c r="X80" s="327">
        <f t="shared" si="54"/>
        <v>0</v>
      </c>
      <c r="Y80" s="14">
        <f t="shared" si="29"/>
        <v>816.35345034113243</v>
      </c>
      <c r="Z80" s="15">
        <v>0.30314923274650013</v>
      </c>
      <c r="AA80" s="15">
        <v>0.32449777026385929</v>
      </c>
      <c r="AB80" s="15">
        <v>0.37235299698964064</v>
      </c>
      <c r="AC80" s="15">
        <v>0</v>
      </c>
      <c r="AD80" s="15">
        <v>0</v>
      </c>
      <c r="AE80" s="15">
        <v>0</v>
      </c>
      <c r="AF80" s="15">
        <v>0</v>
      </c>
      <c r="AG80" s="16">
        <f t="shared" si="55"/>
        <v>1</v>
      </c>
      <c r="AH80" t="b">
        <f t="shared" si="56"/>
        <v>1</v>
      </c>
      <c r="AI80" s="5">
        <v>42.965971070585908</v>
      </c>
    </row>
    <row r="81" spans="2:35" x14ac:dyDescent="0.3">
      <c r="B81" s="251"/>
      <c r="C81" s="171" t="s">
        <v>225</v>
      </c>
      <c r="D81" s="171" t="str">
        <f>Unit_Rates!G88</f>
        <v>Distribution system assets</v>
      </c>
      <c r="E81" s="171" t="str">
        <f>Unit_Rates!H88</f>
        <v>Replacement</v>
      </c>
      <c r="F81" s="171" t="str">
        <f t="shared" si="53"/>
        <v>Distribution system assetsReplacement</v>
      </c>
      <c r="G81" s="228">
        <f>Unit_Rates!I88</f>
        <v>14.297621705426357</v>
      </c>
      <c r="H81" s="457">
        <f>INDEX(Feeder_Vols!$C$35:$F$43,MATCH($B$3,Feeder_Vols!$B$35:$B$43,0),3)</f>
        <v>0</v>
      </c>
      <c r="I81" s="264" t="s">
        <v>292</v>
      </c>
      <c r="J81" s="171"/>
      <c r="K81" s="268">
        <f>G81*H81</f>
        <v>0</v>
      </c>
      <c r="L81" s="268">
        <f>SUMPRODUCT(R$5:X$5,R81:X81)/Thousands</f>
        <v>0</v>
      </c>
      <c r="M81" s="268">
        <f>$H81*Unit_Rates!K88</f>
        <v>0</v>
      </c>
      <c r="N81" s="268">
        <f>$H81*Unit_Rates!L88</f>
        <v>0</v>
      </c>
      <c r="O81" s="268">
        <f>$H81*Unit_Rates!M88</f>
        <v>0</v>
      </c>
      <c r="P81" s="228">
        <f>SUM(K81:O81)</f>
        <v>0</v>
      </c>
      <c r="Q81" s="28">
        <f>P81-(H81*Unit_Rates!$E$88)</f>
        <v>0</v>
      </c>
      <c r="R81" s="327">
        <f t="shared" si="54"/>
        <v>0</v>
      </c>
      <c r="S81" s="327">
        <f t="shared" si="54"/>
        <v>0</v>
      </c>
      <c r="T81" s="327">
        <f t="shared" si="54"/>
        <v>0</v>
      </c>
      <c r="U81" s="327">
        <f t="shared" si="54"/>
        <v>0</v>
      </c>
      <c r="V81" s="327">
        <f t="shared" si="54"/>
        <v>0</v>
      </c>
      <c r="W81" s="327">
        <f t="shared" si="54"/>
        <v>0</v>
      </c>
      <c r="X81" s="327">
        <f t="shared" si="54"/>
        <v>0</v>
      </c>
      <c r="Y81" s="14">
        <f t="shared" si="29"/>
        <v>0</v>
      </c>
      <c r="Z81" s="15">
        <v>0.11818857666880556</v>
      </c>
      <c r="AA81" s="15">
        <v>0.49778875974979209</v>
      </c>
      <c r="AB81" s="15">
        <v>0.3840226635814023</v>
      </c>
      <c r="AC81" s="15">
        <v>0</v>
      </c>
      <c r="AD81" s="15">
        <v>0</v>
      </c>
      <c r="AE81" s="15">
        <v>0</v>
      </c>
      <c r="AF81" s="15">
        <v>0</v>
      </c>
      <c r="AG81" s="16">
        <f t="shared" si="55"/>
        <v>1</v>
      </c>
      <c r="AH81" t="b">
        <f t="shared" si="56"/>
        <v>1</v>
      </c>
      <c r="AI81" s="5">
        <v>144.70421211980818</v>
      </c>
    </row>
    <row r="82" spans="2:35" x14ac:dyDescent="0.3">
      <c r="B82" s="251"/>
      <c r="C82" s="171" t="s">
        <v>227</v>
      </c>
      <c r="D82" s="171" t="str">
        <f>Unit_Rates!G89</f>
        <v>Distribution system assets</v>
      </c>
      <c r="E82" s="171" t="str">
        <f>Unit_Rates!H89</f>
        <v>Replacement</v>
      </c>
      <c r="F82" s="171" t="str">
        <f t="shared" si="53"/>
        <v>Distribution system assetsReplacement</v>
      </c>
      <c r="G82" s="228">
        <f>Unit_Rates!I89</f>
        <v>182.28643631627907</v>
      </c>
      <c r="H82" s="457">
        <f>INDEX(Feeder_Vols!$C$35:$F$43,MATCH($B$3,Feeder_Vols!$B$35:$B$43,0),4)</f>
        <v>0</v>
      </c>
      <c r="I82" s="264" t="s">
        <v>292</v>
      </c>
      <c r="J82" s="171"/>
      <c r="K82" s="268">
        <f>G82*H82</f>
        <v>0</v>
      </c>
      <c r="L82" s="268">
        <f>SUMPRODUCT(R$5:X$5,R82:X82)/Thousands</f>
        <v>0</v>
      </c>
      <c r="M82" s="268">
        <f>$H82*Unit_Rates!K89</f>
        <v>0</v>
      </c>
      <c r="N82" s="268">
        <f>$H82*Unit_Rates!L89</f>
        <v>0</v>
      </c>
      <c r="O82" s="268">
        <f>$H82*Unit_Rates!M89</f>
        <v>0</v>
      </c>
      <c r="P82" s="228">
        <f>SUM(K82:O82)</f>
        <v>0</v>
      </c>
      <c r="Q82" s="28">
        <f>P82-(H82*Unit_Rates!$E$89)</f>
        <v>0</v>
      </c>
      <c r="R82" s="327">
        <f t="shared" si="54"/>
        <v>0</v>
      </c>
      <c r="S82" s="327">
        <f t="shared" si="54"/>
        <v>0</v>
      </c>
      <c r="T82" s="327">
        <f t="shared" si="54"/>
        <v>0</v>
      </c>
      <c r="U82" s="327">
        <f t="shared" si="54"/>
        <v>0</v>
      </c>
      <c r="V82" s="327">
        <f t="shared" si="54"/>
        <v>0</v>
      </c>
      <c r="W82" s="327">
        <f t="shared" si="54"/>
        <v>0</v>
      </c>
      <c r="X82" s="327">
        <f t="shared" si="54"/>
        <v>0</v>
      </c>
      <c r="Y82" s="14">
        <f t="shared" si="29"/>
        <v>0</v>
      </c>
      <c r="Z82" s="15">
        <v>0.69942688247564233</v>
      </c>
      <c r="AA82" s="15">
        <v>4.8454943655496512E-2</v>
      </c>
      <c r="AB82" s="15">
        <v>0.25211817386886121</v>
      </c>
      <c r="AC82" s="15">
        <v>0</v>
      </c>
      <c r="AD82" s="15">
        <v>0</v>
      </c>
      <c r="AE82" s="15">
        <v>0</v>
      </c>
      <c r="AF82" s="15">
        <v>0</v>
      </c>
      <c r="AG82" s="16">
        <f t="shared" si="55"/>
        <v>1</v>
      </c>
      <c r="AH82" t="b">
        <f t="shared" si="56"/>
        <v>1</v>
      </c>
      <c r="AI82" s="5">
        <v>220.41130997006761</v>
      </c>
    </row>
    <row r="83" spans="2:35" x14ac:dyDescent="0.3">
      <c r="B83" s="251" t="s">
        <v>296</v>
      </c>
      <c r="C83" s="171"/>
      <c r="D83" s="171"/>
      <c r="E83" s="171"/>
      <c r="F83" s="171"/>
      <c r="G83" s="228"/>
      <c r="H83" s="231"/>
      <c r="I83" s="264"/>
      <c r="J83" s="171"/>
      <c r="K83" s="268"/>
      <c r="L83" s="268"/>
      <c r="M83" s="268"/>
      <c r="N83" s="268"/>
      <c r="O83" s="268"/>
      <c r="P83" s="228"/>
      <c r="Q83" s="28"/>
      <c r="R83" s="326"/>
      <c r="S83" s="326"/>
      <c r="T83" s="326"/>
      <c r="U83" s="326"/>
      <c r="V83" s="326"/>
      <c r="W83" s="326"/>
      <c r="X83" s="326"/>
      <c r="Y83" s="14"/>
    </row>
    <row r="84" spans="2:35" x14ac:dyDescent="0.3">
      <c r="B84" s="232"/>
      <c r="C84" s="171" t="s">
        <v>553</v>
      </c>
      <c r="D84" s="171" t="str">
        <f>Unit_Rates!G95</f>
        <v>Distribution system assets</v>
      </c>
      <c r="E84" s="171" t="str">
        <f>Unit_Rates!H95</f>
        <v>Augmentation</v>
      </c>
      <c r="F84" s="171" t="str">
        <f t="shared" ref="F84" si="57">D84&amp;E84</f>
        <v>Distribution system assetsAugmentation</v>
      </c>
      <c r="G84" s="228">
        <f>Unit_Rates!I95</f>
        <v>490.33390034070919</v>
      </c>
      <c r="H84" s="456">
        <f>INDEX(Feeder_Vols!$C$48:$F$56,MATCH($B$3,Feeder_Vols!$B$48:$B$56,0),1)</f>
        <v>0</v>
      </c>
      <c r="I84" s="264" t="s">
        <v>292</v>
      </c>
      <c r="J84" s="171"/>
      <c r="K84" s="268">
        <f>G84*H84</f>
        <v>0</v>
      </c>
      <c r="L84" s="268">
        <f>SUMPRODUCT(R$5:X$5,R84:X84)/Thousands</f>
        <v>0</v>
      </c>
      <c r="M84" s="268">
        <f>$H84*Unit_Rates!K95</f>
        <v>0</v>
      </c>
      <c r="N84" s="268">
        <f>$H84*Unit_Rates!L95</f>
        <v>0</v>
      </c>
      <c r="O84" s="268">
        <f>$H84*Unit_Rates!M95</f>
        <v>0</v>
      </c>
      <c r="P84" s="228">
        <f>SUM(K84:O84)</f>
        <v>0</v>
      </c>
      <c r="Q84" s="28">
        <f>P84-H84*Unit_Rates!$E95</f>
        <v>0</v>
      </c>
      <c r="R84" s="327">
        <f t="shared" ref="R84:X87" si="58">$AI84*Z84*$H84</f>
        <v>0</v>
      </c>
      <c r="S84" s="327">
        <f t="shared" si="58"/>
        <v>0</v>
      </c>
      <c r="T84" s="327">
        <f t="shared" si="58"/>
        <v>0</v>
      </c>
      <c r="U84" s="327">
        <f t="shared" si="58"/>
        <v>0</v>
      </c>
      <c r="V84" s="327">
        <f t="shared" si="58"/>
        <v>0</v>
      </c>
      <c r="W84" s="327">
        <f t="shared" si="58"/>
        <v>0</v>
      </c>
      <c r="X84" s="327">
        <f t="shared" si="58"/>
        <v>0</v>
      </c>
      <c r="Y84" s="14">
        <f t="shared" si="29"/>
        <v>0</v>
      </c>
      <c r="Z84" s="15">
        <v>0.18112413889844414</v>
      </c>
      <c r="AA84" s="15">
        <v>0.21477521965386426</v>
      </c>
      <c r="AB84" s="15">
        <v>0.6041006414476916</v>
      </c>
      <c r="AC84" s="15">
        <v>0</v>
      </c>
      <c r="AD84" s="15">
        <v>0</v>
      </c>
      <c r="AE84" s="15">
        <v>0</v>
      </c>
      <c r="AF84" s="15">
        <v>0</v>
      </c>
      <c r="AG84" s="16">
        <f t="shared" ref="AG84:AG87" si="59">SUM(Z84:AF84)</f>
        <v>1</v>
      </c>
      <c r="AH84" t="b">
        <f t="shared" si="56"/>
        <v>1</v>
      </c>
      <c r="AI84" s="5">
        <v>469.77670058953754</v>
      </c>
    </row>
    <row r="85" spans="2:35" x14ac:dyDescent="0.3">
      <c r="B85" s="232"/>
      <c r="C85" s="171" t="s">
        <v>481</v>
      </c>
      <c r="D85" s="171" t="str">
        <f>Unit_Rates!G96</f>
        <v>Distribution system assets</v>
      </c>
      <c r="E85" s="171" t="str">
        <f>Unit_Rates!H96</f>
        <v>Augmentation</v>
      </c>
      <c r="F85" s="171" t="str">
        <f t="shared" ref="F85:F87" si="60">D85&amp;E85</f>
        <v>Distribution system assetsAugmentation</v>
      </c>
      <c r="G85" s="228">
        <f>Unit_Rates!I96</f>
        <v>440.92036005674521</v>
      </c>
      <c r="H85" s="456">
        <f>INDEX(Feeder_Vols!$C$48:$F$56,MATCH($B$3,Feeder_Vols!$B$48:$B$56,0),2)</f>
        <v>0</v>
      </c>
      <c r="I85" s="264" t="s">
        <v>292</v>
      </c>
      <c r="J85" s="171"/>
      <c r="K85" s="268">
        <f t="shared" ref="K85:K87" si="61">G85*H85</f>
        <v>0</v>
      </c>
      <c r="L85" s="268">
        <f>SUMPRODUCT(R$5:X$5,R85:X85)/Thousands</f>
        <v>0</v>
      </c>
      <c r="M85" s="268">
        <f>$H85*Unit_Rates!K96</f>
        <v>0</v>
      </c>
      <c r="N85" s="268">
        <f>$H85*Unit_Rates!L96</f>
        <v>0</v>
      </c>
      <c r="O85" s="268">
        <f>$H85*Unit_Rates!M96</f>
        <v>0</v>
      </c>
      <c r="P85" s="228">
        <f t="shared" ref="P85:P87" si="62">SUM(K85:O85)</f>
        <v>0</v>
      </c>
      <c r="Q85" s="28">
        <f>P85-H85*Unit_Rates!$E96</f>
        <v>0</v>
      </c>
      <c r="R85" s="327">
        <f t="shared" si="58"/>
        <v>0</v>
      </c>
      <c r="S85" s="327">
        <f t="shared" si="58"/>
        <v>0</v>
      </c>
      <c r="T85" s="327">
        <f t="shared" si="58"/>
        <v>0</v>
      </c>
      <c r="U85" s="327">
        <f t="shared" si="58"/>
        <v>0</v>
      </c>
      <c r="V85" s="327">
        <f t="shared" si="58"/>
        <v>0</v>
      </c>
      <c r="W85" s="327">
        <f t="shared" si="58"/>
        <v>0</v>
      </c>
      <c r="X85" s="327">
        <f t="shared" si="58"/>
        <v>0</v>
      </c>
      <c r="Y85" s="14">
        <f t="shared" si="29"/>
        <v>0</v>
      </c>
      <c r="Z85" s="15">
        <v>0.18112413889844414</v>
      </c>
      <c r="AA85" s="15">
        <v>0.42955043930772852</v>
      </c>
      <c r="AB85" s="15">
        <v>0.3893254217938274</v>
      </c>
      <c r="AC85" s="15">
        <v>0</v>
      </c>
      <c r="AD85" s="15">
        <v>0</v>
      </c>
      <c r="AE85" s="15">
        <v>0</v>
      </c>
      <c r="AF85" s="15">
        <v>0</v>
      </c>
      <c r="AG85" s="16">
        <f t="shared" si="59"/>
        <v>1</v>
      </c>
      <c r="AH85" t="b">
        <f t="shared" si="56"/>
        <v>1</v>
      </c>
      <c r="AI85" s="5">
        <v>500.15046310508262</v>
      </c>
    </row>
    <row r="86" spans="2:35" x14ac:dyDescent="0.3">
      <c r="B86" s="232"/>
      <c r="C86" s="171" t="s">
        <v>480</v>
      </c>
      <c r="D86" s="171" t="str">
        <f>Unit_Rates!G97</f>
        <v>Distribution system assets</v>
      </c>
      <c r="E86" s="171" t="str">
        <f>Unit_Rates!H97</f>
        <v>Augmentation</v>
      </c>
      <c r="F86" s="171" t="str">
        <f t="shared" si="60"/>
        <v>Distribution system assetsAugmentation</v>
      </c>
      <c r="G86" s="228">
        <f>Unit_Rates!I97</f>
        <v>464.96470387554706</v>
      </c>
      <c r="H86" s="456">
        <f>INDEX(Feeder_Vols!$C$48:$F$56,MATCH($B$3,Feeder_Vols!$B$48:$B$56,0),3)</f>
        <v>0</v>
      </c>
      <c r="I86" s="264" t="s">
        <v>292</v>
      </c>
      <c r="J86" s="171"/>
      <c r="K86" s="268">
        <f t="shared" si="61"/>
        <v>0</v>
      </c>
      <c r="L86" s="268">
        <f>SUMPRODUCT(R$5:X$5,R86:X86)/Thousands</f>
        <v>0</v>
      </c>
      <c r="M86" s="268">
        <f>$H86*Unit_Rates!K97</f>
        <v>0</v>
      </c>
      <c r="N86" s="268">
        <f>$H86*Unit_Rates!L97</f>
        <v>0</v>
      </c>
      <c r="O86" s="268">
        <f>$H86*Unit_Rates!M97</f>
        <v>0</v>
      </c>
      <c r="P86" s="228">
        <f t="shared" si="62"/>
        <v>0</v>
      </c>
      <c r="Q86" s="28">
        <f>P86-H86*Unit_Rates!$E97</f>
        <v>0</v>
      </c>
      <c r="R86" s="327">
        <f t="shared" si="58"/>
        <v>0</v>
      </c>
      <c r="S86" s="327">
        <f t="shared" si="58"/>
        <v>0</v>
      </c>
      <c r="T86" s="327">
        <f t="shared" si="58"/>
        <v>0</v>
      </c>
      <c r="U86" s="327">
        <f t="shared" si="58"/>
        <v>0</v>
      </c>
      <c r="V86" s="327">
        <f t="shared" si="58"/>
        <v>0</v>
      </c>
      <c r="W86" s="327">
        <f t="shared" si="58"/>
        <v>0</v>
      </c>
      <c r="X86" s="327">
        <f t="shared" si="58"/>
        <v>0</v>
      </c>
      <c r="Y86" s="14">
        <f t="shared" si="29"/>
        <v>0</v>
      </c>
      <c r="Z86" s="15">
        <v>0.18112413889844414</v>
      </c>
      <c r="AA86" s="15">
        <v>0.42955043930772852</v>
      </c>
      <c r="AB86" s="15">
        <v>0.3893254217938274</v>
      </c>
      <c r="AC86" s="15">
        <v>0</v>
      </c>
      <c r="AD86" s="15">
        <v>0</v>
      </c>
      <c r="AE86" s="15">
        <v>0</v>
      </c>
      <c r="AF86" s="15">
        <v>0</v>
      </c>
      <c r="AG86" s="16">
        <f t="shared" si="59"/>
        <v>1</v>
      </c>
      <c r="AH86" t="b">
        <f t="shared" si="56"/>
        <v>1</v>
      </c>
      <c r="AI86" s="5">
        <v>416.11120533381393</v>
      </c>
    </row>
    <row r="87" spans="2:35" x14ac:dyDescent="0.3">
      <c r="B87" s="232"/>
      <c r="C87" s="171" t="s">
        <v>295</v>
      </c>
      <c r="D87" s="171" t="str">
        <f>Unit_Rates!G98</f>
        <v>Distribution system assets</v>
      </c>
      <c r="E87" s="171" t="str">
        <f>Unit_Rates!H98</f>
        <v>Replacement</v>
      </c>
      <c r="F87" s="171" t="str">
        <f t="shared" si="60"/>
        <v>Distribution system assetsReplacement</v>
      </c>
      <c r="G87" s="228">
        <f>Unit_Rates!I98</f>
        <v>26.699079189686927</v>
      </c>
      <c r="H87" s="456">
        <f>INDEX(Feeder_Vols!$C$48:$I$56,MATCH($B$3,Feeder_Vols!$B$48:$B$56,0),7)</f>
        <v>0</v>
      </c>
      <c r="I87" s="264" t="s">
        <v>292</v>
      </c>
      <c r="J87" s="171"/>
      <c r="K87" s="268">
        <f t="shared" si="61"/>
        <v>0</v>
      </c>
      <c r="L87" s="268">
        <f>SUMPRODUCT(R$5:X$5,R87:X87)/Thousands</f>
        <v>0</v>
      </c>
      <c r="M87" s="268">
        <f>$H87*Unit_Rates!K98</f>
        <v>0</v>
      </c>
      <c r="N87" s="268">
        <f>$H87*Unit_Rates!L98</f>
        <v>0</v>
      </c>
      <c r="O87" s="268">
        <f>$H87*Unit_Rates!M98</f>
        <v>0</v>
      </c>
      <c r="P87" s="228">
        <f t="shared" si="62"/>
        <v>0</v>
      </c>
      <c r="Q87" s="28">
        <f>P87-H87*Unit_Rates!$E98</f>
        <v>0</v>
      </c>
      <c r="R87" s="327">
        <f t="shared" si="58"/>
        <v>0</v>
      </c>
      <c r="S87" s="327">
        <f t="shared" si="58"/>
        <v>0</v>
      </c>
      <c r="T87" s="327">
        <f t="shared" si="58"/>
        <v>0</v>
      </c>
      <c r="U87" s="327">
        <f t="shared" si="58"/>
        <v>0</v>
      </c>
      <c r="V87" s="327">
        <f t="shared" si="58"/>
        <v>0</v>
      </c>
      <c r="W87" s="327">
        <f t="shared" si="58"/>
        <v>0</v>
      </c>
      <c r="X87" s="327">
        <f t="shared" si="58"/>
        <v>0</v>
      </c>
      <c r="Y87" s="14">
        <f t="shared" si="29"/>
        <v>0</v>
      </c>
      <c r="Z87" s="15">
        <v>0.30314923274650013</v>
      </c>
      <c r="AA87" s="15">
        <v>0.32449777026385929</v>
      </c>
      <c r="AB87" s="15">
        <v>0.37235299698964064</v>
      </c>
      <c r="AC87" s="15">
        <v>0</v>
      </c>
      <c r="AD87" s="15">
        <v>0</v>
      </c>
      <c r="AE87" s="15">
        <v>0</v>
      </c>
      <c r="AF87" s="15">
        <v>0</v>
      </c>
      <c r="AG87" s="16">
        <f t="shared" si="59"/>
        <v>1</v>
      </c>
      <c r="AH87" t="b">
        <f t="shared" si="56"/>
        <v>1</v>
      </c>
      <c r="AI87" s="5">
        <v>53.863654268137608</v>
      </c>
    </row>
    <row r="88" spans="2:35" x14ac:dyDescent="0.3">
      <c r="B88" s="232"/>
      <c r="C88" s="171"/>
      <c r="D88" s="171"/>
      <c r="E88" s="171"/>
      <c r="F88" s="171"/>
      <c r="G88" s="224"/>
      <c r="H88" s="232"/>
      <c r="I88" s="224"/>
      <c r="J88" s="171"/>
      <c r="K88" s="235"/>
      <c r="L88" s="235"/>
      <c r="M88" s="235"/>
      <c r="N88" s="235"/>
      <c r="O88" s="235"/>
      <c r="P88" s="224"/>
    </row>
    <row r="89" spans="2:35" x14ac:dyDescent="0.3">
      <c r="B89" s="251" t="s">
        <v>283</v>
      </c>
      <c r="C89" s="171"/>
      <c r="D89" s="171"/>
      <c r="E89" s="171"/>
      <c r="F89" s="171"/>
      <c r="G89" s="224"/>
      <c r="H89" s="232"/>
      <c r="I89" s="224"/>
      <c r="J89" s="171"/>
      <c r="K89" s="319">
        <f>SUM(K71:K87)</f>
        <v>1947.2013084520452</v>
      </c>
      <c r="L89" s="319">
        <f t="shared" ref="L89:P89" si="63">SUM(L71:L87)</f>
        <v>1309.6104725465643</v>
      </c>
      <c r="M89" s="319">
        <f t="shared" si="63"/>
        <v>246.60054397778546</v>
      </c>
      <c r="N89" s="319">
        <f t="shared" si="63"/>
        <v>3847.8792355062042</v>
      </c>
      <c r="O89" s="319">
        <f t="shared" si="63"/>
        <v>294.04592327357688</v>
      </c>
      <c r="P89" s="319">
        <f t="shared" si="63"/>
        <v>7645.3374837561769</v>
      </c>
    </row>
    <row r="90" spans="2:35" x14ac:dyDescent="0.3">
      <c r="B90" s="259" t="s">
        <v>55</v>
      </c>
      <c r="C90" s="260"/>
      <c r="D90" s="260"/>
      <c r="E90" s="260"/>
      <c r="F90" s="260"/>
      <c r="G90" s="260"/>
      <c r="H90" s="260"/>
      <c r="I90" s="260"/>
      <c r="J90" s="260"/>
      <c r="K90" s="323">
        <f>K89-SUMIF(Direct_Capex_Totals!$B$19:$B$109,$B$3,Direct_Capex_Totals!Q$19:Q$109)</f>
        <v>0</v>
      </c>
      <c r="L90" s="323">
        <f>L89-SUMIF(Direct_Capex_Totals!$B$19:$B$109,$B$3,Direct_Capex_Totals!R$19:R$109)</f>
        <v>0</v>
      </c>
      <c r="M90" s="323">
        <f>M89-SUMIF(Direct_Capex_Totals!$B$19:$B$109,$B$3,Direct_Capex_Totals!S$19:S$109)</f>
        <v>0</v>
      </c>
      <c r="N90" s="323">
        <f>N89-SUMIF(Direct_Capex_Totals!$B$19:$B$109,$B$3,Direct_Capex_Totals!T$19:T$109)</f>
        <v>0</v>
      </c>
      <c r="O90" s="323">
        <f>O89-SUMIF(Direct_Capex_Totals!$B$19:$B$109,$B$3,Direct_Capex_Totals!U$19:U$109)</f>
        <v>0</v>
      </c>
      <c r="P90" s="324">
        <f>SUM(K90:O90)</f>
        <v>0</v>
      </c>
      <c r="Q90" s="11"/>
    </row>
    <row r="91" spans="2:35" x14ac:dyDescent="0.3">
      <c r="B91" s="232"/>
      <c r="C91" s="171"/>
      <c r="D91" s="171"/>
      <c r="E91" s="171"/>
      <c r="F91" s="171"/>
      <c r="G91" s="171"/>
      <c r="H91" s="171"/>
      <c r="I91" s="171"/>
      <c r="J91" s="171"/>
      <c r="K91" s="157"/>
      <c r="L91" s="157"/>
      <c r="M91" s="157"/>
      <c r="N91" s="157"/>
      <c r="O91" s="157"/>
      <c r="P91" s="233"/>
    </row>
    <row r="92" spans="2:35" x14ac:dyDescent="0.3">
      <c r="B92" s="251" t="s">
        <v>103</v>
      </c>
      <c r="C92" s="252"/>
      <c r="D92" s="252"/>
      <c r="E92" s="252"/>
      <c r="F92" s="252"/>
      <c r="G92" s="252"/>
      <c r="H92" s="252"/>
      <c r="I92" s="252"/>
      <c r="J92" s="252"/>
      <c r="K92" s="26">
        <f>K58+K89</f>
        <v>5352.7283175829762</v>
      </c>
      <c r="L92" s="26">
        <f>L58+L89</f>
        <v>2101.6909725465639</v>
      </c>
      <c r="M92" s="26">
        <f t="shared" ref="M92" si="64">M58+M89</f>
        <v>891.15868351266909</v>
      </c>
      <c r="N92" s="26">
        <f>N58+N89</f>
        <v>5654.7555313390021</v>
      </c>
      <c r="O92" s="26">
        <f>O58+O89</f>
        <v>602.07392488735047</v>
      </c>
      <c r="P92" s="253">
        <f>P58+P89</f>
        <v>14602.407429868563</v>
      </c>
    </row>
    <row r="93" spans="2:35" x14ac:dyDescent="0.3">
      <c r="B93" s="258" t="s">
        <v>55</v>
      </c>
      <c r="C93" s="254"/>
      <c r="D93" s="254"/>
      <c r="E93" s="254"/>
      <c r="F93" s="254"/>
      <c r="G93" s="254"/>
      <c r="H93" s="254"/>
      <c r="I93" s="254"/>
      <c r="J93" s="254"/>
      <c r="K93" s="255">
        <f>K92-SUMIF(Direct_Capex_Totals!$B$132:$B$140,$B$3,Direct_Capex_Totals!Q$132:Q$140)</f>
        <v>0</v>
      </c>
      <c r="L93" s="255">
        <f>L92-SUMIF(Direct_Capex_Totals!$B$132:$B$140,$B$3,Direct_Capex_Totals!R$132:R$140)</f>
        <v>0</v>
      </c>
      <c r="M93" s="255">
        <f>M92-SUMIF(Direct_Capex_Totals!$B$132:$B$140,$B$3,Direct_Capex_Totals!S$132:S$140)</f>
        <v>0</v>
      </c>
      <c r="N93" s="256">
        <f>N92-SUMIF(Direct_Capex_Totals!$B$132:$B$140,$B$3,Direct_Capex_Totals!T$132:T$140)</f>
        <v>0</v>
      </c>
      <c r="O93" s="255">
        <f>O92-SUMIF(Direct_Capex_Totals!$B$132:$B$140,$B$3,Direct_Capex_Totals!U$132:U$140)</f>
        <v>0</v>
      </c>
      <c r="P93" s="257">
        <f>SUM(K93:O93)</f>
        <v>0</v>
      </c>
    </row>
    <row r="96" spans="2:35" hidden="1" outlineLevel="1" x14ac:dyDescent="0.3">
      <c r="C96" t="s">
        <v>261</v>
      </c>
      <c r="D96" t="s">
        <v>18</v>
      </c>
      <c r="E96" t="s">
        <v>42</v>
      </c>
      <c r="F96" s="171" t="str">
        <f t="shared" ref="F96:F116" si="65">D96&amp;E96</f>
        <v>SubtransmissionAugmentation</v>
      </c>
      <c r="K96" s="6">
        <v>855.31325836358849</v>
      </c>
      <c r="L96" s="6">
        <v>0</v>
      </c>
      <c r="M96" s="6">
        <v>0</v>
      </c>
      <c r="N96" s="6">
        <v>1468.1091521863893</v>
      </c>
      <c r="O96" s="6">
        <v>303.60105870401304</v>
      </c>
      <c r="P96" s="6">
        <v>2627.0234692539912</v>
      </c>
    </row>
    <row r="97" spans="3:16" hidden="1" outlineLevel="1" x14ac:dyDescent="0.3">
      <c r="D97" t="s">
        <v>18</v>
      </c>
      <c r="E97" t="s">
        <v>44</v>
      </c>
      <c r="F97" s="171" t="str">
        <f t="shared" si="65"/>
        <v>SubtransmissionReplacement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</row>
    <row r="98" spans="3:16" hidden="1" outlineLevel="1" x14ac:dyDescent="0.3">
      <c r="D98" t="s">
        <v>22</v>
      </c>
      <c r="E98" t="s">
        <v>42</v>
      </c>
      <c r="F98" s="171" t="str">
        <f t="shared" si="65"/>
        <v>SCADA/Network controlAugmentation</v>
      </c>
      <c r="K98" s="6">
        <v>2550.2137507673419</v>
      </c>
      <c r="L98" s="6">
        <v>0</v>
      </c>
      <c r="M98" s="6">
        <v>0</v>
      </c>
      <c r="N98" s="6">
        <v>338.76714364640884</v>
      </c>
      <c r="O98" s="6">
        <v>4.426942909760589</v>
      </c>
      <c r="P98" s="6">
        <v>2893.4078373235116</v>
      </c>
    </row>
    <row r="99" spans="3:16" hidden="1" outlineLevel="1" x14ac:dyDescent="0.3">
      <c r="D99" t="s">
        <v>22</v>
      </c>
      <c r="E99" t="s">
        <v>44</v>
      </c>
      <c r="F99" s="171" t="str">
        <f t="shared" si="65"/>
        <v>SCADA/Network controlReplacement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</row>
    <row r="100" spans="3:16" hidden="1" outlineLevel="1" x14ac:dyDescent="0.3">
      <c r="D100" t="s">
        <v>195</v>
      </c>
      <c r="E100" t="s">
        <v>66</v>
      </c>
      <c r="F100" s="171" t="str">
        <f t="shared" si="65"/>
        <v>LandNon-Network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</row>
    <row r="101" spans="3:16" hidden="1" outlineLevel="1" x14ac:dyDescent="0.3">
      <c r="F101" s="171"/>
      <c r="K101" s="6">
        <v>3405.5270091309303</v>
      </c>
      <c r="L101" s="6">
        <v>0</v>
      </c>
      <c r="M101" s="6">
        <v>0</v>
      </c>
      <c r="N101" s="6">
        <v>1806.8762958327982</v>
      </c>
      <c r="O101" s="6">
        <v>308.02800161377365</v>
      </c>
      <c r="P101" s="6">
        <v>5520.4313065775023</v>
      </c>
    </row>
    <row r="102" spans="3:16" hidden="1" outlineLevel="1" x14ac:dyDescent="0.3">
      <c r="C102" t="s">
        <v>368</v>
      </c>
      <c r="D102" t="s">
        <v>18</v>
      </c>
      <c r="E102" t="s">
        <v>42</v>
      </c>
      <c r="F102" s="171" t="str">
        <f t="shared" ref="F102:F106" si="66">D102&amp;E102</f>
        <v>SubtransmissionAugmentation</v>
      </c>
      <c r="K102" s="6"/>
      <c r="L102" s="6">
        <v>376.92961790126435</v>
      </c>
      <c r="M102" s="6">
        <v>306.72772937855882</v>
      </c>
      <c r="N102" s="6">
        <v>0</v>
      </c>
      <c r="O102" s="6"/>
      <c r="P102" s="6">
        <v>683.65734727982317</v>
      </c>
    </row>
    <row r="103" spans="3:16" hidden="1" outlineLevel="1" x14ac:dyDescent="0.3">
      <c r="D103" t="s">
        <v>18</v>
      </c>
      <c r="E103" t="s">
        <v>44</v>
      </c>
      <c r="F103" s="171" t="str">
        <f t="shared" si="66"/>
        <v>SubtransmissionReplacement</v>
      </c>
      <c r="K103" s="6"/>
      <c r="L103" s="6">
        <v>0</v>
      </c>
      <c r="M103" s="6">
        <v>0</v>
      </c>
      <c r="N103" s="6">
        <v>0</v>
      </c>
      <c r="O103" s="6"/>
      <c r="P103" s="6">
        <v>0</v>
      </c>
    </row>
    <row r="104" spans="3:16" hidden="1" outlineLevel="1" x14ac:dyDescent="0.3">
      <c r="D104" t="s">
        <v>22</v>
      </c>
      <c r="E104" t="s">
        <v>42</v>
      </c>
      <c r="F104" s="171" t="str">
        <f t="shared" si="66"/>
        <v>SCADA/Network controlAugmentation</v>
      </c>
      <c r="K104" s="6"/>
      <c r="L104" s="6">
        <v>415.15088209873551</v>
      </c>
      <c r="M104" s="6">
        <v>337.83041015632483</v>
      </c>
      <c r="N104" s="6">
        <v>0</v>
      </c>
      <c r="O104" s="6"/>
      <c r="P104" s="6">
        <v>752.98129225506034</v>
      </c>
    </row>
    <row r="105" spans="3:16" hidden="1" outlineLevel="1" x14ac:dyDescent="0.3">
      <c r="D105" t="s">
        <v>22</v>
      </c>
      <c r="E105" t="s">
        <v>44</v>
      </c>
      <c r="F105" s="171" t="str">
        <f t="shared" si="66"/>
        <v>SCADA/Network controlReplacement</v>
      </c>
      <c r="K105" s="6"/>
      <c r="L105" s="6">
        <v>0</v>
      </c>
      <c r="M105" s="6">
        <v>0</v>
      </c>
      <c r="N105" s="6">
        <v>0</v>
      </c>
      <c r="O105" s="6"/>
      <c r="P105" s="6">
        <v>0</v>
      </c>
    </row>
    <row r="106" spans="3:16" hidden="1" outlineLevel="1" x14ac:dyDescent="0.3">
      <c r="D106" t="s">
        <v>195</v>
      </c>
      <c r="E106" t="s">
        <v>66</v>
      </c>
      <c r="F106" s="171" t="str">
        <f t="shared" si="66"/>
        <v>LandNon-Network</v>
      </c>
      <c r="K106" s="39"/>
      <c r="L106" s="39">
        <v>0</v>
      </c>
      <c r="M106" s="39">
        <v>0</v>
      </c>
      <c r="N106" s="39">
        <v>0</v>
      </c>
      <c r="O106" s="39"/>
      <c r="P106" s="39">
        <v>0</v>
      </c>
    </row>
    <row r="107" spans="3:16" hidden="1" outlineLevel="1" x14ac:dyDescent="0.3">
      <c r="F107" s="171"/>
      <c r="K107" s="6">
        <v>0</v>
      </c>
      <c r="L107" s="6">
        <v>792.0804999999998</v>
      </c>
      <c r="M107" s="6">
        <v>644.55813953488359</v>
      </c>
      <c r="N107" s="6">
        <v>0</v>
      </c>
      <c r="O107" s="6">
        <v>0</v>
      </c>
      <c r="P107" s="6">
        <v>1436.6386395348836</v>
      </c>
    </row>
    <row r="108" spans="3:16" hidden="1" outlineLevel="1" x14ac:dyDescent="0.3">
      <c r="C108" t="s">
        <v>377</v>
      </c>
      <c r="D108" t="s">
        <v>18</v>
      </c>
      <c r="E108" t="s">
        <v>42</v>
      </c>
      <c r="F108" s="171" t="str">
        <f t="shared" ref="F108:F112" si="67">D108&amp;E108</f>
        <v>SubtransmissionAugmentation</v>
      </c>
      <c r="K108" s="6">
        <v>855.31325836358849</v>
      </c>
      <c r="L108" s="6">
        <v>376.92961790126435</v>
      </c>
      <c r="M108" s="6">
        <v>306.72772937855882</v>
      </c>
      <c r="N108" s="6">
        <v>1468.1091521863893</v>
      </c>
      <c r="O108" s="6">
        <v>303.60105870401304</v>
      </c>
      <c r="P108" s="6">
        <v>3310.6808165338143</v>
      </c>
    </row>
    <row r="109" spans="3:16" hidden="1" outlineLevel="1" x14ac:dyDescent="0.3">
      <c r="D109" t="s">
        <v>18</v>
      </c>
      <c r="E109" t="s">
        <v>44</v>
      </c>
      <c r="F109" s="171" t="str">
        <f t="shared" si="67"/>
        <v>SubtransmissionReplacement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</row>
    <row r="110" spans="3:16" hidden="1" outlineLevel="1" x14ac:dyDescent="0.3">
      <c r="D110" t="s">
        <v>22</v>
      </c>
      <c r="E110" t="s">
        <v>42</v>
      </c>
      <c r="F110" s="171" t="str">
        <f t="shared" si="67"/>
        <v>SCADA/Network controlAugmentation</v>
      </c>
      <c r="K110" s="6">
        <v>2550.2137507673419</v>
      </c>
      <c r="L110" s="6">
        <v>415.15088209873551</v>
      </c>
      <c r="M110" s="6">
        <v>337.83041015632483</v>
      </c>
      <c r="N110" s="6">
        <v>338.76714364640884</v>
      </c>
      <c r="O110" s="6">
        <v>4.426942909760589</v>
      </c>
      <c r="P110" s="6">
        <v>3646.389129578572</v>
      </c>
    </row>
    <row r="111" spans="3:16" hidden="1" outlineLevel="1" x14ac:dyDescent="0.3">
      <c r="D111" t="s">
        <v>22</v>
      </c>
      <c r="E111" t="s">
        <v>44</v>
      </c>
      <c r="F111" s="171" t="str">
        <f t="shared" si="67"/>
        <v>SCADA/Network controlReplacement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3:16" hidden="1" outlineLevel="1" x14ac:dyDescent="0.3">
      <c r="D112" t="s">
        <v>195</v>
      </c>
      <c r="E112" t="s">
        <v>66</v>
      </c>
      <c r="F112" s="171" t="str">
        <f t="shared" si="67"/>
        <v>LandNon-Network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</row>
    <row r="113" spans="3:16" hidden="1" outlineLevel="1" x14ac:dyDescent="0.3">
      <c r="F113" s="171"/>
      <c r="K113" s="6">
        <v>3405.5270091309303</v>
      </c>
      <c r="L113" s="6">
        <v>792.0804999999998</v>
      </c>
      <c r="M113" s="6">
        <v>644.55813953488359</v>
      </c>
      <c r="N113" s="6">
        <v>1806.8762958327982</v>
      </c>
      <c r="O113" s="6">
        <v>308.02800161377365</v>
      </c>
      <c r="P113" s="6">
        <v>6957.0699461123859</v>
      </c>
    </row>
    <row r="114" spans="3:16" hidden="1" outlineLevel="1" x14ac:dyDescent="0.3">
      <c r="F114" s="171"/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</row>
    <row r="115" spans="3:16" hidden="1" outlineLevel="1" x14ac:dyDescent="0.3">
      <c r="C115" t="s">
        <v>17</v>
      </c>
      <c r="D115" t="s">
        <v>19</v>
      </c>
      <c r="E115" t="s">
        <v>42</v>
      </c>
      <c r="F115" s="171" t="str">
        <f t="shared" si="65"/>
        <v>Distribution system assetsAugmentation</v>
      </c>
      <c r="K115" s="6">
        <v>629.76800930232548</v>
      </c>
      <c r="L115" s="6">
        <v>280.74020102681311</v>
      </c>
      <c r="M115" s="6">
        <v>163.1872465116279</v>
      </c>
      <c r="N115" s="6">
        <v>1596.8027350733275</v>
      </c>
      <c r="O115" s="6">
        <v>174.76769866864177</v>
      </c>
      <c r="P115" s="6">
        <v>2845.2658905827357</v>
      </c>
    </row>
    <row r="116" spans="3:16" hidden="1" outlineLevel="1" x14ac:dyDescent="0.3">
      <c r="D116" t="s">
        <v>19</v>
      </c>
      <c r="E116" t="s">
        <v>44</v>
      </c>
      <c r="F116" s="171" t="str">
        <f t="shared" si="65"/>
        <v>Distribution system assetsReplacement</v>
      </c>
      <c r="K116" s="39">
        <v>0</v>
      </c>
      <c r="L116" s="39">
        <v>5.3472517226538221</v>
      </c>
      <c r="M116" s="39">
        <v>0</v>
      </c>
      <c r="N116" s="39">
        <v>135.22454932093018</v>
      </c>
      <c r="O116" s="39">
        <v>0</v>
      </c>
      <c r="P116" s="39">
        <v>140.571801043584</v>
      </c>
    </row>
    <row r="117" spans="3:16" hidden="1" outlineLevel="1" x14ac:dyDescent="0.3">
      <c r="K117" s="14">
        <v>629.76800930232548</v>
      </c>
      <c r="L117" s="14">
        <v>286.08745274946693</v>
      </c>
      <c r="M117" s="14">
        <v>163.1872465116279</v>
      </c>
      <c r="N117" s="14">
        <v>1732.0272843942578</v>
      </c>
      <c r="O117" s="14">
        <v>174.76769866864177</v>
      </c>
      <c r="P117" s="14">
        <v>2985.8376916263196</v>
      </c>
    </row>
    <row r="118" spans="3:16" hidden="1" outlineLevel="1" x14ac:dyDescent="0.3">
      <c r="K118" s="19">
        <f>K117-K71</f>
        <v>0</v>
      </c>
      <c r="L118" s="19">
        <f t="shared" ref="L118:P118" si="68">L117-L71</f>
        <v>0</v>
      </c>
      <c r="M118" s="19">
        <f t="shared" si="68"/>
        <v>0</v>
      </c>
      <c r="N118" s="19">
        <f t="shared" si="68"/>
        <v>0</v>
      </c>
      <c r="O118" s="19">
        <f t="shared" si="68"/>
        <v>0</v>
      </c>
      <c r="P118" s="19">
        <f t="shared" si="68"/>
        <v>0</v>
      </c>
    </row>
    <row r="119" spans="3:16" collapsed="1" x14ac:dyDescent="0.3"/>
  </sheetData>
  <mergeCells count="3">
    <mergeCell ref="G3:I3"/>
    <mergeCell ref="K3:P3"/>
    <mergeCell ref="R3:X3"/>
  </mergeCells>
  <pageMargins left="0.25" right="0.25" top="0.75" bottom="0.75" header="0.3" footer="0.3"/>
  <pageSetup paperSize="9" scale="72" fitToHeight="0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B1:AJ118"/>
  <sheetViews>
    <sheetView zoomScale="85" zoomScaleNormal="85" workbookViewId="0">
      <pane xSplit="3" ySplit="4" topLeftCell="G5" activePane="bottomRight" state="frozen"/>
      <selection activeCell="N1" sqref="N1"/>
      <selection pane="topRight" activeCell="N1" sqref="N1"/>
      <selection pane="bottomLeft" activeCell="N1" sqref="N1"/>
      <selection pane="bottomRight" activeCell="P5" sqref="P5"/>
    </sheetView>
  </sheetViews>
  <sheetFormatPr defaultRowHeight="14.4" outlineLevelRow="1" outlineLevelCol="1" x14ac:dyDescent="0.3"/>
  <cols>
    <col min="1" max="1" width="2.33203125" customWidth="1"/>
    <col min="2" max="2" width="3" customWidth="1"/>
    <col min="3" max="3" width="52" customWidth="1"/>
    <col min="4" max="4" width="19.6640625" hidden="1" customWidth="1" outlineLevel="1"/>
    <col min="5" max="6" width="15.33203125" hidden="1" customWidth="1" outlineLevel="1"/>
    <col min="7" max="7" width="9.33203125" customWidth="1" collapsed="1"/>
    <col min="8" max="8" width="8.6640625" customWidth="1"/>
    <col min="9" max="9" width="10.6640625" customWidth="1"/>
    <col min="10" max="10" width="2.33203125" customWidth="1"/>
    <col min="11" max="11" width="10" bestFit="1" customWidth="1"/>
    <col min="12" max="12" width="9.44140625" bestFit="1" customWidth="1"/>
    <col min="13" max="13" width="9.44140625" customWidth="1"/>
    <col min="14" max="14" width="12.33203125" customWidth="1"/>
    <col min="15" max="15" width="9.109375" bestFit="1" customWidth="1"/>
    <col min="16" max="16" width="10.33203125" customWidth="1"/>
    <col min="17" max="18" width="9.33203125" bestFit="1" customWidth="1"/>
    <col min="19" max="19" width="10.33203125" customWidth="1"/>
    <col min="20" max="20" width="9.5546875" bestFit="1" customWidth="1"/>
    <col min="26" max="35" width="8.88671875" hidden="1" customWidth="1" outlineLevel="1"/>
    <col min="36" max="36" width="8.88671875" collapsed="1"/>
  </cols>
  <sheetData>
    <row r="1" spans="2:25" x14ac:dyDescent="0.3">
      <c r="N1" s="567" t="s">
        <v>425</v>
      </c>
    </row>
    <row r="2" spans="2:25" x14ac:dyDescent="0.3">
      <c r="B2" s="22" t="str">
        <f>STN_9&amp;" Volumes &amp; Unit Rates"</f>
        <v>[spare] Volumes &amp; Unit Rates</v>
      </c>
      <c r="R2" s="176"/>
      <c r="S2" s="176"/>
      <c r="T2" s="176"/>
      <c r="U2" s="176"/>
      <c r="V2" s="176"/>
      <c r="W2" s="176"/>
      <c r="X2" s="176"/>
    </row>
    <row r="3" spans="2:25" x14ac:dyDescent="0.3">
      <c r="B3" t="str">
        <f>STN_9</f>
        <v>[spare]</v>
      </c>
      <c r="G3" s="596" t="s">
        <v>135</v>
      </c>
      <c r="H3" s="597"/>
      <c r="I3" s="598"/>
      <c r="K3" s="596" t="s">
        <v>633</v>
      </c>
      <c r="L3" s="597"/>
      <c r="M3" s="597"/>
      <c r="N3" s="597"/>
      <c r="O3" s="597"/>
      <c r="P3" s="598"/>
      <c r="R3" s="596" t="s">
        <v>352</v>
      </c>
      <c r="S3" s="597"/>
      <c r="T3" s="597"/>
      <c r="U3" s="597"/>
      <c r="V3" s="597"/>
      <c r="W3" s="597"/>
      <c r="X3" s="598"/>
    </row>
    <row r="4" spans="2:25" ht="45" customHeight="1" x14ac:dyDescent="0.3">
      <c r="D4" t="s">
        <v>362</v>
      </c>
      <c r="E4" t="s">
        <v>84</v>
      </c>
      <c r="G4" s="221" t="s">
        <v>634</v>
      </c>
      <c r="H4" s="230" t="s">
        <v>265</v>
      </c>
      <c r="I4" s="220" t="s">
        <v>293</v>
      </c>
      <c r="K4" s="220" t="s">
        <v>135</v>
      </c>
      <c r="L4" s="220" t="s">
        <v>290</v>
      </c>
      <c r="M4" s="295" t="s">
        <v>136</v>
      </c>
      <c r="N4" s="221" t="s">
        <v>137</v>
      </c>
      <c r="O4" s="220" t="s">
        <v>60</v>
      </c>
      <c r="P4" s="220" t="s">
        <v>291</v>
      </c>
      <c r="Q4" s="266" t="s">
        <v>114</v>
      </c>
      <c r="R4" s="298" t="s">
        <v>285</v>
      </c>
      <c r="S4" s="298" t="s">
        <v>289</v>
      </c>
      <c r="T4" s="298" t="s">
        <v>256</v>
      </c>
      <c r="U4" s="298" t="s">
        <v>286</v>
      </c>
      <c r="V4" s="298" t="s">
        <v>287</v>
      </c>
      <c r="W4" s="298" t="s">
        <v>288</v>
      </c>
      <c r="X4" s="298" t="s">
        <v>345</v>
      </c>
      <c r="Y4" s="460" t="s">
        <v>485</v>
      </c>
    </row>
    <row r="5" spans="2:25" x14ac:dyDescent="0.3">
      <c r="B5" s="248" t="s">
        <v>314</v>
      </c>
      <c r="C5" s="292"/>
      <c r="D5" s="292"/>
      <c r="E5" s="292"/>
      <c r="F5" s="292"/>
      <c r="G5" s="221"/>
      <c r="H5" s="293"/>
      <c r="I5" s="294"/>
      <c r="J5" s="292"/>
      <c r="K5" s="294"/>
      <c r="L5" s="294"/>
      <c r="M5" s="294"/>
      <c r="N5" s="295"/>
      <c r="O5" s="294"/>
      <c r="P5" s="294"/>
      <c r="R5" s="325">
        <f>Lab_Rates!$C$6*(1+Escalators!C5)*(1+Escalators!C15)</f>
        <v>158.45839054425579</v>
      </c>
      <c r="S5" s="325">
        <f>Lab_Rates!$C$7*(1+Escalators!C5)*(1+Escalators!C15)</f>
        <v>148.03349642950209</v>
      </c>
      <c r="T5" s="325">
        <f>Lab_Rates!$C$8*(1+Escalators!C5)*(1+Escalators!C15)</f>
        <v>172.01075289343555</v>
      </c>
      <c r="U5" s="325">
        <f>Lab_Rates!$C$9*(1+Escalators!C5)*(1+Escalators!C15)</f>
        <v>224.1352234672039</v>
      </c>
      <c r="V5" s="325">
        <f>Lab_Rates!$C$6*(1+Escalators!C5)*(1+Escalators!C15)</f>
        <v>158.45839054425579</v>
      </c>
      <c r="W5" s="325">
        <f>Lab_Rates!$C$10*(1+Escalators!C5)*(1+Escalators!C15)</f>
        <v>158.45839054425579</v>
      </c>
      <c r="X5" s="325">
        <f>Lab_Rates!$C$5*(1+Escalators!C5)*(1+Escalators!C15)</f>
        <v>130.31117643442087</v>
      </c>
    </row>
    <row r="6" spans="2:25" x14ac:dyDescent="0.3">
      <c r="B6" s="251"/>
      <c r="C6" s="171"/>
      <c r="D6" s="171"/>
      <c r="E6" s="171"/>
      <c r="F6" s="171"/>
      <c r="G6" s="271"/>
      <c r="H6" s="231"/>
      <c r="I6" s="264"/>
      <c r="K6" s="271"/>
      <c r="L6" s="271"/>
      <c r="M6" s="271"/>
      <c r="N6" s="222"/>
      <c r="O6" s="271"/>
      <c r="P6" s="223"/>
      <c r="R6" s="326"/>
      <c r="S6" s="326"/>
      <c r="T6" s="326"/>
      <c r="U6" s="326"/>
      <c r="V6" s="326"/>
      <c r="W6" s="326"/>
      <c r="X6" s="326"/>
    </row>
    <row r="7" spans="2:25" x14ac:dyDescent="0.3">
      <c r="B7" s="232" t="s">
        <v>315</v>
      </c>
      <c r="D7" t="s">
        <v>365</v>
      </c>
      <c r="E7" t="s">
        <v>365</v>
      </c>
      <c r="G7" s="309"/>
      <c r="H7" s="314"/>
      <c r="I7" s="315"/>
      <c r="K7" s="309"/>
      <c r="L7" s="271">
        <f>SUMPRODUCT(R$5:X$5,R7:X7)/Thousands</f>
        <v>0</v>
      </c>
      <c r="M7" s="447"/>
      <c r="N7" s="447"/>
      <c r="O7" s="309"/>
      <c r="P7" s="223">
        <f t="shared" ref="P7" si="0">SUM(K7:O7)</f>
        <v>0</v>
      </c>
      <c r="Q7" s="19"/>
      <c r="R7" s="327">
        <v>0</v>
      </c>
      <c r="S7" s="328"/>
      <c r="T7" s="328"/>
      <c r="U7" s="328"/>
      <c r="V7" s="328"/>
      <c r="W7" s="328"/>
      <c r="X7" s="328"/>
    </row>
    <row r="8" spans="2:25" x14ac:dyDescent="0.3">
      <c r="B8" s="234"/>
      <c r="C8" s="42"/>
      <c r="D8" s="42"/>
      <c r="E8" s="42"/>
      <c r="F8" s="42"/>
      <c r="G8" s="241"/>
      <c r="H8" s="284"/>
      <c r="I8" s="263"/>
      <c r="K8" s="241"/>
      <c r="L8" s="241"/>
      <c r="M8" s="241"/>
      <c r="N8" s="310"/>
      <c r="O8" s="310"/>
      <c r="P8" s="242"/>
      <c r="R8" s="326"/>
      <c r="S8" s="326"/>
      <c r="T8" s="326"/>
      <c r="U8" s="326"/>
      <c r="V8" s="326"/>
      <c r="W8" s="326"/>
      <c r="X8" s="326"/>
    </row>
    <row r="9" spans="2:25" x14ac:dyDescent="0.3">
      <c r="B9" s="237" t="s">
        <v>269</v>
      </c>
      <c r="C9" s="238"/>
      <c r="D9" s="292"/>
      <c r="E9" s="292"/>
      <c r="F9" s="292"/>
      <c r="G9" s="239"/>
      <c r="H9" s="285"/>
      <c r="I9" s="220"/>
      <c r="K9" s="239"/>
      <c r="L9" s="239"/>
      <c r="M9" s="354"/>
      <c r="N9" s="311"/>
      <c r="O9" s="311"/>
      <c r="P9" s="243"/>
      <c r="R9" s="326"/>
      <c r="S9" s="326"/>
      <c r="T9" s="326"/>
      <c r="U9" s="326"/>
      <c r="V9" s="326"/>
      <c r="W9" s="326"/>
      <c r="X9" s="326"/>
    </row>
    <row r="10" spans="2:25" x14ac:dyDescent="0.3">
      <c r="B10" s="232"/>
      <c r="C10" s="171" t="s">
        <v>270</v>
      </c>
      <c r="D10" s="171" t="s">
        <v>365</v>
      </c>
      <c r="E10" s="171" t="s">
        <v>365</v>
      </c>
      <c r="F10" s="171"/>
      <c r="G10" s="309"/>
      <c r="H10" s="314"/>
      <c r="I10" s="315"/>
      <c r="K10" s="307"/>
      <c r="L10" s="225">
        <f>SUMPRODUCT(R$5:X$5,R10:X10)/Thousands</f>
        <v>0</v>
      </c>
      <c r="M10" s="306"/>
      <c r="N10" s="306">
        <v>0</v>
      </c>
      <c r="O10" s="307"/>
      <c r="P10" s="223">
        <f>SUM(K10:O10)</f>
        <v>0</v>
      </c>
      <c r="Q10" s="19"/>
      <c r="R10" s="327"/>
      <c r="S10" s="327"/>
      <c r="T10" s="327"/>
      <c r="U10" s="327"/>
      <c r="V10" s="327"/>
      <c r="W10" s="327"/>
      <c r="X10" s="327"/>
      <c r="Y10" s="14">
        <f>SUM(R10:X10)</f>
        <v>0</v>
      </c>
    </row>
    <row r="11" spans="2:25" x14ac:dyDescent="0.3">
      <c r="B11" s="232"/>
      <c r="C11" s="171" t="s">
        <v>271</v>
      </c>
      <c r="D11" s="171" t="s">
        <v>365</v>
      </c>
      <c r="E11" s="171" t="s">
        <v>365</v>
      </c>
      <c r="F11" s="171"/>
      <c r="G11" s="309"/>
      <c r="H11" s="314"/>
      <c r="I11" s="315"/>
      <c r="K11" s="307"/>
      <c r="L11" s="225">
        <f>SUMPRODUCT(R$5:X$5,R11:X11)/Thousands</f>
        <v>0</v>
      </c>
      <c r="M11" s="306"/>
      <c r="N11" s="447"/>
      <c r="O11" s="307"/>
      <c r="P11" s="223">
        <f>SUM(K11:O11)</f>
        <v>0</v>
      </c>
      <c r="Q11" s="19"/>
      <c r="R11" s="327"/>
      <c r="S11" s="327"/>
      <c r="T11" s="327"/>
      <c r="U11" s="327"/>
      <c r="V11" s="327"/>
      <c r="W11" s="327"/>
      <c r="X11" s="327"/>
      <c r="Y11" s="14">
        <f t="shared" ref="Y11:Y13" si="1">SUM(R11:X11)</f>
        <v>0</v>
      </c>
    </row>
    <row r="12" spans="2:25" x14ac:dyDescent="0.3">
      <c r="B12" s="232"/>
      <c r="C12" s="171" t="s">
        <v>304</v>
      </c>
      <c r="D12" s="171" t="s">
        <v>365</v>
      </c>
      <c r="E12" s="171" t="s">
        <v>365</v>
      </c>
      <c r="F12" s="171"/>
      <c r="G12" s="309"/>
      <c r="H12" s="314"/>
      <c r="I12" s="315"/>
      <c r="K12" s="307"/>
      <c r="L12" s="225">
        <f>SUMPRODUCT(R$5:X$5,R12:X12)/Thousands</f>
        <v>0</v>
      </c>
      <c r="M12" s="306"/>
      <c r="N12" s="306">
        <v>0</v>
      </c>
      <c r="O12" s="307"/>
      <c r="P12" s="223">
        <f>SUM(K12:O12)</f>
        <v>0</v>
      </c>
      <c r="Q12" s="19"/>
      <c r="R12" s="327"/>
      <c r="S12" s="327"/>
      <c r="T12" s="327"/>
      <c r="U12" s="327"/>
      <c r="V12" s="327"/>
      <c r="W12" s="327"/>
      <c r="X12" s="327"/>
      <c r="Y12" s="14">
        <f t="shared" si="1"/>
        <v>0</v>
      </c>
    </row>
    <row r="13" spans="2:25" x14ac:dyDescent="0.3">
      <c r="B13" s="232"/>
      <c r="C13" s="171" t="s">
        <v>272</v>
      </c>
      <c r="D13" s="171" t="s">
        <v>365</v>
      </c>
      <c r="E13" s="171" t="s">
        <v>365</v>
      </c>
      <c r="F13" s="171"/>
      <c r="G13" s="309"/>
      <c r="H13" s="314"/>
      <c r="I13" s="315"/>
      <c r="K13" s="307"/>
      <c r="L13" s="225">
        <f>SUMPRODUCT(R$5:X$5,R13:X13)/Thousands</f>
        <v>0</v>
      </c>
      <c r="M13" s="306"/>
      <c r="N13" s="306">
        <v>0</v>
      </c>
      <c r="O13" s="307"/>
      <c r="P13" s="223">
        <f>SUM(K13:O13)</f>
        <v>0</v>
      </c>
      <c r="Q13" s="19"/>
      <c r="R13" s="327"/>
      <c r="S13" s="327"/>
      <c r="T13" s="327"/>
      <c r="U13" s="327"/>
      <c r="V13" s="327"/>
      <c r="W13" s="327"/>
      <c r="X13" s="327"/>
      <c r="Y13" s="14">
        <f t="shared" si="1"/>
        <v>0</v>
      </c>
    </row>
    <row r="14" spans="2:25" x14ac:dyDescent="0.3">
      <c r="B14" s="234"/>
      <c r="C14" s="42"/>
      <c r="D14" s="42"/>
      <c r="E14" s="42"/>
      <c r="F14" s="42"/>
      <c r="G14" s="241"/>
      <c r="H14" s="240"/>
      <c r="I14" s="263"/>
      <c r="K14" s="244"/>
      <c r="L14" s="245"/>
      <c r="M14" s="245"/>
      <c r="N14" s="246"/>
      <c r="O14" s="244"/>
      <c r="P14" s="247"/>
      <c r="R14" s="326"/>
      <c r="S14" s="326"/>
      <c r="T14" s="326"/>
      <c r="U14" s="326"/>
      <c r="V14" s="326"/>
      <c r="W14" s="326"/>
      <c r="X14" s="326"/>
    </row>
    <row r="15" spans="2:25" x14ac:dyDescent="0.3">
      <c r="B15" s="237" t="s">
        <v>261</v>
      </c>
      <c r="C15" s="238"/>
      <c r="D15" s="292"/>
      <c r="E15" s="292"/>
      <c r="F15" s="292"/>
      <c r="G15" s="297"/>
      <c r="H15" s="248"/>
      <c r="I15" s="243"/>
      <c r="K15" s="249"/>
      <c r="L15" s="249"/>
      <c r="M15" s="355"/>
      <c r="N15" s="249"/>
      <c r="O15" s="249"/>
      <c r="P15" s="250"/>
      <c r="Q15" s="11"/>
      <c r="R15" s="329"/>
      <c r="S15" s="326"/>
      <c r="T15" s="326"/>
      <c r="U15" s="326"/>
      <c r="V15" s="326"/>
      <c r="W15" s="326"/>
      <c r="X15" s="326"/>
    </row>
    <row r="16" spans="2:25" x14ac:dyDescent="0.3">
      <c r="B16" s="251" t="s">
        <v>263</v>
      </c>
      <c r="C16" s="171"/>
      <c r="D16" s="171"/>
      <c r="E16" s="171"/>
      <c r="F16" s="171"/>
      <c r="G16" s="228"/>
      <c r="H16" s="232"/>
      <c r="I16" s="224"/>
      <c r="J16" s="157"/>
      <c r="K16" s="225"/>
      <c r="L16" s="225"/>
      <c r="M16" s="225"/>
      <c r="N16" s="225"/>
      <c r="O16" s="225"/>
      <c r="P16" s="224"/>
      <c r="R16" s="326"/>
      <c r="S16" s="326"/>
      <c r="T16" s="326"/>
      <c r="U16" s="326"/>
      <c r="V16" s="326"/>
      <c r="W16" s="326"/>
      <c r="X16" s="326"/>
    </row>
    <row r="17" spans="2:25" x14ac:dyDescent="0.3">
      <c r="B17" s="232"/>
      <c r="C17" s="171" t="s">
        <v>306</v>
      </c>
      <c r="D17" s="171" t="str">
        <f>INDEX(Unit_Rates!$C$7:$K$54,MATCH($C17,Unit_Rates!$C$7:$C$54,0),5)</f>
        <v>Subtransmission</v>
      </c>
      <c r="E17" s="171" t="str">
        <f>INDEX(Unit_Rates!$C$7:$K$54,MATCH($C17,Unit_Rates!$C$7:$C$54,0),6)</f>
        <v>Augmentation</v>
      </c>
      <c r="F17" s="171" t="str">
        <f>D17&amp;E17</f>
        <v>SubtransmissionAugmentation</v>
      </c>
      <c r="G17" s="268">
        <f>Unit_Rates!I7</f>
        <v>78.838847145488032</v>
      </c>
      <c r="H17" s="299"/>
      <c r="I17" s="264" t="s">
        <v>292</v>
      </c>
      <c r="J17" s="157"/>
      <c r="K17" s="226">
        <f>G17*$H17</f>
        <v>0</v>
      </c>
      <c r="L17" s="302">
        <f t="shared" ref="L17:L38" si="2">SUMPRODUCT(R$5:X$5,R17:X17)/Thousands</f>
        <v>0</v>
      </c>
      <c r="M17" s="356"/>
      <c r="N17" s="570"/>
      <c r="O17" s="571"/>
      <c r="P17" s="572"/>
      <c r="Q17" s="336">
        <f>P17-H17*VLOOKUP(C17,Unit_Rates!$C$7:$E$39,3,FALSE)</f>
        <v>0</v>
      </c>
      <c r="R17" s="327">
        <v>0</v>
      </c>
      <c r="S17" s="327">
        <v>0</v>
      </c>
      <c r="T17" s="327">
        <v>0</v>
      </c>
      <c r="U17" s="327">
        <v>0</v>
      </c>
      <c r="V17" s="327">
        <v>0</v>
      </c>
      <c r="W17" s="327">
        <v>0</v>
      </c>
      <c r="X17" s="327">
        <v>0</v>
      </c>
      <c r="Y17" s="14">
        <f t="shared" ref="Y17:Y39" si="3">SUM(R17:X17)</f>
        <v>0</v>
      </c>
    </row>
    <row r="18" spans="2:25" x14ac:dyDescent="0.3">
      <c r="B18" s="232"/>
      <c r="C18" s="171" t="s">
        <v>329</v>
      </c>
      <c r="D18" s="171" t="str">
        <f>INDEX(Unit_Rates!$C$7:$K$54,MATCH($C18,Unit_Rates!$C$7:$C$54,0),5)</f>
        <v>Subtransmission</v>
      </c>
      <c r="E18" s="171" t="str">
        <f>INDEX(Unit_Rates!$C$7:$K$54,MATCH($C18,Unit_Rates!$C$7:$C$54,0),6)</f>
        <v>Augmentation</v>
      </c>
      <c r="F18" s="171" t="str">
        <f t="shared" ref="F18:F39" si="4">D18&amp;E18</f>
        <v>SubtransmissionAugmentation</v>
      </c>
      <c r="G18" s="268">
        <f>Unit_Rates!I8</f>
        <v>90.745458563535905</v>
      </c>
      <c r="H18" s="299"/>
      <c r="I18" s="264" t="s">
        <v>292</v>
      </c>
      <c r="J18" s="157"/>
      <c r="K18" s="226">
        <f>G18*$H18</f>
        <v>0</v>
      </c>
      <c r="L18" s="302">
        <f t="shared" si="2"/>
        <v>0</v>
      </c>
      <c r="M18" s="356"/>
      <c r="N18" s="570"/>
      <c r="O18" s="571"/>
      <c r="P18" s="572"/>
      <c r="Q18" s="336">
        <f>P18-H18*VLOOKUP(C18,Unit_Rates!$C$7:$E$39,3,FALSE)</f>
        <v>0</v>
      </c>
      <c r="R18" s="327">
        <v>0</v>
      </c>
      <c r="S18" s="327">
        <v>0</v>
      </c>
      <c r="T18" s="327">
        <v>0</v>
      </c>
      <c r="U18" s="327">
        <v>0</v>
      </c>
      <c r="V18" s="327">
        <v>0</v>
      </c>
      <c r="W18" s="327">
        <v>0</v>
      </c>
      <c r="X18" s="327">
        <v>0</v>
      </c>
      <c r="Y18" s="14">
        <f t="shared" si="3"/>
        <v>0</v>
      </c>
    </row>
    <row r="19" spans="2:25" x14ac:dyDescent="0.3">
      <c r="B19" s="232"/>
      <c r="C19" s="171" t="s">
        <v>503</v>
      </c>
      <c r="D19" s="171" t="str">
        <f>INDEX(Unit_Rates!$C$7:$K$54,MATCH($C19,Unit_Rates!$C$7:$C$54,0),5)</f>
        <v>Subtransmission</v>
      </c>
      <c r="E19" s="171" t="str">
        <f>INDEX(Unit_Rates!$C$7:$K$54,MATCH($C19,Unit_Rates!$C$7:$C$54,0),6)</f>
        <v>Augmentation</v>
      </c>
      <c r="F19" s="171" t="str">
        <f t="shared" si="4"/>
        <v>SubtransmissionAugmentation</v>
      </c>
      <c r="G19" s="268">
        <f>Unit_Rates!I9</f>
        <v>25.236519337016578</v>
      </c>
      <c r="H19" s="299"/>
      <c r="I19" s="264" t="s">
        <v>292</v>
      </c>
      <c r="J19" s="157"/>
      <c r="K19" s="226">
        <f>G19*H19</f>
        <v>0</v>
      </c>
      <c r="L19" s="302">
        <f t="shared" si="2"/>
        <v>0</v>
      </c>
      <c r="M19" s="356"/>
      <c r="N19" s="568"/>
      <c r="O19" s="573"/>
      <c r="P19" s="569"/>
      <c r="Q19" s="336">
        <f>P19-H19*VLOOKUP(C19,Unit_Rates!$C$7:$E$39,3,FALSE)</f>
        <v>0</v>
      </c>
      <c r="R19" s="327">
        <v>0</v>
      </c>
      <c r="S19" s="327">
        <v>0</v>
      </c>
      <c r="T19" s="327">
        <v>0</v>
      </c>
      <c r="U19" s="327">
        <v>0</v>
      </c>
      <c r="V19" s="327">
        <v>0</v>
      </c>
      <c r="W19" s="327">
        <v>0</v>
      </c>
      <c r="X19" s="327">
        <v>0</v>
      </c>
      <c r="Y19" s="14">
        <f t="shared" si="3"/>
        <v>0</v>
      </c>
    </row>
    <row r="20" spans="2:25" x14ac:dyDescent="0.3">
      <c r="B20" s="232"/>
      <c r="C20" s="171" t="s">
        <v>372</v>
      </c>
      <c r="D20" s="171" t="str">
        <f>INDEX(Unit_Rates!$C$7:$K$54,MATCH($C20,Unit_Rates!$C$7:$C$54,0),5)</f>
        <v>Subtransmission</v>
      </c>
      <c r="E20" s="171" t="str">
        <f>INDEX(Unit_Rates!$C$7:$K$54,MATCH($C20,Unit_Rates!$C$7:$C$54,0),6)</f>
        <v>Augmentation</v>
      </c>
      <c r="F20" s="171" t="str">
        <f t="shared" si="4"/>
        <v>SubtransmissionAugmentation</v>
      </c>
      <c r="G20" s="268">
        <v>0</v>
      </c>
      <c r="H20" s="299"/>
      <c r="I20" s="264" t="s">
        <v>292</v>
      </c>
      <c r="J20" s="157"/>
      <c r="K20" s="226">
        <f>G20*H20</f>
        <v>0</v>
      </c>
      <c r="L20" s="302">
        <f t="shared" si="2"/>
        <v>0</v>
      </c>
      <c r="M20" s="356"/>
      <c r="N20" s="568"/>
      <c r="O20" s="573"/>
      <c r="P20" s="569"/>
      <c r="Q20" s="336">
        <f>P20-H20*VLOOKUP(C20,Unit_Rates!$C$7:$E$39,3,FALSE)</f>
        <v>0</v>
      </c>
      <c r="R20" s="327">
        <v>0</v>
      </c>
      <c r="S20" s="327">
        <v>0</v>
      </c>
      <c r="T20" s="327">
        <v>0</v>
      </c>
      <c r="U20" s="327">
        <v>0</v>
      </c>
      <c r="V20" s="327">
        <v>0</v>
      </c>
      <c r="W20" s="327">
        <v>0</v>
      </c>
      <c r="X20" s="327">
        <v>0</v>
      </c>
      <c r="Y20" s="14">
        <f t="shared" si="3"/>
        <v>0</v>
      </c>
    </row>
    <row r="21" spans="2:25" x14ac:dyDescent="0.3">
      <c r="B21" s="232"/>
      <c r="C21" s="171" t="s">
        <v>348</v>
      </c>
      <c r="D21" s="171" t="str">
        <f>Unit_Rates!G12</f>
        <v>SCADA/Network control</v>
      </c>
      <c r="E21" s="171" t="str">
        <f>Unit_Rates!H12</f>
        <v>Augmentation</v>
      </c>
      <c r="F21" s="171" t="str">
        <f t="shared" si="4"/>
        <v>SCADA/Network controlAugmentation</v>
      </c>
      <c r="G21" s="268">
        <v>0</v>
      </c>
      <c r="H21" s="299"/>
      <c r="I21" s="264" t="s">
        <v>292</v>
      </c>
      <c r="J21" s="157"/>
      <c r="K21" s="226">
        <f>G21*H21</f>
        <v>0</v>
      </c>
      <c r="L21" s="302">
        <f t="shared" si="2"/>
        <v>0</v>
      </c>
      <c r="M21" s="356"/>
      <c r="N21" s="568"/>
      <c r="O21" s="573"/>
      <c r="P21" s="569"/>
      <c r="Q21" s="336"/>
      <c r="R21" s="327">
        <v>0</v>
      </c>
      <c r="S21" s="327">
        <v>0</v>
      </c>
      <c r="T21" s="327">
        <v>0</v>
      </c>
      <c r="U21" s="327">
        <v>0</v>
      </c>
      <c r="V21" s="327">
        <v>0</v>
      </c>
      <c r="W21" s="327">
        <v>0</v>
      </c>
      <c r="X21" s="327">
        <v>0</v>
      </c>
      <c r="Y21" s="14">
        <f t="shared" si="3"/>
        <v>0</v>
      </c>
    </row>
    <row r="22" spans="2:25" x14ac:dyDescent="0.3">
      <c r="B22" s="232"/>
      <c r="C22" s="171" t="s">
        <v>308</v>
      </c>
      <c r="D22" s="171" t="str">
        <f>INDEX(Unit_Rates!$C$7:$K$54,MATCH($C22,Unit_Rates!$C$7:$C$54,0),5)</f>
        <v>Subtransmission</v>
      </c>
      <c r="E22" s="171" t="str">
        <f>INDEX(Unit_Rates!$C$7:$K$54,MATCH($C22,Unit_Rates!$C$7:$C$54,0),6)</f>
        <v>Augmentation</v>
      </c>
      <c r="F22" s="171" t="str">
        <f t="shared" si="4"/>
        <v>SubtransmissionAugmentation</v>
      </c>
      <c r="G22" s="268">
        <f>Unit_Rates!I13</f>
        <v>0</v>
      </c>
      <c r="H22" s="299"/>
      <c r="I22" s="264" t="s">
        <v>292</v>
      </c>
      <c r="J22" s="157"/>
      <c r="K22" s="226">
        <f>G22*H22</f>
        <v>0</v>
      </c>
      <c r="L22" s="302">
        <f t="shared" si="2"/>
        <v>0</v>
      </c>
      <c r="M22" s="356"/>
      <c r="N22" s="568"/>
      <c r="O22" s="573"/>
      <c r="P22" s="569"/>
      <c r="Q22" s="336">
        <f>P22-H22*VLOOKUP(C22,Unit_Rates!$C$7:$E$39,3,FALSE)</f>
        <v>0</v>
      </c>
      <c r="R22" s="327">
        <v>0</v>
      </c>
      <c r="S22" s="327">
        <v>0</v>
      </c>
      <c r="T22" s="327">
        <v>0</v>
      </c>
      <c r="U22" s="327">
        <v>0</v>
      </c>
      <c r="V22" s="327">
        <v>0</v>
      </c>
      <c r="W22" s="327">
        <v>0</v>
      </c>
      <c r="X22" s="327">
        <v>0</v>
      </c>
      <c r="Y22" s="14">
        <f t="shared" si="3"/>
        <v>0</v>
      </c>
    </row>
    <row r="23" spans="2:25" x14ac:dyDescent="0.3">
      <c r="B23" s="232"/>
      <c r="C23" s="171" t="s">
        <v>280</v>
      </c>
      <c r="D23" s="171" t="str">
        <f>INDEX(Unit_Rates!$C$7:$K$54,MATCH($C23,Unit_Rates!$C$7:$C$54,0),5)</f>
        <v>Subtransmission</v>
      </c>
      <c r="E23" s="171" t="str">
        <f>INDEX(Unit_Rates!$C$7:$K$54,MATCH($C23,Unit_Rates!$C$7:$C$54,0),6)</f>
        <v>Augmentation</v>
      </c>
      <c r="F23" s="171" t="str">
        <f t="shared" si="4"/>
        <v>SubtransmissionAugmentation</v>
      </c>
      <c r="G23" s="268">
        <f>Unit_Rates!I14</f>
        <v>1249.4511627906975</v>
      </c>
      <c r="H23" s="299"/>
      <c r="I23" s="264" t="s">
        <v>292</v>
      </c>
      <c r="J23" s="157"/>
      <c r="K23" s="226">
        <f t="shared" ref="K23:K38" si="5">G23*H23</f>
        <v>0</v>
      </c>
      <c r="L23" s="302">
        <f t="shared" si="2"/>
        <v>0</v>
      </c>
      <c r="M23" s="356"/>
      <c r="N23" s="568"/>
      <c r="O23" s="573"/>
      <c r="P23" s="569"/>
      <c r="Q23" s="336">
        <f>P23-H23*VLOOKUP(C23,Unit_Rates!$C$7:$E$39,3,FALSE)</f>
        <v>0</v>
      </c>
      <c r="R23" s="327">
        <v>0</v>
      </c>
      <c r="S23" s="327">
        <v>0</v>
      </c>
      <c r="T23" s="327">
        <v>0</v>
      </c>
      <c r="U23" s="327">
        <v>0</v>
      </c>
      <c r="V23" s="327">
        <v>0</v>
      </c>
      <c r="W23" s="327">
        <v>0</v>
      </c>
      <c r="X23" s="327">
        <v>0</v>
      </c>
      <c r="Y23" s="14">
        <f t="shared" si="3"/>
        <v>0</v>
      </c>
    </row>
    <row r="24" spans="2:25" x14ac:dyDescent="0.3">
      <c r="B24" s="232"/>
      <c r="C24" s="171" t="s">
        <v>279</v>
      </c>
      <c r="D24" s="171" t="str">
        <f>INDEX(Unit_Rates!$C$7:$K$54,MATCH($C24,Unit_Rates!$C$7:$C$54,0),5)</f>
        <v>Subtransmission</v>
      </c>
      <c r="E24" s="171" t="str">
        <f>INDEX(Unit_Rates!$C$7:$K$54,MATCH($C24,Unit_Rates!$C$7:$C$54,0),6)</f>
        <v>Augmentation</v>
      </c>
      <c r="F24" s="171" t="str">
        <f t="shared" si="4"/>
        <v>SubtransmissionAugmentation</v>
      </c>
      <c r="G24" s="268">
        <f>Unit_Rates!I15</f>
        <v>1378.3627906976742</v>
      </c>
      <c r="H24" s="299"/>
      <c r="I24" s="264" t="s">
        <v>292</v>
      </c>
      <c r="J24" s="157"/>
      <c r="K24" s="226">
        <f t="shared" si="5"/>
        <v>0</v>
      </c>
      <c r="L24" s="302">
        <f t="shared" si="2"/>
        <v>0</v>
      </c>
      <c r="M24" s="356"/>
      <c r="N24" s="568"/>
      <c r="O24" s="573"/>
      <c r="P24" s="569"/>
      <c r="Q24" s="336">
        <f>P24-H24*VLOOKUP(C24,Unit_Rates!$C$7:$E$39,3,FALSE)</f>
        <v>0</v>
      </c>
      <c r="R24" s="327">
        <v>0</v>
      </c>
      <c r="S24" s="327">
        <v>0</v>
      </c>
      <c r="T24" s="327">
        <v>0</v>
      </c>
      <c r="U24" s="327">
        <v>0</v>
      </c>
      <c r="V24" s="327">
        <v>0</v>
      </c>
      <c r="W24" s="327">
        <v>0</v>
      </c>
      <c r="X24" s="327">
        <v>0</v>
      </c>
      <c r="Y24" s="14">
        <f t="shared" si="3"/>
        <v>0</v>
      </c>
    </row>
    <row r="25" spans="2:25" x14ac:dyDescent="0.3">
      <c r="B25" s="232"/>
      <c r="C25" s="171" t="s">
        <v>349</v>
      </c>
      <c r="D25" s="171" t="str">
        <f>INDEX(Unit_Rates!$C$7:$K$54,MATCH($C25,Unit_Rates!$C$7:$C$54,0),5)</f>
        <v>Subtransmission</v>
      </c>
      <c r="E25" s="171" t="str">
        <f>INDEX(Unit_Rates!$C$7:$K$54,MATCH($C25,Unit_Rates!$C$7:$C$54,0),6)</f>
        <v>Augmentation</v>
      </c>
      <c r="F25" s="171" t="str">
        <f t="shared" si="4"/>
        <v>SubtransmissionAugmentation</v>
      </c>
      <c r="G25" s="268">
        <f>Unit_Rates!I16</f>
        <v>119.83724093023255</v>
      </c>
      <c r="H25" s="299"/>
      <c r="I25" s="264" t="s">
        <v>292</v>
      </c>
      <c r="J25" s="157"/>
      <c r="K25" s="226">
        <f t="shared" si="5"/>
        <v>0</v>
      </c>
      <c r="L25" s="302">
        <f t="shared" si="2"/>
        <v>0</v>
      </c>
      <c r="M25" s="356"/>
      <c r="N25" s="568"/>
      <c r="O25" s="573"/>
      <c r="P25" s="569"/>
      <c r="Q25" s="336">
        <f>P25-H25*VLOOKUP(C25,Unit_Rates!$C$7:$E$39,3,FALSE)</f>
        <v>0</v>
      </c>
      <c r="R25" s="327">
        <v>0</v>
      </c>
      <c r="S25" s="327">
        <v>0</v>
      </c>
      <c r="T25" s="327">
        <v>0</v>
      </c>
      <c r="U25" s="327">
        <v>0</v>
      </c>
      <c r="V25" s="327">
        <v>0</v>
      </c>
      <c r="W25" s="327">
        <v>0</v>
      </c>
      <c r="X25" s="327">
        <v>0</v>
      </c>
      <c r="Y25" s="14">
        <f t="shared" si="3"/>
        <v>0</v>
      </c>
    </row>
    <row r="26" spans="2:25" x14ac:dyDescent="0.3">
      <c r="B26" s="232"/>
      <c r="C26" s="171" t="s">
        <v>373</v>
      </c>
      <c r="D26" s="171" t="str">
        <f>INDEX(Unit_Rates!$C$7:$K$54,MATCH($C26,Unit_Rates!$C$7:$C$54,0),5)</f>
        <v>Subtransmission</v>
      </c>
      <c r="E26" s="171" t="str">
        <f>INDEX(Unit_Rates!$C$7:$K$54,MATCH($C26,Unit_Rates!$C$7:$C$54,0),6)</f>
        <v>Augmentation</v>
      </c>
      <c r="F26" s="171" t="str">
        <f t="shared" si="4"/>
        <v>SubtransmissionAugmentation</v>
      </c>
      <c r="G26" s="268">
        <f>Unit_Rates!I20</f>
        <v>0</v>
      </c>
      <c r="H26" s="299"/>
      <c r="I26" s="264" t="s">
        <v>292</v>
      </c>
      <c r="J26" s="157"/>
      <c r="K26" s="226">
        <f t="shared" ref="K26" si="6">G26*H26</f>
        <v>0</v>
      </c>
      <c r="L26" s="302">
        <f t="shared" si="2"/>
        <v>0</v>
      </c>
      <c r="M26" s="356"/>
      <c r="N26" s="568"/>
      <c r="O26" s="573"/>
      <c r="P26" s="569"/>
      <c r="Q26" s="336">
        <f>P26-H26*VLOOKUP(C26,Unit_Rates!$C$7:$E$39,3,FALSE)</f>
        <v>0</v>
      </c>
      <c r="R26" s="327">
        <v>0</v>
      </c>
      <c r="S26" s="327">
        <v>0</v>
      </c>
      <c r="T26" s="327">
        <v>0</v>
      </c>
      <c r="U26" s="327">
        <v>0</v>
      </c>
      <c r="V26" s="327">
        <v>0</v>
      </c>
      <c r="W26" s="327">
        <v>0</v>
      </c>
      <c r="X26" s="327">
        <v>0</v>
      </c>
      <c r="Y26" s="14">
        <f t="shared" si="3"/>
        <v>0</v>
      </c>
    </row>
    <row r="27" spans="2:25" x14ac:dyDescent="0.3">
      <c r="B27" s="232"/>
      <c r="C27" s="171" t="s">
        <v>350</v>
      </c>
      <c r="D27" s="171" t="str">
        <f>INDEX(Unit_Rates!$C$7:$K$54,MATCH($C27,Unit_Rates!$C$7:$C$54,0),5)</f>
        <v>Subtransmission</v>
      </c>
      <c r="E27" s="171" t="str">
        <f>INDEX(Unit_Rates!$C$7:$K$54,MATCH($C27,Unit_Rates!$C$7:$C$54,0),6)</f>
        <v>Augmentation</v>
      </c>
      <c r="F27" s="171" t="str">
        <f t="shared" si="4"/>
        <v>SubtransmissionAugmentation</v>
      </c>
      <c r="G27" s="268">
        <f>Unit_Rates!I21</f>
        <v>62.900871086556172</v>
      </c>
      <c r="H27" s="299"/>
      <c r="I27" s="264" t="s">
        <v>292</v>
      </c>
      <c r="J27" s="157"/>
      <c r="K27" s="226">
        <f t="shared" ref="K27:K31" si="7">G27*H27</f>
        <v>0</v>
      </c>
      <c r="L27" s="302">
        <f t="shared" si="2"/>
        <v>0</v>
      </c>
      <c r="M27" s="356"/>
      <c r="N27" s="568"/>
      <c r="O27" s="573"/>
      <c r="P27" s="569"/>
      <c r="Q27" s="336">
        <f>P27-H27*VLOOKUP(C27,Unit_Rates!$C$7:$E$39,3,FALSE)</f>
        <v>0</v>
      </c>
      <c r="R27" s="327">
        <v>0</v>
      </c>
      <c r="S27" s="327">
        <v>0</v>
      </c>
      <c r="T27" s="327">
        <v>0</v>
      </c>
      <c r="U27" s="327">
        <v>0</v>
      </c>
      <c r="V27" s="327">
        <v>0</v>
      </c>
      <c r="W27" s="327">
        <v>0</v>
      </c>
      <c r="X27" s="327">
        <v>0</v>
      </c>
      <c r="Y27" s="14">
        <f t="shared" si="3"/>
        <v>0</v>
      </c>
    </row>
    <row r="28" spans="2:25" x14ac:dyDescent="0.3">
      <c r="B28" s="232"/>
      <c r="C28" s="171" t="s">
        <v>334</v>
      </c>
      <c r="D28" s="171" t="str">
        <f>INDEX(Unit_Rates!$C$7:$K$54,MATCH($C28,Unit_Rates!$C$7:$C$54,0),5)</f>
        <v>Subtransmission</v>
      </c>
      <c r="E28" s="171" t="str">
        <f>INDEX(Unit_Rates!$C$7:$K$54,MATCH($C28,Unit_Rates!$C$7:$C$54,0),6)</f>
        <v>Augmentation</v>
      </c>
      <c r="F28" s="171" t="str">
        <f t="shared" si="4"/>
        <v>SubtransmissionAugmentation</v>
      </c>
      <c r="G28" s="268">
        <f>Unit_Rates!I22</f>
        <v>6.8116309209302308</v>
      </c>
      <c r="H28" s="299"/>
      <c r="I28" s="264" t="s">
        <v>292</v>
      </c>
      <c r="J28" s="157"/>
      <c r="K28" s="226">
        <f t="shared" si="7"/>
        <v>0</v>
      </c>
      <c r="L28" s="302">
        <f t="shared" si="2"/>
        <v>0</v>
      </c>
      <c r="M28" s="356"/>
      <c r="N28" s="568"/>
      <c r="O28" s="573"/>
      <c r="P28" s="569"/>
      <c r="Q28" s="336">
        <f>P28-H28*VLOOKUP(C28,Unit_Rates!$C$7:$E$39,3,FALSE)</f>
        <v>0</v>
      </c>
      <c r="R28" s="327">
        <v>0</v>
      </c>
      <c r="S28" s="327">
        <v>0</v>
      </c>
      <c r="T28" s="327">
        <v>0</v>
      </c>
      <c r="U28" s="327">
        <v>0</v>
      </c>
      <c r="V28" s="327">
        <v>0</v>
      </c>
      <c r="W28" s="327">
        <v>0</v>
      </c>
      <c r="X28" s="327">
        <v>0</v>
      </c>
      <c r="Y28" s="14">
        <f t="shared" si="3"/>
        <v>0</v>
      </c>
    </row>
    <row r="29" spans="2:25" x14ac:dyDescent="0.3">
      <c r="B29" s="232"/>
      <c r="C29" s="171" t="s">
        <v>333</v>
      </c>
      <c r="D29" s="171" t="str">
        <f>INDEX(Unit_Rates!$C$7:$K$54,MATCH($C29,Unit_Rates!$C$7:$C$54,0),5)</f>
        <v>Subtransmission</v>
      </c>
      <c r="E29" s="171" t="str">
        <f>INDEX(Unit_Rates!$C$7:$K$54,MATCH($C29,Unit_Rates!$C$7:$C$54,0),6)</f>
        <v>Augmentation</v>
      </c>
      <c r="F29" s="171" t="str">
        <f t="shared" si="4"/>
        <v>SubtransmissionAugmentation</v>
      </c>
      <c r="G29" s="268">
        <f>Unit_Rates!I23</f>
        <v>0</v>
      </c>
      <c r="H29" s="299"/>
      <c r="I29" s="264" t="s">
        <v>292</v>
      </c>
      <c r="J29" s="157"/>
      <c r="K29" s="226">
        <f t="shared" si="7"/>
        <v>0</v>
      </c>
      <c r="L29" s="302">
        <f t="shared" si="2"/>
        <v>0</v>
      </c>
      <c r="M29" s="356"/>
      <c r="N29" s="568"/>
      <c r="O29" s="573"/>
      <c r="P29" s="569"/>
      <c r="Q29" s="336">
        <f>P29-H29*VLOOKUP(C29,Unit_Rates!$C$7:$E$39,3,FALSE)</f>
        <v>0</v>
      </c>
      <c r="R29" s="327">
        <v>0</v>
      </c>
      <c r="S29" s="327">
        <v>0</v>
      </c>
      <c r="T29" s="327">
        <v>0</v>
      </c>
      <c r="U29" s="327">
        <v>0</v>
      </c>
      <c r="V29" s="327">
        <v>0</v>
      </c>
      <c r="W29" s="327">
        <v>0</v>
      </c>
      <c r="X29" s="327">
        <v>0</v>
      </c>
      <c r="Y29" s="14">
        <f t="shared" si="3"/>
        <v>0</v>
      </c>
    </row>
    <row r="30" spans="2:25" x14ac:dyDescent="0.3">
      <c r="B30" s="232"/>
      <c r="C30" s="171" t="s">
        <v>335</v>
      </c>
      <c r="D30" s="171" t="str">
        <f>INDEX(Unit_Rates!$C$7:$K$54,MATCH($C30,Unit_Rates!$C$7:$C$54,0),5)</f>
        <v>Subtransmission</v>
      </c>
      <c r="E30" s="171" t="str">
        <f>INDEX(Unit_Rates!$C$7:$K$54,MATCH($C30,Unit_Rates!$C$7:$C$54,0),6)</f>
        <v>Augmentation</v>
      </c>
      <c r="F30" s="171" t="str">
        <f t="shared" si="4"/>
        <v>SubtransmissionAugmentation</v>
      </c>
      <c r="G30" s="268">
        <f>Unit_Rates!I24</f>
        <v>0</v>
      </c>
      <c r="H30" s="299"/>
      <c r="I30" s="264" t="s">
        <v>292</v>
      </c>
      <c r="J30" s="157"/>
      <c r="K30" s="226">
        <f t="shared" si="7"/>
        <v>0</v>
      </c>
      <c r="L30" s="302">
        <f t="shared" si="2"/>
        <v>0</v>
      </c>
      <c r="M30" s="356"/>
      <c r="N30" s="568"/>
      <c r="O30" s="573"/>
      <c r="P30" s="569"/>
      <c r="Q30" s="336">
        <f>P30-H30*VLOOKUP(C30,Unit_Rates!$C$7:$E$39,3,FALSE)</f>
        <v>0</v>
      </c>
      <c r="R30" s="327">
        <v>0</v>
      </c>
      <c r="S30" s="327">
        <v>0</v>
      </c>
      <c r="T30" s="327">
        <v>0</v>
      </c>
      <c r="U30" s="327">
        <v>0</v>
      </c>
      <c r="V30" s="327">
        <v>0</v>
      </c>
      <c r="W30" s="327">
        <v>0</v>
      </c>
      <c r="X30" s="327">
        <v>0</v>
      </c>
      <c r="Y30" s="14">
        <f t="shared" si="3"/>
        <v>0</v>
      </c>
    </row>
    <row r="31" spans="2:25" ht="15" x14ac:dyDescent="0.25">
      <c r="B31" s="232"/>
      <c r="C31" s="171" t="s">
        <v>336</v>
      </c>
      <c r="D31" s="171" t="str">
        <f>INDEX(Unit_Rates!$C$7:$K$54,MATCH($C31,Unit_Rates!$C$7:$C$54,0),5)</f>
        <v>Subtransmission</v>
      </c>
      <c r="E31" s="171" t="str">
        <f>INDEX(Unit_Rates!$C$7:$K$54,MATCH($C31,Unit_Rates!$C$7:$C$54,0),6)</f>
        <v>Augmentation</v>
      </c>
      <c r="F31" s="171" t="str">
        <f t="shared" si="4"/>
        <v>SubtransmissionAugmentation</v>
      </c>
      <c r="G31" s="268">
        <f>Unit_Rates!I27</f>
        <v>0.60844172586161538</v>
      </c>
      <c r="H31" s="299"/>
      <c r="I31" s="264" t="s">
        <v>292</v>
      </c>
      <c r="J31" s="157"/>
      <c r="K31" s="226">
        <f t="shared" si="7"/>
        <v>0</v>
      </c>
      <c r="L31" s="302">
        <f t="shared" si="2"/>
        <v>0</v>
      </c>
      <c r="M31" s="356"/>
      <c r="N31" s="568"/>
      <c r="O31" s="573"/>
      <c r="P31" s="569"/>
      <c r="Q31" s="336">
        <f>P31-H31*VLOOKUP(C31,Unit_Rates!$C$7:$E$39,3,FALSE)</f>
        <v>0</v>
      </c>
      <c r="R31" s="327">
        <v>0</v>
      </c>
      <c r="S31" s="327">
        <v>0</v>
      </c>
      <c r="T31" s="327">
        <v>0</v>
      </c>
      <c r="U31" s="327">
        <v>0</v>
      </c>
      <c r="V31" s="327">
        <v>0</v>
      </c>
      <c r="W31" s="327">
        <v>0</v>
      </c>
      <c r="X31" s="327">
        <v>0</v>
      </c>
      <c r="Y31" s="14">
        <f t="shared" si="3"/>
        <v>0</v>
      </c>
    </row>
    <row r="32" spans="2:25" ht="15" x14ac:dyDescent="0.25">
      <c r="B32" s="232"/>
      <c r="C32" s="171" t="s">
        <v>339</v>
      </c>
      <c r="D32" s="171" t="str">
        <f>INDEX(Unit_Rates!$C$7:$K$54,MATCH($C32,Unit_Rates!$C$7:$C$54,0),5)</f>
        <v>Subtransmission</v>
      </c>
      <c r="E32" s="171" t="str">
        <f>INDEX(Unit_Rates!$C$7:$K$54,MATCH($C32,Unit_Rates!$C$7:$C$54,0),6)</f>
        <v>Augmentation</v>
      </c>
      <c r="F32" s="171" t="str">
        <f t="shared" si="4"/>
        <v>SubtransmissionAugmentation</v>
      </c>
      <c r="G32" s="268">
        <f>Unit_Rates!I28</f>
        <v>24.73714976744186</v>
      </c>
      <c r="H32" s="299"/>
      <c r="I32" s="264" t="s">
        <v>292</v>
      </c>
      <c r="J32" s="157"/>
      <c r="K32" s="226">
        <f t="shared" ref="K32" si="8">G32*H32</f>
        <v>0</v>
      </c>
      <c r="L32" s="302">
        <f t="shared" si="2"/>
        <v>0</v>
      </c>
      <c r="M32" s="356"/>
      <c r="N32" s="568"/>
      <c r="O32" s="573"/>
      <c r="P32" s="569"/>
      <c r="Q32" s="336">
        <f>P32-H32*VLOOKUP(C32,Unit_Rates!$C$7:$E$39,3,FALSE)</f>
        <v>0</v>
      </c>
      <c r="R32" s="327">
        <v>0</v>
      </c>
      <c r="S32" s="327">
        <v>0</v>
      </c>
      <c r="T32" s="327">
        <v>0</v>
      </c>
      <c r="U32" s="327">
        <v>0</v>
      </c>
      <c r="V32" s="327">
        <v>0</v>
      </c>
      <c r="W32" s="327">
        <v>0</v>
      </c>
      <c r="X32" s="327">
        <v>0</v>
      </c>
      <c r="Y32" s="14">
        <f t="shared" si="3"/>
        <v>0</v>
      </c>
    </row>
    <row r="33" spans="2:25" ht="15" x14ac:dyDescent="0.25">
      <c r="B33" s="232"/>
      <c r="C33" s="171" t="s">
        <v>209</v>
      </c>
      <c r="D33" s="171" t="str">
        <f>INDEX(Unit_Rates!$C$7:$K$54,MATCH($C33,Unit_Rates!$C$7:$C$54,0),5)</f>
        <v>Subtransmission</v>
      </c>
      <c r="E33" s="171" t="str">
        <f>INDEX(Unit_Rates!$C$7:$K$54,MATCH($C33,Unit_Rates!$C$7:$C$54,0),6)</f>
        <v>Augmentation</v>
      </c>
      <c r="F33" s="171" t="str">
        <f t="shared" si="4"/>
        <v>SubtransmissionAugmentation</v>
      </c>
      <c r="G33" s="268">
        <f>Unit_Rates!I29</f>
        <v>94.457808471454882</v>
      </c>
      <c r="H33" s="299"/>
      <c r="I33" s="264" t="s">
        <v>292</v>
      </c>
      <c r="J33" s="157"/>
      <c r="K33" s="226">
        <f t="shared" si="5"/>
        <v>0</v>
      </c>
      <c r="L33" s="302">
        <f t="shared" si="2"/>
        <v>0</v>
      </c>
      <c r="M33" s="356"/>
      <c r="N33" s="568"/>
      <c r="O33" s="573"/>
      <c r="P33" s="569"/>
      <c r="Q33" s="336">
        <f>P33-H33*VLOOKUP(C33,Unit_Rates!$C$7:$E$39,3,FALSE)</f>
        <v>0</v>
      </c>
      <c r="R33" s="327">
        <v>0</v>
      </c>
      <c r="S33" s="327">
        <v>0</v>
      </c>
      <c r="T33" s="327">
        <v>0</v>
      </c>
      <c r="U33" s="327">
        <v>0</v>
      </c>
      <c r="V33" s="327">
        <v>0</v>
      </c>
      <c r="W33" s="327">
        <v>0</v>
      </c>
      <c r="X33" s="327">
        <v>0</v>
      </c>
      <c r="Y33" s="14">
        <f t="shared" si="3"/>
        <v>0</v>
      </c>
    </row>
    <row r="34" spans="2:25" x14ac:dyDescent="0.3">
      <c r="B34" s="232"/>
      <c r="C34" s="171" t="s">
        <v>212</v>
      </c>
      <c r="D34" s="171" t="str">
        <f>INDEX(Unit_Rates!$C$7:$K$54,MATCH($C34,Unit_Rates!$C$7:$C$54,0),5)</f>
        <v>Subtransmission</v>
      </c>
      <c r="E34" s="171" t="str">
        <f>INDEX(Unit_Rates!$C$7:$K$54,MATCH($C34,Unit_Rates!$C$7:$C$54,0),6)</f>
        <v>Augmentation</v>
      </c>
      <c r="F34" s="171" t="str">
        <f t="shared" si="4"/>
        <v>SubtransmissionAugmentation</v>
      </c>
      <c r="G34" s="268">
        <f>Unit_Rates!I30</f>
        <v>0</v>
      </c>
      <c r="H34" s="299"/>
      <c r="I34" s="264" t="s">
        <v>292</v>
      </c>
      <c r="J34" s="157"/>
      <c r="K34" s="226">
        <f t="shared" si="5"/>
        <v>0</v>
      </c>
      <c r="L34" s="302">
        <f t="shared" si="2"/>
        <v>0</v>
      </c>
      <c r="M34" s="356"/>
      <c r="N34" s="568"/>
      <c r="O34" s="573"/>
      <c r="P34" s="569"/>
      <c r="Q34" s="336">
        <f>P34-H34*VLOOKUP(C34,Unit_Rates!$C$7:$E$39,3,FALSE)</f>
        <v>0</v>
      </c>
      <c r="R34" s="327">
        <v>0</v>
      </c>
      <c r="S34" s="327">
        <v>0</v>
      </c>
      <c r="T34" s="327">
        <v>0</v>
      </c>
      <c r="U34" s="327">
        <v>0</v>
      </c>
      <c r="V34" s="327">
        <v>0</v>
      </c>
      <c r="W34" s="327">
        <v>0</v>
      </c>
      <c r="X34" s="327">
        <v>0</v>
      </c>
      <c r="Y34" s="14">
        <f t="shared" si="3"/>
        <v>0</v>
      </c>
    </row>
    <row r="35" spans="2:25" x14ac:dyDescent="0.3">
      <c r="B35" s="232"/>
      <c r="C35" s="171" t="s">
        <v>364</v>
      </c>
      <c r="D35" s="171" t="str">
        <f>INDEX(Unit_Rates!$C$7:$K$54,MATCH($C35,Unit_Rates!$C$7:$C$54,0),5)</f>
        <v>Subtransmission</v>
      </c>
      <c r="E35" s="171" t="str">
        <f>INDEX(Unit_Rates!$C$7:$K$54,MATCH($C35,Unit_Rates!$C$7:$C$54,0),6)</f>
        <v>Augmentation</v>
      </c>
      <c r="F35" s="171" t="str">
        <f t="shared" si="4"/>
        <v>SubtransmissionAugmentation</v>
      </c>
      <c r="G35" s="268">
        <f>Unit_Rates!I32</f>
        <v>226.61039779005526</v>
      </c>
      <c r="H35" s="299"/>
      <c r="I35" s="264" t="s">
        <v>292</v>
      </c>
      <c r="J35" s="157"/>
      <c r="K35" s="226">
        <f t="shared" si="5"/>
        <v>0</v>
      </c>
      <c r="L35" s="302">
        <f t="shared" si="2"/>
        <v>0</v>
      </c>
      <c r="M35" s="356"/>
      <c r="N35" s="568"/>
      <c r="O35" s="573"/>
      <c r="P35" s="569"/>
      <c r="Q35" s="336">
        <f>P35-H35*VLOOKUP(C35,Unit_Rates!$C$7:$E$39,3,FALSE)</f>
        <v>0</v>
      </c>
      <c r="R35" s="327">
        <v>0</v>
      </c>
      <c r="S35" s="327">
        <v>0</v>
      </c>
      <c r="T35" s="327">
        <v>0</v>
      </c>
      <c r="U35" s="327">
        <v>0</v>
      </c>
      <c r="V35" s="327">
        <v>0</v>
      </c>
      <c r="W35" s="327">
        <v>0</v>
      </c>
      <c r="X35" s="327">
        <v>0</v>
      </c>
      <c r="Y35" s="14">
        <f t="shared" si="3"/>
        <v>0</v>
      </c>
    </row>
    <row r="36" spans="2:25" x14ac:dyDescent="0.3">
      <c r="B36" s="232"/>
      <c r="C36" s="236" t="s">
        <v>273</v>
      </c>
      <c r="D36" s="171" t="str">
        <f>INDEX(Unit_Rates!$C$7:$K$54,MATCH($C36,Unit_Rates!$C$7:$C$54,0),5)</f>
        <v>Subtransmission</v>
      </c>
      <c r="E36" s="171" t="str">
        <f>INDEX(Unit_Rates!$C$7:$K$54,MATCH($C36,Unit_Rates!$C$7:$C$54,0),6)</f>
        <v>Augmentation</v>
      </c>
      <c r="F36" s="171" t="str">
        <f t="shared" si="4"/>
        <v>SubtransmissionAugmentation</v>
      </c>
      <c r="G36" s="268">
        <f>Unit_Rates!I34</f>
        <v>362.24270165745855</v>
      </c>
      <c r="H36" s="299"/>
      <c r="I36" s="264" t="s">
        <v>292</v>
      </c>
      <c r="J36" s="157"/>
      <c r="K36" s="226">
        <f t="shared" si="5"/>
        <v>0</v>
      </c>
      <c r="L36" s="302">
        <f t="shared" si="2"/>
        <v>0</v>
      </c>
      <c r="M36" s="356"/>
      <c r="N36" s="568"/>
      <c r="O36" s="573"/>
      <c r="P36" s="569"/>
      <c r="Q36" s="336">
        <f>P36-H36*VLOOKUP(C36,Unit_Rates!$C$7:$E$39,3,FALSE)</f>
        <v>0</v>
      </c>
      <c r="R36" s="327">
        <v>0</v>
      </c>
      <c r="S36" s="327">
        <v>0</v>
      </c>
      <c r="T36" s="327">
        <v>0</v>
      </c>
      <c r="U36" s="327">
        <v>0</v>
      </c>
      <c r="V36" s="327">
        <v>0</v>
      </c>
      <c r="W36" s="327">
        <v>0</v>
      </c>
      <c r="X36" s="327">
        <v>0</v>
      </c>
      <c r="Y36" s="14">
        <f t="shared" si="3"/>
        <v>0</v>
      </c>
    </row>
    <row r="37" spans="2:25" x14ac:dyDescent="0.3">
      <c r="B37" s="232"/>
      <c r="C37" s="171" t="s">
        <v>303</v>
      </c>
      <c r="D37" s="171" t="s">
        <v>18</v>
      </c>
      <c r="E37" s="171" t="s">
        <v>42</v>
      </c>
      <c r="F37" s="171" t="str">
        <f t="shared" si="4"/>
        <v>SubtransmissionAugmentation</v>
      </c>
      <c r="G37" s="443">
        <v>0</v>
      </c>
      <c r="H37" s="299"/>
      <c r="I37" s="264" t="s">
        <v>318</v>
      </c>
      <c r="J37" s="157"/>
      <c r="K37" s="226">
        <f t="shared" si="5"/>
        <v>0</v>
      </c>
      <c r="L37" s="302">
        <f t="shared" si="2"/>
        <v>0</v>
      </c>
      <c r="M37" s="356"/>
      <c r="N37" s="568"/>
      <c r="O37" s="573"/>
      <c r="P37" s="569"/>
      <c r="Q37" s="290"/>
      <c r="R37" s="327">
        <v>0</v>
      </c>
      <c r="S37" s="327">
        <v>0</v>
      </c>
      <c r="T37" s="327">
        <v>0</v>
      </c>
      <c r="U37" s="327">
        <v>0</v>
      </c>
      <c r="V37" s="327">
        <v>0</v>
      </c>
      <c r="W37" s="327">
        <v>0</v>
      </c>
      <c r="X37" s="327">
        <v>0</v>
      </c>
      <c r="Y37" s="14">
        <f t="shared" si="3"/>
        <v>0</v>
      </c>
    </row>
    <row r="38" spans="2:25" x14ac:dyDescent="0.3">
      <c r="B38" s="232"/>
      <c r="C38" s="171" t="s">
        <v>60</v>
      </c>
      <c r="D38" s="171" t="s">
        <v>18</v>
      </c>
      <c r="E38" s="171" t="s">
        <v>42</v>
      </c>
      <c r="F38" s="171" t="str">
        <f t="shared" si="4"/>
        <v>SubtransmissionAugmentation</v>
      </c>
      <c r="G38" s="441">
        <v>0</v>
      </c>
      <c r="H38" s="299"/>
      <c r="I38" s="264" t="s">
        <v>292</v>
      </c>
      <c r="J38" s="157"/>
      <c r="K38" s="226">
        <f t="shared" si="5"/>
        <v>0</v>
      </c>
      <c r="L38" s="227">
        <f t="shared" si="2"/>
        <v>0</v>
      </c>
      <c r="M38" s="356"/>
      <c r="N38" s="568"/>
      <c r="O38" s="573"/>
      <c r="P38" s="569"/>
      <c r="Q38" s="290"/>
      <c r="R38" s="327">
        <v>0</v>
      </c>
      <c r="S38" s="327">
        <v>0</v>
      </c>
      <c r="T38" s="327">
        <v>0</v>
      </c>
      <c r="U38" s="327">
        <v>0</v>
      </c>
      <c r="V38" s="327">
        <v>0</v>
      </c>
      <c r="W38" s="327">
        <v>0</v>
      </c>
      <c r="X38" s="327">
        <v>0</v>
      </c>
      <c r="Y38" s="14">
        <f t="shared" si="3"/>
        <v>0</v>
      </c>
    </row>
    <row r="39" spans="2:25" x14ac:dyDescent="0.3">
      <c r="B39" s="232"/>
      <c r="C39" s="171"/>
      <c r="D39" s="171"/>
      <c r="E39" s="171"/>
      <c r="F39" s="171" t="str">
        <f t="shared" si="4"/>
        <v/>
      </c>
      <c r="G39" s="268"/>
      <c r="H39" s="232"/>
      <c r="I39" s="224"/>
      <c r="J39" s="157"/>
      <c r="K39" s="225"/>
      <c r="L39" s="224"/>
      <c r="M39" s="224"/>
      <c r="N39" s="225"/>
      <c r="O39" s="225"/>
      <c r="P39" s="224"/>
      <c r="Q39" s="291"/>
      <c r="R39" s="326"/>
      <c r="S39" s="326"/>
      <c r="T39" s="326"/>
      <c r="U39" s="326"/>
      <c r="V39" s="326"/>
      <c r="W39" s="326"/>
      <c r="X39" s="326"/>
      <c r="Y39" s="14">
        <f t="shared" si="3"/>
        <v>0</v>
      </c>
    </row>
    <row r="40" spans="2:25" x14ac:dyDescent="0.3">
      <c r="B40" s="251" t="s">
        <v>307</v>
      </c>
      <c r="C40" s="171"/>
      <c r="D40" s="171"/>
      <c r="E40" s="171"/>
      <c r="F40" s="171"/>
      <c r="G40" s="268"/>
      <c r="H40" s="277"/>
      <c r="I40" s="266"/>
      <c r="J40" s="274"/>
      <c r="K40" s="226"/>
      <c r="L40" s="226"/>
      <c r="M40" s="226"/>
      <c r="N40" s="281"/>
      <c r="O40" s="226"/>
      <c r="P40" s="223"/>
      <c r="Q40" s="290"/>
      <c r="R40" s="326"/>
      <c r="S40" s="326"/>
      <c r="T40" s="326"/>
      <c r="U40" s="326"/>
      <c r="V40" s="326"/>
      <c r="W40" s="326"/>
      <c r="X40" s="326"/>
    </row>
    <row r="41" spans="2:25" x14ac:dyDescent="0.3">
      <c r="B41" s="232"/>
      <c r="C41" s="276" t="s">
        <v>499</v>
      </c>
      <c r="D41" s="171" t="str">
        <f>INDEX(Unit_Rates!$C$7:$K$54,MATCH($C41,Unit_Rates!$C$7:$C$54,0),5)</f>
        <v>SCADA/Network control</v>
      </c>
      <c r="E41" s="171" t="str">
        <f>INDEX(Unit_Rates!$C$7:$K$54,MATCH($C41,Unit_Rates!$C$7:$C$54,0),6)</f>
        <v>Augmentation</v>
      </c>
      <c r="F41" s="171" t="str">
        <f t="shared" ref="F41:F49" si="9">D41&amp;E41</f>
        <v>SCADA/Network controlAugmentation</v>
      </c>
      <c r="G41" s="268">
        <f>Unit_Rates!I44</f>
        <v>46.208057090239414</v>
      </c>
      <c r="H41" s="299"/>
      <c r="I41" s="264" t="s">
        <v>292</v>
      </c>
      <c r="J41" s="157"/>
      <c r="K41" s="225">
        <f t="shared" ref="K41:K46" si="10">G41*H41</f>
        <v>0</v>
      </c>
      <c r="L41" s="225">
        <f t="shared" ref="L41:L49" si="11">SUMPRODUCT(R$5:X$5,R41:X41)/Thousands</f>
        <v>0</v>
      </c>
      <c r="M41" s="307"/>
      <c r="N41" s="568"/>
      <c r="O41" s="573"/>
      <c r="P41" s="569"/>
      <c r="Q41" s="336">
        <f>P41-H41*VLOOKUP(C41,Unit_Rates!$C$44:$E$54,3,FALSE)</f>
        <v>0</v>
      </c>
      <c r="R41" s="327">
        <v>0</v>
      </c>
      <c r="S41" s="327">
        <v>0</v>
      </c>
      <c r="T41" s="327">
        <v>0</v>
      </c>
      <c r="U41" s="327">
        <v>0</v>
      </c>
      <c r="V41" s="327">
        <v>0</v>
      </c>
      <c r="W41" s="327">
        <v>0</v>
      </c>
      <c r="X41" s="327">
        <v>0</v>
      </c>
    </row>
    <row r="42" spans="2:25" x14ac:dyDescent="0.3">
      <c r="B42" s="232"/>
      <c r="C42" s="276" t="s">
        <v>319</v>
      </c>
      <c r="D42" s="171" t="str">
        <f>INDEX(Unit_Rates!$C$7:$K$54,MATCH($C42,Unit_Rates!$C$7:$C$54,0),5)</f>
        <v>SCADA/Network control</v>
      </c>
      <c r="E42" s="171" t="str">
        <f>INDEX(Unit_Rates!$C$7:$K$54,MATCH($C42,Unit_Rates!$C$7:$C$54,0),6)</f>
        <v>Augmentation</v>
      </c>
      <c r="F42" s="171" t="str">
        <f t="shared" si="9"/>
        <v>SCADA/Network controlAugmentation</v>
      </c>
      <c r="G42" s="268">
        <f>Unit_Rates!I46</f>
        <v>5.88950276243094</v>
      </c>
      <c r="H42" s="299"/>
      <c r="I42" s="264" t="s">
        <v>292</v>
      </c>
      <c r="J42" s="157"/>
      <c r="K42" s="225">
        <f t="shared" si="10"/>
        <v>0</v>
      </c>
      <c r="L42" s="225">
        <f t="shared" si="11"/>
        <v>0</v>
      </c>
      <c r="M42" s="307"/>
      <c r="N42" s="568"/>
      <c r="O42" s="573"/>
      <c r="P42" s="569"/>
      <c r="Q42" s="336">
        <f>P42-H42*VLOOKUP(C42,Unit_Rates!$C$44:$E$54,3,FALSE)</f>
        <v>0</v>
      </c>
      <c r="R42" s="327">
        <v>0</v>
      </c>
      <c r="S42" s="327">
        <v>0</v>
      </c>
      <c r="T42" s="327">
        <v>0</v>
      </c>
      <c r="U42" s="327">
        <v>0</v>
      </c>
      <c r="V42" s="327">
        <v>0</v>
      </c>
      <c r="W42" s="327">
        <v>0</v>
      </c>
      <c r="X42" s="327">
        <v>0</v>
      </c>
      <c r="Y42" s="14">
        <f t="shared" ref="Y42:Y49" si="12">SUM(R42:X42)</f>
        <v>0</v>
      </c>
    </row>
    <row r="43" spans="2:25" x14ac:dyDescent="0.3">
      <c r="B43" s="232"/>
      <c r="C43" s="276" t="s">
        <v>321</v>
      </c>
      <c r="D43" s="171" t="str">
        <f>INDEX(Unit_Rates!$C$7:$K$54,MATCH($C43,Unit_Rates!$C$7:$C$54,0),5)</f>
        <v>SCADA/Network control</v>
      </c>
      <c r="E43" s="171" t="str">
        <f>INDEX(Unit_Rates!$C$7:$K$54,MATCH($C43,Unit_Rates!$C$7:$C$54,0),6)</f>
        <v>Augmentation</v>
      </c>
      <c r="F43" s="171" t="str">
        <f t="shared" si="9"/>
        <v>SCADA/Network controlAugmentation</v>
      </c>
      <c r="G43" s="268">
        <f>Unit_Rates!I47</f>
        <v>8.2030957642725593</v>
      </c>
      <c r="H43" s="299"/>
      <c r="I43" s="264" t="s">
        <v>292</v>
      </c>
      <c r="J43" s="157"/>
      <c r="K43" s="225">
        <f t="shared" ref="K43:K44" si="13">G43*H43</f>
        <v>0</v>
      </c>
      <c r="L43" s="225">
        <f t="shared" si="11"/>
        <v>0</v>
      </c>
      <c r="M43" s="307"/>
      <c r="N43" s="568"/>
      <c r="O43" s="573"/>
      <c r="P43" s="569"/>
      <c r="Q43" s="336">
        <f>P43-H43*VLOOKUP(C43,Unit_Rates!$C$44:$E$54,3,FALSE)</f>
        <v>0</v>
      </c>
      <c r="R43" s="327"/>
      <c r="S43" s="327"/>
      <c r="T43" s="327"/>
      <c r="U43" s="327"/>
      <c r="V43" s="327"/>
      <c r="W43" s="327"/>
      <c r="X43" s="327"/>
      <c r="Y43" s="14">
        <f t="shared" si="12"/>
        <v>0</v>
      </c>
    </row>
    <row r="44" spans="2:25" x14ac:dyDescent="0.3">
      <c r="B44" s="232"/>
      <c r="C44" s="276" t="s">
        <v>520</v>
      </c>
      <c r="D44" s="171" t="str">
        <f>INDEX(Unit_Rates!$C$7:$K$54,MATCH($C44,Unit_Rates!$C$7:$C$54,0),5)</f>
        <v>SCADA/Network control</v>
      </c>
      <c r="E44" s="171" t="str">
        <f>INDEX(Unit_Rates!$C$7:$K$54,MATCH($C44,Unit_Rates!$C$7:$C$54,0),6)</f>
        <v>Augmentation</v>
      </c>
      <c r="F44" s="171" t="str">
        <f t="shared" si="9"/>
        <v>SCADA/Network controlAugmentation</v>
      </c>
      <c r="G44" s="268">
        <f>Unit_Rates!I48</f>
        <v>92.456849907918979</v>
      </c>
      <c r="H44" s="299"/>
      <c r="I44" s="264" t="s">
        <v>292</v>
      </c>
      <c r="J44" s="157"/>
      <c r="K44" s="225">
        <f t="shared" si="13"/>
        <v>0</v>
      </c>
      <c r="L44" s="225">
        <f t="shared" si="11"/>
        <v>0</v>
      </c>
      <c r="M44" s="307"/>
      <c r="N44" s="568"/>
      <c r="O44" s="573"/>
      <c r="P44" s="569"/>
      <c r="Q44" s="336">
        <f>P44-H44*VLOOKUP(C44,Unit_Rates!$C$44:$E$54,3,FALSE)</f>
        <v>0</v>
      </c>
      <c r="R44" s="327"/>
      <c r="S44" s="327"/>
      <c r="T44" s="327"/>
      <c r="U44" s="327"/>
      <c r="V44" s="327"/>
      <c r="W44" s="327"/>
      <c r="X44" s="327"/>
      <c r="Y44" s="14">
        <f t="shared" si="12"/>
        <v>0</v>
      </c>
    </row>
    <row r="45" spans="2:25" x14ac:dyDescent="0.3">
      <c r="B45" s="232"/>
      <c r="C45" s="276" t="s">
        <v>340</v>
      </c>
      <c r="D45" s="276" t="s">
        <v>22</v>
      </c>
      <c r="E45" s="276" t="s">
        <v>42</v>
      </c>
      <c r="F45" s="171" t="str">
        <f t="shared" si="9"/>
        <v>SCADA/Network controlAugmentation</v>
      </c>
      <c r="G45" s="441">
        <v>0</v>
      </c>
      <c r="H45" s="299"/>
      <c r="I45" s="264" t="s">
        <v>292</v>
      </c>
      <c r="J45" s="157"/>
      <c r="K45" s="225">
        <f t="shared" si="10"/>
        <v>0</v>
      </c>
      <c r="L45" s="225">
        <f t="shared" si="11"/>
        <v>0</v>
      </c>
      <c r="M45" s="307"/>
      <c r="N45" s="568"/>
      <c r="O45" s="573"/>
      <c r="P45" s="569"/>
      <c r="Q45" s="336"/>
      <c r="R45" s="327">
        <v>0</v>
      </c>
      <c r="S45" s="327">
        <v>0</v>
      </c>
      <c r="T45" s="327">
        <v>0</v>
      </c>
      <c r="U45" s="327">
        <v>0</v>
      </c>
      <c r="V45" s="327">
        <v>0</v>
      </c>
      <c r="W45" s="327">
        <v>0</v>
      </c>
      <c r="X45" s="327">
        <v>0</v>
      </c>
      <c r="Y45" s="14">
        <f t="shared" si="12"/>
        <v>0</v>
      </c>
    </row>
    <row r="46" spans="2:25" x14ac:dyDescent="0.3">
      <c r="B46" s="232"/>
      <c r="C46" s="276" t="s">
        <v>341</v>
      </c>
      <c r="D46" s="276" t="s">
        <v>22</v>
      </c>
      <c r="E46" s="276" t="s">
        <v>42</v>
      </c>
      <c r="F46" s="171" t="str">
        <f t="shared" si="9"/>
        <v>SCADA/Network controlAugmentation</v>
      </c>
      <c r="G46" s="441">
        <v>0</v>
      </c>
      <c r="H46" s="299"/>
      <c r="I46" s="264" t="s">
        <v>292</v>
      </c>
      <c r="J46" s="157"/>
      <c r="K46" s="225">
        <f t="shared" si="10"/>
        <v>0</v>
      </c>
      <c r="L46" s="225">
        <f t="shared" si="11"/>
        <v>0</v>
      </c>
      <c r="M46" s="307"/>
      <c r="N46" s="568"/>
      <c r="O46" s="573"/>
      <c r="P46" s="569"/>
      <c r="Q46" s="336"/>
      <c r="R46" s="327">
        <v>0</v>
      </c>
      <c r="S46" s="327">
        <v>0</v>
      </c>
      <c r="T46" s="327">
        <v>0</v>
      </c>
      <c r="U46" s="327">
        <v>0</v>
      </c>
      <c r="V46" s="327">
        <v>0</v>
      </c>
      <c r="W46" s="327">
        <v>0</v>
      </c>
      <c r="X46" s="327">
        <v>0</v>
      </c>
      <c r="Y46" s="14">
        <f t="shared" si="12"/>
        <v>0</v>
      </c>
    </row>
    <row r="47" spans="2:25" x14ac:dyDescent="0.3">
      <c r="B47" s="232"/>
      <c r="C47" s="171" t="s">
        <v>324</v>
      </c>
      <c r="D47" s="171" t="s">
        <v>22</v>
      </c>
      <c r="E47" s="171" t="s">
        <v>42</v>
      </c>
      <c r="F47" s="171" t="str">
        <f t="shared" si="9"/>
        <v>SCADA/Network controlAugmentation</v>
      </c>
      <c r="G47" s="441">
        <v>0</v>
      </c>
      <c r="H47" s="299"/>
      <c r="I47" s="264" t="s">
        <v>292</v>
      </c>
      <c r="J47" s="157"/>
      <c r="K47" s="225">
        <f t="shared" ref="K47:K48" si="14">G47*H47</f>
        <v>0</v>
      </c>
      <c r="L47" s="225">
        <f t="shared" si="11"/>
        <v>0</v>
      </c>
      <c r="M47" s="307"/>
      <c r="N47" s="568"/>
      <c r="O47" s="573"/>
      <c r="P47" s="569"/>
      <c r="Q47" s="290"/>
      <c r="R47" s="327">
        <v>0</v>
      </c>
      <c r="S47" s="327">
        <v>0</v>
      </c>
      <c r="T47" s="327">
        <v>0</v>
      </c>
      <c r="U47" s="327">
        <v>0</v>
      </c>
      <c r="V47" s="327">
        <v>0</v>
      </c>
      <c r="W47" s="327">
        <v>0</v>
      </c>
      <c r="X47" s="327">
        <v>0</v>
      </c>
      <c r="Y47" s="14">
        <f t="shared" si="12"/>
        <v>0</v>
      </c>
    </row>
    <row r="48" spans="2:25" x14ac:dyDescent="0.3">
      <c r="B48" s="232"/>
      <c r="C48" s="171" t="s">
        <v>322</v>
      </c>
      <c r="D48" s="171" t="s">
        <v>22</v>
      </c>
      <c r="E48" s="171" t="s">
        <v>42</v>
      </c>
      <c r="F48" s="171" t="str">
        <f t="shared" si="9"/>
        <v>SCADA/Network controlAugmentation</v>
      </c>
      <c r="G48" s="441">
        <v>0</v>
      </c>
      <c r="H48" s="299"/>
      <c r="I48" s="264" t="s">
        <v>292</v>
      </c>
      <c r="J48" s="157"/>
      <c r="K48" s="225">
        <f t="shared" si="14"/>
        <v>0</v>
      </c>
      <c r="L48" s="225">
        <f t="shared" si="11"/>
        <v>0</v>
      </c>
      <c r="M48" s="307"/>
      <c r="N48" s="568"/>
      <c r="O48" s="573"/>
      <c r="P48" s="569"/>
      <c r="Q48" s="290"/>
      <c r="R48" s="327">
        <v>0</v>
      </c>
      <c r="S48" s="327">
        <v>0</v>
      </c>
      <c r="T48" s="327">
        <v>0</v>
      </c>
      <c r="U48" s="327">
        <v>0</v>
      </c>
      <c r="V48" s="327">
        <v>0</v>
      </c>
      <c r="W48" s="327">
        <v>0</v>
      </c>
      <c r="X48" s="327">
        <v>0</v>
      </c>
      <c r="Y48" s="14">
        <f t="shared" si="12"/>
        <v>0</v>
      </c>
    </row>
    <row r="49" spans="2:35" x14ac:dyDescent="0.3">
      <c r="B49" s="251" t="s">
        <v>281</v>
      </c>
      <c r="C49" s="171"/>
      <c r="D49" s="171" t="s">
        <v>18</v>
      </c>
      <c r="E49" s="236" t="s">
        <v>42</v>
      </c>
      <c r="F49" s="171" t="str">
        <f t="shared" si="9"/>
        <v>SubtransmissionAugmentation</v>
      </c>
      <c r="G49" s="441">
        <v>0</v>
      </c>
      <c r="H49" s="299"/>
      <c r="I49" s="264" t="s">
        <v>292</v>
      </c>
      <c r="J49" s="157"/>
      <c r="K49" s="225">
        <f>G49*H49</f>
        <v>0</v>
      </c>
      <c r="L49" s="225">
        <f t="shared" si="11"/>
        <v>0</v>
      </c>
      <c r="M49" s="307"/>
      <c r="N49" s="568"/>
      <c r="O49" s="573"/>
      <c r="P49" s="569"/>
      <c r="Q49" s="290"/>
      <c r="R49" s="327">
        <v>0</v>
      </c>
      <c r="S49" s="327">
        <v>0</v>
      </c>
      <c r="T49" s="327">
        <v>0</v>
      </c>
      <c r="U49" s="327">
        <v>0</v>
      </c>
      <c r="V49" s="327">
        <v>0</v>
      </c>
      <c r="W49" s="327">
        <v>0</v>
      </c>
      <c r="X49" s="327">
        <v>0</v>
      </c>
      <c r="Y49" s="14">
        <f t="shared" si="12"/>
        <v>0</v>
      </c>
    </row>
    <row r="50" spans="2:35" x14ac:dyDescent="0.3">
      <c r="B50" s="251" t="s">
        <v>312</v>
      </c>
      <c r="C50" s="171"/>
      <c r="D50" s="171"/>
      <c r="E50" s="171"/>
      <c r="F50" s="171"/>
      <c r="G50" s="265"/>
      <c r="H50" s="232"/>
      <c r="I50" s="224"/>
      <c r="J50" s="171"/>
      <c r="K50" s="225"/>
      <c r="L50" s="225"/>
      <c r="M50" s="225"/>
      <c r="N50" s="222"/>
      <c r="O50" s="225"/>
      <c r="P50" s="223"/>
      <c r="Q50" s="290"/>
      <c r="R50" s="326"/>
      <c r="S50" s="326"/>
      <c r="T50" s="326"/>
      <c r="U50" s="326"/>
      <c r="V50" s="326"/>
      <c r="W50" s="326"/>
      <c r="X50" s="326"/>
      <c r="Y50" s="14"/>
    </row>
    <row r="51" spans="2:35" x14ac:dyDescent="0.3">
      <c r="B51" s="232"/>
      <c r="C51" s="171" t="s">
        <v>311</v>
      </c>
      <c r="D51" s="171" t="s">
        <v>18</v>
      </c>
      <c r="E51" s="171" t="s">
        <v>42</v>
      </c>
      <c r="F51" s="171" t="str">
        <f t="shared" ref="F51:F55" si="15">D51&amp;E51</f>
        <v>SubtransmissionAugmentation</v>
      </c>
      <c r="G51" s="441">
        <v>0</v>
      </c>
      <c r="H51" s="299"/>
      <c r="I51" s="264" t="s">
        <v>292</v>
      </c>
      <c r="J51" s="171"/>
      <c r="K51" s="225">
        <f>G51*H51</f>
        <v>0</v>
      </c>
      <c r="L51" s="225">
        <f>SUMPRODUCT(R$5:X$5,R51:X51)/Thousands</f>
        <v>0</v>
      </c>
      <c r="M51" s="307"/>
      <c r="N51" s="568"/>
      <c r="O51" s="573"/>
      <c r="P51" s="569"/>
      <c r="Q51" s="290"/>
      <c r="R51" s="327">
        <v>0</v>
      </c>
      <c r="S51" s="327">
        <v>0</v>
      </c>
      <c r="T51" s="327">
        <v>0</v>
      </c>
      <c r="U51" s="327">
        <v>0</v>
      </c>
      <c r="V51" s="327">
        <v>0</v>
      </c>
      <c r="W51" s="327">
        <v>0</v>
      </c>
      <c r="X51" s="327">
        <v>0</v>
      </c>
      <c r="Y51" s="14">
        <f t="shared" ref="Y51:Y55" si="16">SUM(R51:X51)</f>
        <v>0</v>
      </c>
    </row>
    <row r="52" spans="2:35" x14ac:dyDescent="0.3">
      <c r="B52" s="232"/>
      <c r="C52" s="236" t="s">
        <v>316</v>
      </c>
      <c r="D52" s="236" t="str">
        <f>Unit_Rates!G39</f>
        <v>Subtransmission</v>
      </c>
      <c r="E52" s="236" t="str">
        <f>Unit_Rates!H39</f>
        <v>Augmentation</v>
      </c>
      <c r="F52" s="171" t="str">
        <f t="shared" si="15"/>
        <v>SubtransmissionAugmentation</v>
      </c>
      <c r="G52" s="268">
        <f>Unit_Rates!$I$39</f>
        <v>123.95348837209301</v>
      </c>
      <c r="H52" s="299"/>
      <c r="I52" s="264" t="s">
        <v>292</v>
      </c>
      <c r="J52" s="171"/>
      <c r="K52" s="225">
        <f>G52*H52</f>
        <v>0</v>
      </c>
      <c r="L52" s="225">
        <f>SUMPRODUCT(R$5:X$5,R52:X52)/Thousands</f>
        <v>0</v>
      </c>
      <c r="M52" s="307"/>
      <c r="N52" s="568"/>
      <c r="O52" s="568"/>
      <c r="P52" s="569"/>
      <c r="Q52" s="336">
        <f>P52-H52*VLOOKUP("Oil separator",Unit_Rates!$C$7:$E$39,3,FALSE)</f>
        <v>0</v>
      </c>
      <c r="R52" s="327">
        <v>0</v>
      </c>
      <c r="S52" s="327">
        <v>0</v>
      </c>
      <c r="T52" s="327">
        <v>0</v>
      </c>
      <c r="U52" s="327">
        <v>0</v>
      </c>
      <c r="V52" s="327">
        <v>0</v>
      </c>
      <c r="W52" s="327">
        <v>0</v>
      </c>
      <c r="X52" s="327">
        <v>0</v>
      </c>
      <c r="Y52" s="14">
        <f t="shared" si="16"/>
        <v>0</v>
      </c>
    </row>
    <row r="53" spans="2:35" x14ac:dyDescent="0.3">
      <c r="B53" s="232"/>
      <c r="C53" s="296" t="s">
        <v>317</v>
      </c>
      <c r="D53" s="372" t="s">
        <v>18</v>
      </c>
      <c r="E53" s="372" t="s">
        <v>42</v>
      </c>
      <c r="F53" s="171" t="str">
        <f t="shared" si="15"/>
        <v>SubtransmissionAugmentation</v>
      </c>
      <c r="G53" s="441">
        <v>0</v>
      </c>
      <c r="H53" s="299"/>
      <c r="I53" s="264" t="s">
        <v>292</v>
      </c>
      <c r="J53" s="171"/>
      <c r="K53" s="225">
        <f>G53*H53</f>
        <v>0</v>
      </c>
      <c r="L53" s="225">
        <f>SUMPRODUCT(R$5:X$5,R53:X53)/Thousands</f>
        <v>0</v>
      </c>
      <c r="M53" s="307"/>
      <c r="N53" s="568"/>
      <c r="O53" s="573"/>
      <c r="P53" s="569"/>
      <c r="Q53" s="290"/>
      <c r="R53" s="327">
        <v>0</v>
      </c>
      <c r="S53" s="327">
        <v>0</v>
      </c>
      <c r="T53" s="327">
        <v>0</v>
      </c>
      <c r="U53" s="327">
        <v>0</v>
      </c>
      <c r="V53" s="327">
        <v>0</v>
      </c>
      <c r="W53" s="327">
        <v>0</v>
      </c>
      <c r="X53" s="327">
        <v>0</v>
      </c>
      <c r="Y53" s="14">
        <f t="shared" si="16"/>
        <v>0</v>
      </c>
    </row>
    <row r="54" spans="2:35" x14ac:dyDescent="0.3">
      <c r="B54" s="313" t="s">
        <v>284</v>
      </c>
      <c r="C54" s="296"/>
      <c r="D54" s="372" t="s">
        <v>18</v>
      </c>
      <c r="E54" s="372" t="s">
        <v>42</v>
      </c>
      <c r="F54" s="171" t="str">
        <f t="shared" si="15"/>
        <v>SubtransmissionAugmentation</v>
      </c>
      <c r="G54" s="268">
        <v>0</v>
      </c>
      <c r="H54" s="299"/>
      <c r="I54" s="264" t="s">
        <v>292</v>
      </c>
      <c r="J54" s="171"/>
      <c r="K54" s="228">
        <v>0</v>
      </c>
      <c r="L54" s="228">
        <f>SUMPRODUCT(R$5:X$5,R54:X54)/Thousands</f>
        <v>0</v>
      </c>
      <c r="M54" s="312"/>
      <c r="N54" s="568"/>
      <c r="O54" s="566"/>
      <c r="P54" s="569"/>
      <c r="Q54" s="290"/>
      <c r="R54" s="327">
        <v>0</v>
      </c>
      <c r="S54" s="327">
        <v>0</v>
      </c>
      <c r="T54" s="327">
        <v>0</v>
      </c>
      <c r="U54" s="327">
        <v>0</v>
      </c>
      <c r="V54" s="327">
        <v>0</v>
      </c>
      <c r="W54" s="327">
        <v>0</v>
      </c>
      <c r="X54" s="327">
        <v>0</v>
      </c>
      <c r="Y54" s="14">
        <f t="shared" si="16"/>
        <v>0</v>
      </c>
    </row>
    <row r="55" spans="2:35" x14ac:dyDescent="0.3">
      <c r="B55" s="251" t="s">
        <v>268</v>
      </c>
      <c r="C55" s="171"/>
      <c r="D55" s="171" t="s">
        <v>195</v>
      </c>
      <c r="E55" s="276" t="s">
        <v>66</v>
      </c>
      <c r="F55" s="171" t="str">
        <f t="shared" si="15"/>
        <v>LandNon-Network</v>
      </c>
      <c r="G55" s="268">
        <v>0</v>
      </c>
      <c r="H55" s="299"/>
      <c r="I55" s="264" t="s">
        <v>292</v>
      </c>
      <c r="J55" s="171"/>
      <c r="K55" s="228">
        <v>0</v>
      </c>
      <c r="L55" s="228">
        <f>SUMPRODUCT(R$5:X$5,R55:X55)/Thousands</f>
        <v>0</v>
      </c>
      <c r="M55" s="312"/>
      <c r="N55" s="568"/>
      <c r="O55" s="566"/>
      <c r="P55" s="569"/>
      <c r="Q55" s="19"/>
      <c r="R55" s="327">
        <v>0</v>
      </c>
      <c r="S55" s="327">
        <v>0</v>
      </c>
      <c r="T55" s="327">
        <v>0</v>
      </c>
      <c r="U55" s="327">
        <v>0</v>
      </c>
      <c r="V55" s="327">
        <v>0</v>
      </c>
      <c r="W55" s="327">
        <v>0</v>
      </c>
      <c r="X55" s="327">
        <v>0</v>
      </c>
      <c r="Y55" s="14">
        <f t="shared" si="16"/>
        <v>0</v>
      </c>
    </row>
    <row r="56" spans="2:35" x14ac:dyDescent="0.3">
      <c r="B56" s="232"/>
      <c r="C56" s="171"/>
      <c r="D56" s="171"/>
      <c r="E56" s="171"/>
      <c r="F56" s="171"/>
      <c r="G56" s="224"/>
      <c r="H56" s="232"/>
      <c r="I56" s="224"/>
      <c r="J56" s="171"/>
      <c r="K56" s="229"/>
      <c r="L56" s="229"/>
      <c r="M56" s="229"/>
      <c r="N56" s="229"/>
      <c r="O56" s="229"/>
      <c r="P56" s="229"/>
    </row>
    <row r="57" spans="2:35" x14ac:dyDescent="0.3">
      <c r="B57" s="251" t="s">
        <v>282</v>
      </c>
      <c r="C57" s="171"/>
      <c r="D57" s="171"/>
      <c r="E57" s="171"/>
      <c r="F57" s="171"/>
      <c r="G57" s="224"/>
      <c r="H57" s="232"/>
      <c r="I57" s="224"/>
      <c r="J57" s="171"/>
      <c r="K57" s="319">
        <v>0</v>
      </c>
      <c r="L57" s="319">
        <v>0</v>
      </c>
      <c r="M57" s="319">
        <v>0</v>
      </c>
      <c r="N57" s="319">
        <v>0</v>
      </c>
      <c r="O57" s="319">
        <v>0</v>
      </c>
      <c r="P57" s="319">
        <v>0</v>
      </c>
    </row>
    <row r="58" spans="2:35" x14ac:dyDescent="0.3">
      <c r="B58" s="259" t="s">
        <v>55</v>
      </c>
      <c r="C58" s="260"/>
      <c r="D58" s="260"/>
      <c r="E58" s="260"/>
      <c r="F58" s="260"/>
      <c r="G58" s="267"/>
      <c r="H58" s="259"/>
      <c r="I58" s="267"/>
      <c r="J58" s="260"/>
      <c r="K58" s="320">
        <f>K57-Direct_Capex_Totals!Q13</f>
        <v>0</v>
      </c>
      <c r="L58" s="321">
        <f>L57-Direct_Capex_Totals!R13</f>
        <v>0</v>
      </c>
      <c r="M58" s="321">
        <f>M57-Direct_Capex_Totals!S13</f>
        <v>0</v>
      </c>
      <c r="N58" s="321">
        <f>N57-Direct_Capex_Totals!T13</f>
        <v>0</v>
      </c>
      <c r="O58" s="321">
        <f>O57-Direct_Capex_Totals!U13</f>
        <v>0</v>
      </c>
      <c r="P58" s="322">
        <f>SUM(K58:O58)</f>
        <v>0</v>
      </c>
    </row>
    <row r="59" spans="2:35" ht="28.8" x14ac:dyDescent="0.3">
      <c r="B59" s="237" t="s">
        <v>262</v>
      </c>
      <c r="C59" s="238"/>
      <c r="D59" s="292" t="s">
        <v>362</v>
      </c>
      <c r="E59" s="292" t="s">
        <v>84</v>
      </c>
      <c r="F59" s="292"/>
      <c r="G59" s="273" t="s">
        <v>302</v>
      </c>
      <c r="H59" s="345" t="s">
        <v>265</v>
      </c>
      <c r="I59" s="18" t="s">
        <v>293</v>
      </c>
      <c r="J59" s="260"/>
      <c r="K59" s="18" t="s">
        <v>135</v>
      </c>
      <c r="L59" s="18" t="s">
        <v>290</v>
      </c>
      <c r="M59" s="273" t="s">
        <v>136</v>
      </c>
      <c r="N59" s="273" t="s">
        <v>137</v>
      </c>
      <c r="O59" s="18" t="s">
        <v>60</v>
      </c>
      <c r="P59" s="18" t="s">
        <v>291</v>
      </c>
    </row>
    <row r="60" spans="2:35" x14ac:dyDescent="0.3">
      <c r="B60" s="251"/>
      <c r="C60" s="171"/>
      <c r="D60" s="171"/>
      <c r="E60" s="171"/>
      <c r="F60" s="171"/>
      <c r="G60" s="351"/>
      <c r="H60" s="231"/>
      <c r="I60" s="264"/>
      <c r="J60" s="260"/>
      <c r="K60" s="264"/>
      <c r="L60" s="264"/>
      <c r="M60" s="264"/>
      <c r="N60" s="351"/>
      <c r="O60" s="264"/>
      <c r="P60" s="264"/>
    </row>
    <row r="61" spans="2:35" x14ac:dyDescent="0.3">
      <c r="B61" s="251" t="s">
        <v>17</v>
      </c>
      <c r="C61" s="171"/>
      <c r="D61" s="171"/>
      <c r="E61" s="171"/>
      <c r="F61" s="171"/>
      <c r="G61" s="224"/>
      <c r="H61" s="232"/>
      <c r="I61" s="224"/>
      <c r="J61" s="171"/>
      <c r="K61" s="235"/>
      <c r="L61" s="235"/>
      <c r="M61" s="235"/>
      <c r="N61" s="235"/>
      <c r="O61" s="235"/>
      <c r="P61" s="224"/>
      <c r="Y61" s="14"/>
      <c r="AI61" t="s">
        <v>486</v>
      </c>
    </row>
    <row r="62" spans="2:35" x14ac:dyDescent="0.3">
      <c r="B62" s="251"/>
      <c r="C62" s="282" t="s">
        <v>328</v>
      </c>
      <c r="D62" s="282" t="str">
        <f>IF($B$3="WYK2",Unit_Rates!G60,Unit_Rates!G61)</f>
        <v>Distribution system assets</v>
      </c>
      <c r="E62" s="282" t="str">
        <f>IF($B$3="WYK2",Unit_Rates!H60,Unit_Rates!H61)</f>
        <v>Augmentation</v>
      </c>
      <c r="F62" s="171" t="str">
        <f t="shared" ref="F62:F69" si="17">D62&amp;E62</f>
        <v>Distribution system assetsAugmentation</v>
      </c>
      <c r="G62" s="283">
        <v>0</v>
      </c>
      <c r="H62" s="455">
        <f>INDEX(Feeder_Vols!$E$7:$O$16,MATCH($B$3,Feeder_Vols!$B$7:$B$15,0),MATCH(1,Feeder_Vols!$E$6:$O$6,0))</f>
        <v>0</v>
      </c>
      <c r="I62" s="224" t="s">
        <v>297</v>
      </c>
      <c r="J62" s="282"/>
      <c r="K62" s="283"/>
      <c r="L62" s="283">
        <f t="shared" ref="L62:L69" si="18">SUMPRODUCT(R$5:X$5,R62:X62)/Thousands</f>
        <v>0</v>
      </c>
      <c r="M62" s="283">
        <f>$H62*IF($B$3="WYK2",Unit_Rates!K60,Unit_Rates!K61)</f>
        <v>0</v>
      </c>
      <c r="N62" s="283">
        <f>$H62*IF($B$3="WYK2",Unit_Rates!L60,Unit_Rates!L61)</f>
        <v>0</v>
      </c>
      <c r="O62" s="283">
        <f>$H62*IF($B$3="WYK2",Unit_Rates!M60,Unit_Rates!M61)</f>
        <v>0</v>
      </c>
      <c r="P62" s="228">
        <f t="shared" ref="P62:P69" si="19">SUM(K62:O62)</f>
        <v>0</v>
      </c>
      <c r="Q62" s="333"/>
      <c r="R62" s="327">
        <f>$AI62*Z62*$H62</f>
        <v>0</v>
      </c>
      <c r="S62" s="327">
        <f t="shared" ref="S62:X69" si="20">$AI62*AA62*$H62</f>
        <v>0</v>
      </c>
      <c r="T62" s="327">
        <f t="shared" si="20"/>
        <v>0</v>
      </c>
      <c r="U62" s="327">
        <f t="shared" si="20"/>
        <v>0</v>
      </c>
      <c r="V62" s="327">
        <f t="shared" si="20"/>
        <v>0</v>
      </c>
      <c r="W62" s="327">
        <f t="shared" si="20"/>
        <v>0</v>
      </c>
      <c r="X62" s="327">
        <f t="shared" si="20"/>
        <v>0</v>
      </c>
      <c r="Y62" s="14">
        <f t="shared" ref="Y62:Y69" si="21">SUM(R62:X62)</f>
        <v>0</v>
      </c>
      <c r="Z62" s="15">
        <v>0.27203065134099613</v>
      </c>
      <c r="AA62" s="15">
        <v>0.72796934865900376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6">
        <f>SUM(Z62:AF62)</f>
        <v>0.99999999999999989</v>
      </c>
      <c r="AH62" t="b">
        <f>AG62=1</f>
        <v>1</v>
      </c>
      <c r="AI62" s="390">
        <v>54.415307635285394</v>
      </c>
    </row>
    <row r="63" spans="2:35" x14ac:dyDescent="0.3">
      <c r="B63" s="251"/>
      <c r="C63" s="171" t="s">
        <v>231</v>
      </c>
      <c r="D63" s="171" t="str">
        <f>Unit_Rates!G62</f>
        <v>Distribution system assets</v>
      </c>
      <c r="E63" s="171" t="str">
        <f>Unit_Rates!H62</f>
        <v>Augmentation</v>
      </c>
      <c r="F63" s="171" t="str">
        <f t="shared" si="17"/>
        <v>Distribution system assetsAugmentation</v>
      </c>
      <c r="G63" s="565">
        <f>Unit_Rates!I62</f>
        <v>0</v>
      </c>
      <c r="H63" s="455">
        <f>INDEX(Feeder_Vols!$E$7:$O$16,MATCH($B$3,Feeder_Vols!$B$7:$B$15,0),MATCH(2,Feeder_Vols!$E$6:$O$6,0))</f>
        <v>0</v>
      </c>
      <c r="I63" s="224" t="s">
        <v>298</v>
      </c>
      <c r="J63" s="282"/>
      <c r="K63" s="565">
        <f>G63*H63</f>
        <v>0</v>
      </c>
      <c r="L63" s="565">
        <f t="shared" si="18"/>
        <v>0</v>
      </c>
      <c r="M63" s="565">
        <f>$H63*Unit_Rates!K62</f>
        <v>0</v>
      </c>
      <c r="N63" s="565">
        <f>$H63*Unit_Rates!L62</f>
        <v>0</v>
      </c>
      <c r="O63" s="565">
        <f>$H63*Unit_Rates!M62</f>
        <v>0</v>
      </c>
      <c r="P63" s="566">
        <f t="shared" si="19"/>
        <v>0</v>
      </c>
      <c r="Q63" s="14">
        <f>P63-H63*Unit_Rates!$E$62</f>
        <v>0</v>
      </c>
      <c r="R63" s="563"/>
      <c r="S63" s="563"/>
      <c r="T63" s="563"/>
      <c r="U63" s="563"/>
      <c r="V63" s="563"/>
      <c r="W63" s="563"/>
      <c r="X63" s="563"/>
      <c r="Y63" s="564">
        <f t="shared" si="21"/>
        <v>0</v>
      </c>
      <c r="Z63" s="15">
        <v>0</v>
      </c>
      <c r="AA63" s="15">
        <v>0.14071351127025331</v>
      </c>
      <c r="AB63" s="15">
        <v>0.24322448098123187</v>
      </c>
      <c r="AC63" s="15">
        <v>0</v>
      </c>
      <c r="AD63" s="15">
        <v>0.1760177164995757</v>
      </c>
      <c r="AE63" s="15">
        <v>0.44004429124893918</v>
      </c>
      <c r="AF63" s="15">
        <v>0</v>
      </c>
      <c r="AG63" s="16">
        <f t="shared" ref="AG63:AG67" si="22">SUM(Z63:AF63)</f>
        <v>1</v>
      </c>
      <c r="AH63" t="b">
        <f t="shared" ref="AH63:AH67" si="23">AG63=1</f>
        <v>1</v>
      </c>
      <c r="AI63" s="562"/>
    </row>
    <row r="64" spans="2:35" x14ac:dyDescent="0.3">
      <c r="B64" s="251"/>
      <c r="C64" s="171" t="s">
        <v>235</v>
      </c>
      <c r="D64" s="171" t="str">
        <f>Unit_Rates!G63</f>
        <v>Distribution system assets</v>
      </c>
      <c r="E64" s="171" t="str">
        <f>Unit_Rates!H63</f>
        <v>Augmentation</v>
      </c>
      <c r="F64" s="171" t="str">
        <f t="shared" si="17"/>
        <v>Distribution system assetsAugmentation</v>
      </c>
      <c r="G64" s="565">
        <f>Unit_Rates!I63</f>
        <v>0</v>
      </c>
      <c r="H64" s="455">
        <f>INDEX(Feeder_Vols!$E$7:$O$16,MATCH($B$3,Feeder_Vols!$B$7:$B$15,0),MATCH(3,Feeder_Vols!$E$6:$O$6,0))</f>
        <v>0</v>
      </c>
      <c r="I64" s="224" t="s">
        <v>294</v>
      </c>
      <c r="J64" s="282"/>
      <c r="K64" s="565">
        <f t="shared" ref="K64:K66" si="24">G64*H64</f>
        <v>0</v>
      </c>
      <c r="L64" s="565">
        <f t="shared" si="18"/>
        <v>0</v>
      </c>
      <c r="M64" s="565">
        <f>$H64*Unit_Rates!K63</f>
        <v>0</v>
      </c>
      <c r="N64" s="565">
        <f>$H64*Unit_Rates!L63</f>
        <v>0</v>
      </c>
      <c r="O64" s="565">
        <f>$H64*Unit_Rates!M63</f>
        <v>0</v>
      </c>
      <c r="P64" s="566">
        <f t="shared" si="19"/>
        <v>0</v>
      </c>
      <c r="Q64" s="14">
        <f>P64-H64*Unit_Rates!$E$63</f>
        <v>0</v>
      </c>
      <c r="R64" s="563"/>
      <c r="S64" s="563"/>
      <c r="T64" s="563"/>
      <c r="U64" s="563"/>
      <c r="V64" s="563"/>
      <c r="W64" s="563"/>
      <c r="X64" s="563"/>
      <c r="Y64" s="564">
        <f t="shared" si="21"/>
        <v>0</v>
      </c>
      <c r="Z64" s="15">
        <v>0</v>
      </c>
      <c r="AA64" s="15">
        <v>0.11317869701862385</v>
      </c>
      <c r="AB64" s="15">
        <v>0.25101832039696309</v>
      </c>
      <c r="AC64" s="15">
        <v>0</v>
      </c>
      <c r="AD64" s="15">
        <v>0.18165799502411806</v>
      </c>
      <c r="AE64" s="15">
        <v>0.45414498756029509</v>
      </c>
      <c r="AF64" s="15">
        <v>0</v>
      </c>
      <c r="AG64" s="16">
        <f t="shared" si="22"/>
        <v>1</v>
      </c>
      <c r="AH64" t="b">
        <f t="shared" si="23"/>
        <v>1</v>
      </c>
      <c r="AI64" s="562"/>
    </row>
    <row r="65" spans="2:35" x14ac:dyDescent="0.3">
      <c r="B65" s="251"/>
      <c r="C65" s="171" t="s">
        <v>237</v>
      </c>
      <c r="D65" s="171" t="str">
        <f>Unit_Rates!G64</f>
        <v>Distribution system assets</v>
      </c>
      <c r="E65" s="171" t="str">
        <f>Unit_Rates!H64</f>
        <v>Augmentation</v>
      </c>
      <c r="F65" s="171" t="str">
        <f t="shared" si="17"/>
        <v>Distribution system assetsAugmentation</v>
      </c>
      <c r="G65" s="565">
        <f>Unit_Rates!I64</f>
        <v>0</v>
      </c>
      <c r="H65" s="455">
        <f>INDEX(Feeder_Vols!$E$7:$O$16,MATCH($B$3,Feeder_Vols!$B$7:$B$15,0),MATCH(4,Feeder_Vols!$E$6:$O$6,0))</f>
        <v>0</v>
      </c>
      <c r="I65" s="265" t="s">
        <v>299</v>
      </c>
      <c r="J65" s="282"/>
      <c r="K65" s="565">
        <f t="shared" si="24"/>
        <v>0</v>
      </c>
      <c r="L65" s="565">
        <f t="shared" si="18"/>
        <v>0</v>
      </c>
      <c r="M65" s="565">
        <f>$H65*Unit_Rates!K64</f>
        <v>0</v>
      </c>
      <c r="N65" s="565">
        <f>$H65*Unit_Rates!L64</f>
        <v>0</v>
      </c>
      <c r="O65" s="565">
        <f>$H65*Unit_Rates!M64</f>
        <v>0</v>
      </c>
      <c r="P65" s="566">
        <f t="shared" si="19"/>
        <v>0</v>
      </c>
      <c r="Q65" s="14">
        <f>P65-H65*Unit_Rates!$E$64</f>
        <v>0</v>
      </c>
      <c r="R65" s="563"/>
      <c r="S65" s="563"/>
      <c r="T65" s="563"/>
      <c r="U65" s="563"/>
      <c r="V65" s="563"/>
      <c r="W65" s="563"/>
      <c r="X65" s="563"/>
      <c r="Y65" s="564">
        <f t="shared" si="21"/>
        <v>0</v>
      </c>
      <c r="Z65" s="15">
        <v>0</v>
      </c>
      <c r="AA65" s="15">
        <v>0.17737095137749856</v>
      </c>
      <c r="AB65" s="15">
        <v>0.23284844579258887</v>
      </c>
      <c r="AC65" s="15">
        <v>0</v>
      </c>
      <c r="AD65" s="15">
        <v>0.16850874366568935</v>
      </c>
      <c r="AE65" s="15">
        <v>0.42127185916422333</v>
      </c>
      <c r="AF65" s="15">
        <v>0</v>
      </c>
      <c r="AG65" s="16">
        <f t="shared" si="22"/>
        <v>1</v>
      </c>
      <c r="AH65" t="b">
        <f t="shared" si="23"/>
        <v>1</v>
      </c>
      <c r="AI65" s="562"/>
    </row>
    <row r="66" spans="2:35" x14ac:dyDescent="0.3">
      <c r="B66" s="251"/>
      <c r="C66" s="171" t="s">
        <v>233</v>
      </c>
      <c r="D66" s="171" t="str">
        <f>Unit_Rates!G65</f>
        <v>Distribution system assets</v>
      </c>
      <c r="E66" s="171" t="str">
        <f>Unit_Rates!H65</f>
        <v>Augmentation</v>
      </c>
      <c r="F66" s="171" t="str">
        <f t="shared" si="17"/>
        <v>Distribution system assetsAugmentation</v>
      </c>
      <c r="G66" s="283">
        <f>Unit_Rates!I65</f>
        <v>17.106573023255812</v>
      </c>
      <c r="H66" s="455">
        <f>INDEX(Feeder_Vols!$E$7:$O$16,MATCH($B$3,Feeder_Vols!$B$7:$B$15,0),MATCH(5,Feeder_Vols!$E$6:$O$6,0))</f>
        <v>0</v>
      </c>
      <c r="I66" s="265" t="s">
        <v>300</v>
      </c>
      <c r="J66" s="282"/>
      <c r="K66" s="283">
        <f t="shared" si="24"/>
        <v>0</v>
      </c>
      <c r="L66" s="283">
        <f t="shared" si="18"/>
        <v>0</v>
      </c>
      <c r="M66" s="283">
        <f>$H66*Unit_Rates!K65</f>
        <v>0</v>
      </c>
      <c r="N66" s="283">
        <f>$H66*Unit_Rates!L65</f>
        <v>0</v>
      </c>
      <c r="O66" s="283">
        <f>$H66*Unit_Rates!M65</f>
        <v>0</v>
      </c>
      <c r="P66" s="228">
        <f t="shared" si="19"/>
        <v>0</v>
      </c>
      <c r="Q66" s="14">
        <f>P66-H66*Unit_Rates!$E$65</f>
        <v>0</v>
      </c>
      <c r="R66" s="327">
        <f t="shared" ref="R66:R69" si="25">$AI66*Z66*$H66</f>
        <v>0</v>
      </c>
      <c r="S66" s="327">
        <f t="shared" si="20"/>
        <v>0</v>
      </c>
      <c r="T66" s="327">
        <f t="shared" si="20"/>
        <v>0</v>
      </c>
      <c r="U66" s="327">
        <f t="shared" si="20"/>
        <v>0</v>
      </c>
      <c r="V66" s="327">
        <f t="shared" si="20"/>
        <v>0</v>
      </c>
      <c r="W66" s="327">
        <f t="shared" si="20"/>
        <v>0</v>
      </c>
      <c r="X66" s="327">
        <f t="shared" si="20"/>
        <v>0</v>
      </c>
      <c r="Y66" s="14">
        <f t="shared" si="21"/>
        <v>0</v>
      </c>
      <c r="Z66" s="15">
        <v>0</v>
      </c>
      <c r="AA66" s="15">
        <v>6.9240660967474346E-2</v>
      </c>
      <c r="AB66" s="15">
        <v>0.26345515741702774</v>
      </c>
      <c r="AC66" s="15">
        <v>0</v>
      </c>
      <c r="AD66" s="15">
        <v>0.19065833760442799</v>
      </c>
      <c r="AE66" s="15">
        <v>0.47664584401106991</v>
      </c>
      <c r="AF66" s="15">
        <v>0</v>
      </c>
      <c r="AG66" s="16">
        <f t="shared" si="22"/>
        <v>1</v>
      </c>
      <c r="AH66" t="b">
        <f t="shared" si="23"/>
        <v>1</v>
      </c>
      <c r="AI66" s="5">
        <v>20.21933327091789</v>
      </c>
    </row>
    <row r="67" spans="2:35" x14ac:dyDescent="0.3">
      <c r="B67" s="251"/>
      <c r="C67" s="282" t="s">
        <v>344</v>
      </c>
      <c r="D67" s="282" t="str">
        <f>Unit_Rates!G66</f>
        <v>Distribution system assets</v>
      </c>
      <c r="E67" s="282" t="str">
        <f>Unit_Rates!H66</f>
        <v>Augmentation</v>
      </c>
      <c r="F67" s="171" t="str">
        <f t="shared" si="17"/>
        <v>Distribution system assetsAugmentation</v>
      </c>
      <c r="G67" s="283">
        <f>Unit_Rates!I66</f>
        <v>0</v>
      </c>
      <c r="H67" s="455">
        <f>INDEX(Feeder_Vols!$E$7:$O$16,MATCH($B$3,Feeder_Vols!$B$7:$B$15,0),MATCH(1,Feeder_Vols!$E$6:$O$6,0))</f>
        <v>0</v>
      </c>
      <c r="I67" s="224" t="s">
        <v>297</v>
      </c>
      <c r="J67" s="282"/>
      <c r="K67" s="283"/>
      <c r="L67" s="283">
        <f t="shared" si="18"/>
        <v>0</v>
      </c>
      <c r="M67" s="283">
        <f>$H67*Unit_Rates!K66</f>
        <v>0</v>
      </c>
      <c r="N67" s="283">
        <f>$H67*Unit_Rates!L66</f>
        <v>0</v>
      </c>
      <c r="O67" s="283">
        <f>$H67*Unit_Rates!M66</f>
        <v>0</v>
      </c>
      <c r="P67" s="228">
        <f t="shared" si="19"/>
        <v>0</v>
      </c>
      <c r="Q67" s="11">
        <f>P67-H67*Unit_Rates!$E$66</f>
        <v>0</v>
      </c>
      <c r="R67" s="327">
        <f t="shared" si="25"/>
        <v>0</v>
      </c>
      <c r="S67" s="327">
        <f t="shared" si="20"/>
        <v>0</v>
      </c>
      <c r="T67" s="327">
        <f t="shared" si="20"/>
        <v>0</v>
      </c>
      <c r="U67" s="327">
        <f t="shared" si="20"/>
        <v>0</v>
      </c>
      <c r="V67" s="327">
        <f t="shared" si="20"/>
        <v>0</v>
      </c>
      <c r="W67" s="327">
        <f t="shared" si="20"/>
        <v>0</v>
      </c>
      <c r="X67" s="327">
        <f t="shared" si="20"/>
        <v>0</v>
      </c>
      <c r="Y67" s="14">
        <f t="shared" si="21"/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1</v>
      </c>
      <c r="AG67" s="16">
        <f t="shared" si="22"/>
        <v>1</v>
      </c>
      <c r="AH67" t="b">
        <f t="shared" si="23"/>
        <v>1</v>
      </c>
      <c r="AI67" s="5">
        <v>46.398135736397627</v>
      </c>
    </row>
    <row r="68" spans="2:35" x14ac:dyDescent="0.3">
      <c r="B68" s="251"/>
      <c r="C68" s="348" t="s">
        <v>342</v>
      </c>
      <c r="D68" s="363" t="str">
        <f>Unit_Rates!G67</f>
        <v>Distribution system assets</v>
      </c>
      <c r="E68" s="363" t="str">
        <f>Unit_Rates!H67</f>
        <v>Replacement</v>
      </c>
      <c r="F68" s="171" t="str">
        <f t="shared" si="17"/>
        <v>Distribution system assetsReplacement</v>
      </c>
      <c r="G68" s="283">
        <f>Unit_Rates!I67</f>
        <v>0</v>
      </c>
      <c r="H68" s="455">
        <f>INDEX(Feeder_Vols!$E$7:$O$16,MATCH($B$3,Feeder_Vols!$B$7:$B$15,0),MATCH(1,Feeder_Vols!$E$6:$N$6,0))+INDEX(Feeder_Vols!$E$7:$N$16,MATCH($B$3,Feeder_Vols!$B$7:$B$15,0),MATCH(6,Feeder_Vols!$E$6:$O$6,0))</f>
        <v>0</v>
      </c>
      <c r="I68" s="224" t="s">
        <v>346</v>
      </c>
      <c r="J68" s="282"/>
      <c r="K68" s="283"/>
      <c r="L68" s="283">
        <f t="shared" si="18"/>
        <v>0</v>
      </c>
      <c r="M68" s="283">
        <f>$H68*Unit_Rates!K67</f>
        <v>0</v>
      </c>
      <c r="N68" s="283">
        <f>$H68*Unit_Rates!L67</f>
        <v>0</v>
      </c>
      <c r="O68" s="283">
        <f>$H68*Unit_Rates!M67</f>
        <v>0</v>
      </c>
      <c r="P68" s="228">
        <f t="shared" si="19"/>
        <v>0</v>
      </c>
      <c r="Q68" s="11">
        <f>P68-H68*Unit_Rates!$E$67</f>
        <v>0</v>
      </c>
      <c r="R68" s="330"/>
      <c r="S68" s="330"/>
      <c r="T68" s="330"/>
      <c r="U68" s="330"/>
      <c r="V68" s="330"/>
      <c r="W68" s="330"/>
      <c r="X68" s="330"/>
      <c r="Y68" s="14">
        <f t="shared" si="21"/>
        <v>0</v>
      </c>
      <c r="Z68" s="15"/>
      <c r="AA68" s="15"/>
      <c r="AB68" s="15"/>
      <c r="AC68" s="15"/>
      <c r="AD68" s="15"/>
      <c r="AE68" s="15"/>
      <c r="AF68" s="15"/>
      <c r="AI68" s="5">
        <v>0</v>
      </c>
    </row>
    <row r="69" spans="2:35" x14ac:dyDescent="0.3">
      <c r="B69" s="251"/>
      <c r="C69" s="348" t="s">
        <v>418</v>
      </c>
      <c r="D69" s="363" t="str">
        <f>Unit_Rates!G68</f>
        <v>Distribution system assets</v>
      </c>
      <c r="E69" s="363" t="str">
        <f>Unit_Rates!H68</f>
        <v>Replacement</v>
      </c>
      <c r="F69" s="171" t="str">
        <f t="shared" si="17"/>
        <v>Distribution system assetsReplacement</v>
      </c>
      <c r="G69" s="283">
        <f>Unit_Rates!I68</f>
        <v>0</v>
      </c>
      <c r="H69" s="455">
        <f>INDEX(Feeder_Vols!$E$7:$O$16,MATCH($B$3,Feeder_Vols!$B$7:$B$15,0),MATCH(7,Feeder_Vols!$E$6:$O$6,0))</f>
        <v>0</v>
      </c>
      <c r="I69" s="224" t="s">
        <v>343</v>
      </c>
      <c r="J69" s="282"/>
      <c r="K69" s="342"/>
      <c r="L69" s="342">
        <f t="shared" si="18"/>
        <v>0</v>
      </c>
      <c r="M69" s="342">
        <f>$H69*Unit_Rates!K68</f>
        <v>0</v>
      </c>
      <c r="N69" s="342">
        <f>$H69*Unit_Rates!L68</f>
        <v>0</v>
      </c>
      <c r="O69" s="342">
        <f>$H69*Unit_Rates!M68</f>
        <v>0</v>
      </c>
      <c r="P69" s="229">
        <f t="shared" si="19"/>
        <v>0</v>
      </c>
      <c r="Q69" s="11">
        <f>P69-H69*Unit_Rates!$E$68</f>
        <v>0</v>
      </c>
      <c r="R69" s="327">
        <f t="shared" si="25"/>
        <v>0</v>
      </c>
      <c r="S69" s="327">
        <f t="shared" si="20"/>
        <v>0</v>
      </c>
      <c r="T69" s="327">
        <f t="shared" si="20"/>
        <v>0</v>
      </c>
      <c r="U69" s="327">
        <f t="shared" si="20"/>
        <v>0</v>
      </c>
      <c r="V69" s="327">
        <f t="shared" si="20"/>
        <v>0</v>
      </c>
      <c r="W69" s="327">
        <f t="shared" si="20"/>
        <v>0</v>
      </c>
      <c r="X69" s="327">
        <f t="shared" si="20"/>
        <v>0</v>
      </c>
      <c r="Y69" s="14">
        <f t="shared" si="21"/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1</v>
      </c>
      <c r="AG69" s="16">
        <f>SUM(Z69:AF69)</f>
        <v>1</v>
      </c>
      <c r="AH69" t="b">
        <f>AG69=1</f>
        <v>1</v>
      </c>
      <c r="AI69" s="5">
        <v>1.2068965517241379</v>
      </c>
    </row>
    <row r="70" spans="2:35" x14ac:dyDescent="0.3">
      <c r="B70" s="251"/>
      <c r="C70" s="236" t="s">
        <v>301</v>
      </c>
      <c r="D70" s="236"/>
      <c r="E70" s="236"/>
      <c r="F70" s="236"/>
      <c r="G70" s="268"/>
      <c r="H70" s="231"/>
      <c r="I70" s="224"/>
      <c r="J70" s="171"/>
      <c r="K70" s="268">
        <v>0</v>
      </c>
      <c r="L70" s="268">
        <v>0</v>
      </c>
      <c r="M70" s="268">
        <v>0</v>
      </c>
      <c r="N70" s="268">
        <v>0</v>
      </c>
      <c r="O70" s="268">
        <v>0</v>
      </c>
      <c r="P70" s="268">
        <v>0</v>
      </c>
      <c r="Q70" s="11"/>
      <c r="R70" s="326"/>
      <c r="S70" s="326"/>
      <c r="T70" s="326"/>
      <c r="U70" s="326"/>
      <c r="V70" s="326"/>
      <c r="W70" s="326"/>
      <c r="X70" s="326"/>
      <c r="AI70" s="5"/>
    </row>
    <row r="71" spans="2:35" x14ac:dyDescent="0.3">
      <c r="B71" s="251" t="s">
        <v>295</v>
      </c>
      <c r="C71" s="171"/>
      <c r="D71" s="171"/>
      <c r="E71" s="171"/>
      <c r="F71" s="171"/>
      <c r="G71" s="228"/>
      <c r="H71" s="231"/>
      <c r="I71" s="224"/>
      <c r="J71" s="171"/>
      <c r="K71" s="268"/>
      <c r="L71" s="268"/>
      <c r="M71" s="268"/>
      <c r="N71" s="268"/>
      <c r="O71" s="268"/>
      <c r="P71" s="228"/>
      <c r="R71" s="326"/>
      <c r="S71" s="326"/>
      <c r="T71" s="326"/>
      <c r="U71" s="326"/>
      <c r="V71" s="326"/>
      <c r="W71" s="326"/>
      <c r="X71" s="326"/>
      <c r="Y71" s="14"/>
      <c r="AI71" s="5"/>
    </row>
    <row r="72" spans="2:35" x14ac:dyDescent="0.3">
      <c r="B72" s="251"/>
      <c r="C72" s="171" t="s">
        <v>264</v>
      </c>
      <c r="D72" s="171" t="str">
        <f>Unit_Rates!G76</f>
        <v>Distribution system assets</v>
      </c>
      <c r="E72" s="171" t="str">
        <f>Unit_Rates!H76</f>
        <v>Replacement</v>
      </c>
      <c r="F72" s="171" t="str">
        <f t="shared" ref="F72" si="26">D72&amp;E72</f>
        <v>Distribution system assetsReplacement</v>
      </c>
      <c r="G72" s="228">
        <f>Unit_Rates!I76</f>
        <v>0.27269767441860471</v>
      </c>
      <c r="H72" s="456">
        <f>INDEX(Feeder_Vols!$B$21:$D$29,MATCH($B$3,Feeder_Vols!$B$21:$B$29,0),3)</f>
        <v>0</v>
      </c>
      <c r="I72" s="266" t="s">
        <v>292</v>
      </c>
      <c r="J72" s="171"/>
      <c r="K72" s="268">
        <f>G72*H72</f>
        <v>0</v>
      </c>
      <c r="L72" s="268">
        <f>SUMPRODUCT(R$5:X$5,R72:X72)/Thousands</f>
        <v>0</v>
      </c>
      <c r="M72" s="268">
        <f>$H72*Unit_Rates!K76</f>
        <v>0</v>
      </c>
      <c r="N72" s="268">
        <f>$H72*Unit_Rates!L76</f>
        <v>0</v>
      </c>
      <c r="O72" s="268">
        <f>$H72*Unit_Rates!M76</f>
        <v>0</v>
      </c>
      <c r="P72" s="228">
        <f>SUM(K72:O72)</f>
        <v>0</v>
      </c>
      <c r="Q72" s="19">
        <f>P72-H72*Unit_Rates!$E$76</f>
        <v>0</v>
      </c>
      <c r="R72" s="327">
        <f t="shared" ref="R72:X72" si="27">$AI72*Z72*$H72</f>
        <v>0</v>
      </c>
      <c r="S72" s="327">
        <f t="shared" si="27"/>
        <v>0</v>
      </c>
      <c r="T72" s="327">
        <f t="shared" si="27"/>
        <v>0</v>
      </c>
      <c r="U72" s="327">
        <f t="shared" si="27"/>
        <v>0</v>
      </c>
      <c r="V72" s="327">
        <f t="shared" si="27"/>
        <v>0</v>
      </c>
      <c r="W72" s="327">
        <f t="shared" si="27"/>
        <v>0</v>
      </c>
      <c r="X72" s="327">
        <f t="shared" si="27"/>
        <v>0</v>
      </c>
      <c r="Y72" s="14">
        <f t="shared" ref="Y72:Y76" si="28">SUM(R72:X72)</f>
        <v>0</v>
      </c>
      <c r="Z72" s="15">
        <v>2.5727805595989302E-2</v>
      </c>
      <c r="AA72" s="15">
        <v>0</v>
      </c>
      <c r="AB72" s="15">
        <v>0.32115728206047139</v>
      </c>
      <c r="AC72" s="15">
        <v>0</v>
      </c>
      <c r="AD72" s="15">
        <v>0</v>
      </c>
      <c r="AE72" s="15">
        <v>0</v>
      </c>
      <c r="AF72" s="15">
        <v>0.65311491234353936</v>
      </c>
      <c r="AG72" s="16">
        <f>SUM(Z72:AF72)</f>
        <v>1</v>
      </c>
      <c r="AH72" t="b">
        <f>AG72=1</f>
        <v>1</v>
      </c>
      <c r="AI72" s="5">
        <v>0.94266193070973381</v>
      </c>
    </row>
    <row r="73" spans="2:35" x14ac:dyDescent="0.3">
      <c r="B73" s="251"/>
      <c r="C73" s="171" t="s">
        <v>511</v>
      </c>
      <c r="D73" s="171" t="str">
        <f>Unit_Rates!G77</f>
        <v>Distribution system assets</v>
      </c>
      <c r="E73" s="171" t="str">
        <f>Unit_Rates!H77</f>
        <v>Replacement</v>
      </c>
      <c r="F73" s="171" t="str">
        <f t="shared" ref="F73:F76" si="29">D73&amp;E73</f>
        <v>Distribution system assetsReplacement</v>
      </c>
      <c r="G73" s="228">
        <f>Unit_Rates!I77</f>
        <v>0</v>
      </c>
      <c r="H73" s="456">
        <f>INDEX(Feeder_Vols!$H$21:$H$29,MATCH($B$3,Feeder_Vols!$G$21:$G$29,0),1)</f>
        <v>0</v>
      </c>
      <c r="I73" s="266" t="s">
        <v>292</v>
      </c>
      <c r="J73" s="171"/>
      <c r="K73" s="268">
        <f>G73*H73</f>
        <v>0</v>
      </c>
      <c r="L73" s="268">
        <f>SUMPRODUCT(R$5:X$5,R73:X73)/Thousands</f>
        <v>0</v>
      </c>
      <c r="M73" s="268">
        <f>$H73*Unit_Rates!K77</f>
        <v>0</v>
      </c>
      <c r="N73" s="268">
        <f>$H73*Unit_Rates!L77</f>
        <v>0</v>
      </c>
      <c r="O73" s="268">
        <f>$H73*Unit_Rates!M77</f>
        <v>0</v>
      </c>
      <c r="P73" s="228">
        <f>SUM(K73:O73)</f>
        <v>0</v>
      </c>
      <c r="Q73" s="19">
        <f>P73-H73*Unit_Rates!$E$77</f>
        <v>0</v>
      </c>
      <c r="R73" s="327">
        <f t="shared" ref="R73" si="30">$AI73*Z73*$H73</f>
        <v>0</v>
      </c>
      <c r="S73" s="327">
        <f t="shared" ref="S73" si="31">$AI73*AA73*$H73</f>
        <v>0</v>
      </c>
      <c r="T73" s="327">
        <f t="shared" ref="T73" si="32">$AI73*AB73*$H73</f>
        <v>0</v>
      </c>
      <c r="U73" s="327">
        <f t="shared" ref="U73" si="33">$AI73*AC73*$H73</f>
        <v>0</v>
      </c>
      <c r="V73" s="327">
        <f t="shared" ref="V73" si="34">$AI73*AD73*$H73</f>
        <v>0</v>
      </c>
      <c r="W73" s="327">
        <f t="shared" ref="W73" si="35">$AI73*AE73*$H73</f>
        <v>0</v>
      </c>
      <c r="X73" s="327">
        <f t="shared" ref="X73" si="36">$AI73*AF73*$H73</f>
        <v>0</v>
      </c>
      <c r="Y73" s="14">
        <f t="shared" si="28"/>
        <v>0</v>
      </c>
      <c r="Z73" s="15"/>
      <c r="AA73" s="15"/>
      <c r="AB73" s="15"/>
      <c r="AC73" s="15"/>
      <c r="AD73" s="15">
        <v>1</v>
      </c>
      <c r="AE73" s="15"/>
      <c r="AF73" s="15"/>
      <c r="AG73" s="16">
        <f>SUM(Z73:AF73)</f>
        <v>1</v>
      </c>
      <c r="AH73" t="b">
        <f>AG73=1</f>
        <v>1</v>
      </c>
      <c r="AI73" s="46">
        <v>1.8482467232626396</v>
      </c>
    </row>
    <row r="74" spans="2:35" x14ac:dyDescent="0.3">
      <c r="B74" s="251"/>
      <c r="C74" s="171" t="s">
        <v>512</v>
      </c>
      <c r="D74" s="171" t="str">
        <f>Unit_Rates!G78</f>
        <v>Distribution system assets</v>
      </c>
      <c r="E74" s="171" t="str">
        <f>Unit_Rates!H78</f>
        <v>Replacement</v>
      </c>
      <c r="F74" s="171" t="str">
        <f t="shared" si="29"/>
        <v>Distribution system assetsReplacement</v>
      </c>
      <c r="G74" s="228">
        <f>Unit_Rates!I78</f>
        <v>0</v>
      </c>
      <c r="H74" s="456">
        <f>INDEX(Feeder_Vols!$I$21:$I$29,MATCH($B$3,Feeder_Vols!$G$21:$G$29,0),1)</f>
        <v>0</v>
      </c>
      <c r="I74" s="266" t="s">
        <v>292</v>
      </c>
      <c r="J74" s="171"/>
      <c r="K74" s="268">
        <f t="shared" ref="K74:K76" si="37">G74*H74</f>
        <v>0</v>
      </c>
      <c r="L74" s="268">
        <f>SUMPRODUCT(R$5:X$5,R74:X74)/Thousands</f>
        <v>0</v>
      </c>
      <c r="M74" s="268">
        <f>$H74*Unit_Rates!K78</f>
        <v>0</v>
      </c>
      <c r="N74" s="268">
        <f>$H74*Unit_Rates!L78</f>
        <v>0</v>
      </c>
      <c r="O74" s="268">
        <f>$H74*Unit_Rates!M78</f>
        <v>0</v>
      </c>
      <c r="P74" s="228">
        <f t="shared" ref="P74:P76" si="38">SUM(K74:O74)</f>
        <v>0</v>
      </c>
      <c r="Q74" s="19">
        <f>P74-H74*Unit_Rates!$E$77</f>
        <v>0</v>
      </c>
      <c r="R74" s="327">
        <f t="shared" ref="R74" si="39">$AI74*Z74*$H74</f>
        <v>0</v>
      </c>
      <c r="S74" s="327">
        <f t="shared" ref="S74" si="40">$AI74*AA74*$H74</f>
        <v>0</v>
      </c>
      <c r="T74" s="327">
        <f t="shared" ref="T74" si="41">$AI74*AB74*$H74</f>
        <v>0</v>
      </c>
      <c r="U74" s="327">
        <f t="shared" ref="U74" si="42">$AI74*AC74*$H74</f>
        <v>0</v>
      </c>
      <c r="V74" s="327">
        <f t="shared" ref="V74" si="43">$AI74*AD74*$H74</f>
        <v>0</v>
      </c>
      <c r="W74" s="327">
        <f t="shared" ref="W74" si="44">$AI74*AE74*$H74</f>
        <v>0</v>
      </c>
      <c r="X74" s="327">
        <f t="shared" ref="X74" si="45">$AI74*AF74*$H74</f>
        <v>0</v>
      </c>
      <c r="Y74" s="14">
        <f t="shared" si="28"/>
        <v>0</v>
      </c>
      <c r="Z74" s="15"/>
      <c r="AA74" s="15"/>
      <c r="AB74" s="15"/>
      <c r="AC74" s="15"/>
      <c r="AD74" s="15">
        <v>1</v>
      </c>
      <c r="AE74" s="15"/>
      <c r="AF74" s="15"/>
      <c r="AG74" s="16">
        <f>SUM(Z74:AF74)</f>
        <v>1</v>
      </c>
      <c r="AH74" t="b">
        <f>AG74=1</f>
        <v>1</v>
      </c>
      <c r="AI74" s="46">
        <v>61.608224108754577</v>
      </c>
    </row>
    <row r="75" spans="2:35" x14ac:dyDescent="0.3">
      <c r="B75" s="251"/>
      <c r="C75" s="171" t="s">
        <v>513</v>
      </c>
      <c r="D75" s="171" t="str">
        <f>Unit_Rates!G79</f>
        <v>Distribution system assets</v>
      </c>
      <c r="E75" s="171" t="str">
        <f>Unit_Rates!H79</f>
        <v>Replacement</v>
      </c>
      <c r="F75" s="171" t="str">
        <f t="shared" si="29"/>
        <v>Distribution system assetsReplacement</v>
      </c>
      <c r="G75" s="228">
        <f>Unit_Rates!I79</f>
        <v>4.9079189686924494</v>
      </c>
      <c r="H75" s="456">
        <f>INDEX(Feeder_Vols!$J$21:$J$29,MATCH($B$3,Feeder_Vols!$G$21:$G$29,0),1)</f>
        <v>0</v>
      </c>
      <c r="I75" s="266" t="s">
        <v>292</v>
      </c>
      <c r="J75" s="171"/>
      <c r="K75" s="268">
        <f t="shared" si="37"/>
        <v>0</v>
      </c>
      <c r="L75" s="268">
        <f>SUMPRODUCT(R$5:X$5,R75:X75)/Thousands</f>
        <v>0</v>
      </c>
      <c r="M75" s="268">
        <f>$H75*Unit_Rates!K79</f>
        <v>0</v>
      </c>
      <c r="N75" s="268">
        <f>$H75*Unit_Rates!L79</f>
        <v>0</v>
      </c>
      <c r="O75" s="268">
        <f>$H75*Unit_Rates!M79</f>
        <v>0</v>
      </c>
      <c r="P75" s="228">
        <f t="shared" si="38"/>
        <v>0</v>
      </c>
      <c r="Q75" s="19">
        <f>P75-H75*Unit_Rates!$E$77</f>
        <v>0</v>
      </c>
      <c r="R75" s="330"/>
      <c r="S75" s="330"/>
      <c r="T75" s="330"/>
      <c r="U75" s="330"/>
      <c r="V75" s="330"/>
      <c r="W75" s="330"/>
      <c r="X75" s="330"/>
      <c r="Y75" s="14">
        <f t="shared" si="28"/>
        <v>0</v>
      </c>
      <c r="Z75" s="15"/>
      <c r="AA75" s="15"/>
      <c r="AB75" s="15"/>
      <c r="AC75" s="15"/>
      <c r="AD75" s="15"/>
      <c r="AE75" s="15"/>
      <c r="AF75" s="15"/>
      <c r="AG75" s="16"/>
      <c r="AI75" s="5"/>
    </row>
    <row r="76" spans="2:35" x14ac:dyDescent="0.3">
      <c r="B76" s="251"/>
      <c r="C76" s="171" t="s">
        <v>539</v>
      </c>
      <c r="D76" s="171" t="str">
        <f>Unit_Rates!G80</f>
        <v>Distribution system assets</v>
      </c>
      <c r="E76" s="171" t="str">
        <f>Unit_Rates!H80</f>
        <v>Replacement</v>
      </c>
      <c r="F76" s="171" t="str">
        <f t="shared" si="29"/>
        <v>Distribution system assetsReplacement</v>
      </c>
      <c r="G76" s="228">
        <f>Unit_Rates!I80</f>
        <v>9.8158379373848997E-2</v>
      </c>
      <c r="H76" s="456">
        <f>INDEX(Feeder_Vols!$K$21:$K$29,MATCH($B$3,Feeder_Vols!$G$21:$G$29,0),1)</f>
        <v>0</v>
      </c>
      <c r="I76" s="266" t="s">
        <v>510</v>
      </c>
      <c r="J76" s="171"/>
      <c r="K76" s="268">
        <f t="shared" si="37"/>
        <v>0</v>
      </c>
      <c r="L76" s="268">
        <f>SUMPRODUCT(R$5:X$5,R76:X76)/Thousands</f>
        <v>0</v>
      </c>
      <c r="M76" s="268">
        <f>$H76*Unit_Rates!K80</f>
        <v>0</v>
      </c>
      <c r="N76" s="268">
        <f>$H76*Unit_Rates!L80</f>
        <v>0</v>
      </c>
      <c r="O76" s="268">
        <f>$H76*Unit_Rates!M80</f>
        <v>0</v>
      </c>
      <c r="P76" s="228">
        <f t="shared" si="38"/>
        <v>0</v>
      </c>
      <c r="Q76" s="19">
        <f>P76-H76*Unit_Rates!$E$77</f>
        <v>0</v>
      </c>
      <c r="R76" s="330"/>
      <c r="S76" s="330"/>
      <c r="T76" s="330"/>
      <c r="U76" s="330"/>
      <c r="V76" s="330"/>
      <c r="W76" s="330"/>
      <c r="X76" s="330"/>
      <c r="Y76" s="14">
        <f t="shared" si="28"/>
        <v>0</v>
      </c>
      <c r="Z76" s="15"/>
      <c r="AA76" s="15"/>
      <c r="AB76" s="15"/>
      <c r="AC76" s="15"/>
      <c r="AD76" s="15"/>
      <c r="AE76" s="15"/>
      <c r="AF76" s="15"/>
      <c r="AG76" s="16"/>
      <c r="AI76" s="5"/>
    </row>
    <row r="77" spans="2:35" x14ac:dyDescent="0.3">
      <c r="B77" s="251" t="s">
        <v>46</v>
      </c>
      <c r="C77" s="171"/>
      <c r="D77" s="171"/>
      <c r="E77" s="171"/>
      <c r="F77" s="171"/>
      <c r="G77" s="228"/>
      <c r="H77" s="231"/>
      <c r="I77" s="224"/>
      <c r="J77" s="171"/>
      <c r="K77" s="268"/>
      <c r="L77" s="268"/>
      <c r="M77" s="268"/>
      <c r="N77" s="268"/>
      <c r="O77" s="268"/>
      <c r="P77" s="228"/>
      <c r="R77" s="329"/>
      <c r="S77" s="326"/>
      <c r="T77" s="326"/>
      <c r="U77" s="326"/>
      <c r="V77" s="326"/>
      <c r="W77" s="326"/>
      <c r="X77" s="326"/>
      <c r="Y77" s="14"/>
      <c r="Z77" s="15"/>
      <c r="AA77" s="15"/>
      <c r="AB77" s="15"/>
      <c r="AC77" s="15"/>
      <c r="AD77" s="15"/>
      <c r="AE77" s="15"/>
      <c r="AF77" s="15"/>
      <c r="AI77" s="5"/>
    </row>
    <row r="78" spans="2:35" x14ac:dyDescent="0.3">
      <c r="B78" s="251"/>
      <c r="C78" s="171" t="s">
        <v>221</v>
      </c>
      <c r="D78" s="171" t="str">
        <f>Unit_Rates!G86</f>
        <v>Distribution system assets</v>
      </c>
      <c r="E78" s="171" t="str">
        <f>Unit_Rates!H86</f>
        <v>Replacement</v>
      </c>
      <c r="F78" s="171" t="str">
        <f t="shared" ref="F78:F81" si="46">D78&amp;E78</f>
        <v>Distribution system assetsReplacement</v>
      </c>
      <c r="G78" s="228">
        <f>Unit_Rates!I86</f>
        <v>22.447723472706969</v>
      </c>
      <c r="H78" s="457">
        <f>INDEX(Feeder_Vols!$C$35:$F$43,MATCH($B$3,Feeder_Vols!$B$35:$B$43,0),1)</f>
        <v>0</v>
      </c>
      <c r="I78" s="264" t="s">
        <v>292</v>
      </c>
      <c r="J78" s="171"/>
      <c r="K78" s="268">
        <f>G78*H78</f>
        <v>0</v>
      </c>
      <c r="L78" s="268">
        <f>SUMPRODUCT(R$5:X$5,R78:X78)/Thousands</f>
        <v>0</v>
      </c>
      <c r="M78" s="268">
        <f>$H78*Unit_Rates!K86</f>
        <v>0</v>
      </c>
      <c r="N78" s="268">
        <f>$H78*Unit_Rates!L86</f>
        <v>0</v>
      </c>
      <c r="O78" s="268">
        <f>$H78*Unit_Rates!M86</f>
        <v>0</v>
      </c>
      <c r="P78" s="228">
        <f>SUM(K78:O78)</f>
        <v>0</v>
      </c>
      <c r="Q78" s="19">
        <f>P78-(H78*Unit_Rates!$E$86)</f>
        <v>0</v>
      </c>
      <c r="R78" s="327">
        <f t="shared" ref="R78:X81" si="47">$AI78*Z78*$H78</f>
        <v>0</v>
      </c>
      <c r="S78" s="327">
        <f t="shared" si="47"/>
        <v>0</v>
      </c>
      <c r="T78" s="327">
        <f t="shared" si="47"/>
        <v>0</v>
      </c>
      <c r="U78" s="327">
        <f t="shared" si="47"/>
        <v>0</v>
      </c>
      <c r="V78" s="327">
        <f t="shared" si="47"/>
        <v>0</v>
      </c>
      <c r="W78" s="327">
        <f t="shared" si="47"/>
        <v>0</v>
      </c>
      <c r="X78" s="327">
        <f t="shared" si="47"/>
        <v>0</v>
      </c>
      <c r="Y78" s="14">
        <f t="shared" ref="Y78:Y86" si="48">SUM(R78:X78)</f>
        <v>0</v>
      </c>
      <c r="Z78" s="15">
        <v>0.30314923274650013</v>
      </c>
      <c r="AA78" s="15">
        <v>0.32449777026385929</v>
      </c>
      <c r="AB78" s="15">
        <v>0.37235299698964058</v>
      </c>
      <c r="AC78" s="15">
        <v>0</v>
      </c>
      <c r="AD78" s="15">
        <v>0</v>
      </c>
      <c r="AE78" s="15">
        <v>0</v>
      </c>
      <c r="AF78" s="15">
        <v>0</v>
      </c>
      <c r="AG78" s="16">
        <f t="shared" ref="AG78:AG81" si="49">SUM(Z78:AF78)</f>
        <v>1</v>
      </c>
      <c r="AH78" t="b">
        <f t="shared" ref="AH78:AH86" si="50">AG78=1</f>
        <v>1</v>
      </c>
      <c r="AI78" s="5">
        <v>39.978371629581957</v>
      </c>
    </row>
    <row r="79" spans="2:35" x14ac:dyDescent="0.3">
      <c r="B79" s="251"/>
      <c r="C79" s="171" t="s">
        <v>223</v>
      </c>
      <c r="D79" s="171" t="str">
        <f>Unit_Rates!G87</f>
        <v>Distribution system assets</v>
      </c>
      <c r="E79" s="171" t="str">
        <f>Unit_Rates!H87</f>
        <v>Replacement</v>
      </c>
      <c r="F79" s="171" t="str">
        <f t="shared" si="46"/>
        <v>Distribution system assetsReplacement</v>
      </c>
      <c r="G79" s="228">
        <f>Unit_Rates!I87</f>
        <v>21.323700104130506</v>
      </c>
      <c r="H79" s="457">
        <f>INDEX(Feeder_Vols!$C$35:$F$43,MATCH($B$3,Feeder_Vols!$B$35:$B$43,0),2)</f>
        <v>0</v>
      </c>
      <c r="I79" s="264" t="s">
        <v>292</v>
      </c>
      <c r="J79" s="171"/>
      <c r="K79" s="268">
        <f>G79*H79</f>
        <v>0</v>
      </c>
      <c r="L79" s="268">
        <f>SUMPRODUCT(R$5:X$5,R79:X79)/Thousands</f>
        <v>0</v>
      </c>
      <c r="M79" s="268">
        <f>$H79*Unit_Rates!K87</f>
        <v>0</v>
      </c>
      <c r="N79" s="268">
        <f>$H79*Unit_Rates!L87</f>
        <v>0</v>
      </c>
      <c r="O79" s="268">
        <f>$H79*Unit_Rates!M87</f>
        <v>0</v>
      </c>
      <c r="P79" s="228">
        <f>SUM(K79:O79)</f>
        <v>0</v>
      </c>
      <c r="Q79" s="19">
        <f>P79-(H79*Unit_Rates!$E$87)</f>
        <v>0</v>
      </c>
      <c r="R79" s="327">
        <f t="shared" si="47"/>
        <v>0</v>
      </c>
      <c r="S79" s="327">
        <f t="shared" si="47"/>
        <v>0</v>
      </c>
      <c r="T79" s="327">
        <f t="shared" si="47"/>
        <v>0</v>
      </c>
      <c r="U79" s="327">
        <f t="shared" si="47"/>
        <v>0</v>
      </c>
      <c r="V79" s="327">
        <f t="shared" si="47"/>
        <v>0</v>
      </c>
      <c r="W79" s="327">
        <f t="shared" si="47"/>
        <v>0</v>
      </c>
      <c r="X79" s="327">
        <f t="shared" si="47"/>
        <v>0</v>
      </c>
      <c r="Y79" s="14">
        <f t="shared" si="48"/>
        <v>0</v>
      </c>
      <c r="Z79" s="15">
        <v>0.30314923274650013</v>
      </c>
      <c r="AA79" s="15">
        <v>0.32449777026385929</v>
      </c>
      <c r="AB79" s="15">
        <v>0.37235299698964064</v>
      </c>
      <c r="AC79" s="15">
        <v>0</v>
      </c>
      <c r="AD79" s="15">
        <v>0</v>
      </c>
      <c r="AE79" s="15">
        <v>0</v>
      </c>
      <c r="AF79" s="15">
        <v>0</v>
      </c>
      <c r="AG79" s="16">
        <f t="shared" si="49"/>
        <v>1</v>
      </c>
      <c r="AH79" t="b">
        <f t="shared" si="50"/>
        <v>1</v>
      </c>
      <c r="AI79" s="5">
        <v>42.965971070585908</v>
      </c>
    </row>
    <row r="80" spans="2:35" x14ac:dyDescent="0.3">
      <c r="B80" s="251"/>
      <c r="C80" s="171" t="s">
        <v>225</v>
      </c>
      <c r="D80" s="171" t="str">
        <f>Unit_Rates!G88</f>
        <v>Distribution system assets</v>
      </c>
      <c r="E80" s="171" t="str">
        <f>Unit_Rates!H88</f>
        <v>Replacement</v>
      </c>
      <c r="F80" s="171" t="str">
        <f t="shared" si="46"/>
        <v>Distribution system assetsReplacement</v>
      </c>
      <c r="G80" s="228">
        <f>Unit_Rates!I88</f>
        <v>14.297621705426357</v>
      </c>
      <c r="H80" s="457">
        <f>INDEX(Feeder_Vols!$C$35:$F$43,MATCH($B$3,Feeder_Vols!$B$35:$B$43,0),3)</f>
        <v>0</v>
      </c>
      <c r="I80" s="264" t="s">
        <v>292</v>
      </c>
      <c r="J80" s="171"/>
      <c r="K80" s="268">
        <f>G80*H80</f>
        <v>0</v>
      </c>
      <c r="L80" s="268">
        <f>SUMPRODUCT(R$5:X$5,R80:X80)/Thousands</f>
        <v>0</v>
      </c>
      <c r="M80" s="268">
        <f>$H80*Unit_Rates!K88</f>
        <v>0</v>
      </c>
      <c r="N80" s="268">
        <f>$H80*Unit_Rates!L88</f>
        <v>0</v>
      </c>
      <c r="O80" s="268">
        <f>$H80*Unit_Rates!M88</f>
        <v>0</v>
      </c>
      <c r="P80" s="228">
        <f>SUM(K80:O80)</f>
        <v>0</v>
      </c>
      <c r="Q80" s="19">
        <f>P80-(H80*Unit_Rates!$E$88)</f>
        <v>0</v>
      </c>
      <c r="R80" s="327">
        <f t="shared" si="47"/>
        <v>0</v>
      </c>
      <c r="S80" s="327">
        <f t="shared" si="47"/>
        <v>0</v>
      </c>
      <c r="T80" s="327">
        <f t="shared" si="47"/>
        <v>0</v>
      </c>
      <c r="U80" s="327">
        <f t="shared" si="47"/>
        <v>0</v>
      </c>
      <c r="V80" s="327">
        <f t="shared" si="47"/>
        <v>0</v>
      </c>
      <c r="W80" s="327">
        <f t="shared" si="47"/>
        <v>0</v>
      </c>
      <c r="X80" s="327">
        <f t="shared" si="47"/>
        <v>0</v>
      </c>
      <c r="Y80" s="14">
        <f t="shared" si="48"/>
        <v>0</v>
      </c>
      <c r="Z80" s="15">
        <v>0.11818857666880556</v>
      </c>
      <c r="AA80" s="15">
        <v>0.49778875974979209</v>
      </c>
      <c r="AB80" s="15">
        <v>0.3840226635814023</v>
      </c>
      <c r="AC80" s="15">
        <v>0</v>
      </c>
      <c r="AD80" s="15">
        <v>0</v>
      </c>
      <c r="AE80" s="15">
        <v>0</v>
      </c>
      <c r="AF80" s="15">
        <v>0</v>
      </c>
      <c r="AG80" s="16">
        <f t="shared" si="49"/>
        <v>1</v>
      </c>
      <c r="AH80" t="b">
        <f t="shared" si="50"/>
        <v>1</v>
      </c>
      <c r="AI80" s="5">
        <v>144.70421211980818</v>
      </c>
    </row>
    <row r="81" spans="2:35" x14ac:dyDescent="0.3">
      <c r="B81" s="251"/>
      <c r="C81" s="171" t="s">
        <v>227</v>
      </c>
      <c r="D81" s="171" t="str">
        <f>Unit_Rates!G89</f>
        <v>Distribution system assets</v>
      </c>
      <c r="E81" s="171" t="str">
        <f>Unit_Rates!H89</f>
        <v>Replacement</v>
      </c>
      <c r="F81" s="171" t="str">
        <f t="shared" si="46"/>
        <v>Distribution system assetsReplacement</v>
      </c>
      <c r="G81" s="228">
        <f>Unit_Rates!I89</f>
        <v>182.28643631627907</v>
      </c>
      <c r="H81" s="457">
        <f>INDEX(Feeder_Vols!$C$35:$F$43,MATCH($B$3,Feeder_Vols!$B$35:$B$43,0),4)</f>
        <v>0</v>
      </c>
      <c r="I81" s="264" t="s">
        <v>292</v>
      </c>
      <c r="J81" s="171"/>
      <c r="K81" s="268">
        <f>G81*H81</f>
        <v>0</v>
      </c>
      <c r="L81" s="268">
        <f>SUMPRODUCT(R$5:X$5,R81:X81)/Thousands</f>
        <v>0</v>
      </c>
      <c r="M81" s="268">
        <f>$H81*Unit_Rates!K89</f>
        <v>0</v>
      </c>
      <c r="N81" s="268">
        <f>$H81*Unit_Rates!L89</f>
        <v>0</v>
      </c>
      <c r="O81" s="268">
        <f>$H81*Unit_Rates!M89</f>
        <v>0</v>
      </c>
      <c r="P81" s="228">
        <f>SUM(K81:O81)</f>
        <v>0</v>
      </c>
      <c r="Q81" s="19">
        <f>P81-(H81*Unit_Rates!$E$89)</f>
        <v>0</v>
      </c>
      <c r="R81" s="327">
        <f t="shared" si="47"/>
        <v>0</v>
      </c>
      <c r="S81" s="327">
        <f t="shared" si="47"/>
        <v>0</v>
      </c>
      <c r="T81" s="327">
        <f t="shared" si="47"/>
        <v>0</v>
      </c>
      <c r="U81" s="327">
        <f t="shared" si="47"/>
        <v>0</v>
      </c>
      <c r="V81" s="327">
        <f t="shared" si="47"/>
        <v>0</v>
      </c>
      <c r="W81" s="327">
        <f t="shared" si="47"/>
        <v>0</v>
      </c>
      <c r="X81" s="327">
        <f t="shared" si="47"/>
        <v>0</v>
      </c>
      <c r="Y81" s="14">
        <f t="shared" si="48"/>
        <v>0</v>
      </c>
      <c r="Z81" s="15">
        <v>0.69942688247564233</v>
      </c>
      <c r="AA81" s="15">
        <v>4.8454943655496512E-2</v>
      </c>
      <c r="AB81" s="15">
        <v>0.25211817386886121</v>
      </c>
      <c r="AC81" s="15">
        <v>0</v>
      </c>
      <c r="AD81" s="15">
        <v>0</v>
      </c>
      <c r="AE81" s="15">
        <v>0</v>
      </c>
      <c r="AF81" s="15">
        <v>0</v>
      </c>
      <c r="AG81" s="16">
        <f t="shared" si="49"/>
        <v>1</v>
      </c>
      <c r="AH81" t="b">
        <f t="shared" si="50"/>
        <v>1</v>
      </c>
      <c r="AI81" s="5">
        <v>220.41130997006761</v>
      </c>
    </row>
    <row r="82" spans="2:35" x14ac:dyDescent="0.3">
      <c r="B82" s="251" t="s">
        <v>296</v>
      </c>
      <c r="C82" s="171"/>
      <c r="D82" s="171"/>
      <c r="E82" s="171"/>
      <c r="F82" s="171"/>
      <c r="G82" s="228"/>
      <c r="H82" s="231"/>
      <c r="I82" s="264"/>
      <c r="J82" s="171"/>
      <c r="K82" s="268"/>
      <c r="L82" s="268"/>
      <c r="M82" s="268"/>
      <c r="N82" s="268"/>
      <c r="O82" s="268"/>
      <c r="P82" s="228"/>
      <c r="R82" s="326"/>
      <c r="S82" s="326"/>
      <c r="T82" s="326"/>
      <c r="U82" s="326"/>
      <c r="V82" s="326"/>
      <c r="W82" s="326"/>
      <c r="X82" s="326"/>
      <c r="Y82" s="14"/>
    </row>
    <row r="83" spans="2:35" x14ac:dyDescent="0.3">
      <c r="B83" s="232"/>
      <c r="C83" s="171" t="s">
        <v>553</v>
      </c>
      <c r="D83" s="171" t="str">
        <f>Unit_Rates!G95</f>
        <v>Distribution system assets</v>
      </c>
      <c r="E83" s="171" t="str">
        <f>Unit_Rates!H95</f>
        <v>Augmentation</v>
      </c>
      <c r="F83" s="171" t="str">
        <f t="shared" ref="F83" si="51">D83&amp;E83</f>
        <v>Distribution system assetsAugmentation</v>
      </c>
      <c r="G83" s="228">
        <f>Unit_Rates!I95</f>
        <v>490.33390034070919</v>
      </c>
      <c r="H83" s="456">
        <f>INDEX(Feeder_Vols!$C$48:$F$56,MATCH($B$3,Feeder_Vols!$B$48:$B$56,0),1)</f>
        <v>0</v>
      </c>
      <c r="I83" s="264" t="s">
        <v>292</v>
      </c>
      <c r="J83" s="171"/>
      <c r="K83" s="268">
        <f>G83*H83</f>
        <v>0</v>
      </c>
      <c r="L83" s="268">
        <f>SUMPRODUCT(R$5:X$5,R83:X83)/Thousands</f>
        <v>0</v>
      </c>
      <c r="M83" s="268">
        <f>$H83*Unit_Rates!K95</f>
        <v>0</v>
      </c>
      <c r="N83" s="268">
        <f>$H83*Unit_Rates!L95</f>
        <v>0</v>
      </c>
      <c r="O83" s="268">
        <f>$H83*Unit_Rates!M95</f>
        <v>0</v>
      </c>
      <c r="P83" s="228">
        <f>SUM(K83:O83)</f>
        <v>0</v>
      </c>
      <c r="Q83" s="19">
        <f>P83-H83*Unit_Rates!$E95</f>
        <v>0</v>
      </c>
      <c r="R83" s="327">
        <f t="shared" ref="R83:X86" si="52">$AI83*Z83*$H83</f>
        <v>0</v>
      </c>
      <c r="S83" s="327">
        <f t="shared" si="52"/>
        <v>0</v>
      </c>
      <c r="T83" s="327">
        <f t="shared" si="52"/>
        <v>0</v>
      </c>
      <c r="U83" s="327">
        <f t="shared" si="52"/>
        <v>0</v>
      </c>
      <c r="V83" s="327">
        <f t="shared" si="52"/>
        <v>0</v>
      </c>
      <c r="W83" s="327">
        <f t="shared" si="52"/>
        <v>0</v>
      </c>
      <c r="X83" s="327">
        <f t="shared" si="52"/>
        <v>0</v>
      </c>
      <c r="Y83" s="14">
        <f t="shared" si="48"/>
        <v>0</v>
      </c>
      <c r="Z83" s="15">
        <v>0.18112413889844414</v>
      </c>
      <c r="AA83" s="15">
        <v>0.21477521965386426</v>
      </c>
      <c r="AB83" s="15">
        <v>0.6041006414476916</v>
      </c>
      <c r="AC83" s="15">
        <v>0</v>
      </c>
      <c r="AD83" s="15">
        <v>0</v>
      </c>
      <c r="AE83" s="15">
        <v>0</v>
      </c>
      <c r="AF83" s="15">
        <v>0</v>
      </c>
      <c r="AG83" s="16">
        <f t="shared" ref="AG83:AG86" si="53">SUM(Z83:AF83)</f>
        <v>1</v>
      </c>
      <c r="AH83" t="b">
        <f t="shared" si="50"/>
        <v>1</v>
      </c>
      <c r="AI83" s="5">
        <v>469.77670058953754</v>
      </c>
    </row>
    <row r="84" spans="2:35" x14ac:dyDescent="0.3">
      <c r="B84" s="232"/>
      <c r="C84" s="171" t="s">
        <v>481</v>
      </c>
      <c r="D84" s="171" t="str">
        <f>Unit_Rates!G96</f>
        <v>Distribution system assets</v>
      </c>
      <c r="E84" s="171" t="str">
        <f>Unit_Rates!H96</f>
        <v>Augmentation</v>
      </c>
      <c r="F84" s="171" t="str">
        <f t="shared" ref="F84:F86" si="54">D84&amp;E84</f>
        <v>Distribution system assetsAugmentation</v>
      </c>
      <c r="G84" s="228">
        <f>Unit_Rates!I96</f>
        <v>440.92036005674521</v>
      </c>
      <c r="H84" s="456">
        <f>INDEX(Feeder_Vols!$C$48:$F$56,MATCH($B$3,Feeder_Vols!$B$48:$B$56,0),2)</f>
        <v>0</v>
      </c>
      <c r="I84" s="264" t="s">
        <v>292</v>
      </c>
      <c r="J84" s="171"/>
      <c r="K84" s="268">
        <f t="shared" ref="K84:K86" si="55">G84*H84</f>
        <v>0</v>
      </c>
      <c r="L84" s="268">
        <f>SUMPRODUCT(R$5:X$5,R84:X84)/Thousands</f>
        <v>0</v>
      </c>
      <c r="M84" s="268">
        <f>$H84*Unit_Rates!K96</f>
        <v>0</v>
      </c>
      <c r="N84" s="268">
        <f>$H84*Unit_Rates!L96</f>
        <v>0</v>
      </c>
      <c r="O84" s="268">
        <f>$H84*Unit_Rates!M96</f>
        <v>0</v>
      </c>
      <c r="P84" s="228">
        <f t="shared" ref="P84:P86" si="56">SUM(K84:O84)</f>
        <v>0</v>
      </c>
      <c r="Q84" s="19">
        <f>P84-H84*Unit_Rates!$E96</f>
        <v>0</v>
      </c>
      <c r="R84" s="327">
        <f t="shared" si="52"/>
        <v>0</v>
      </c>
      <c r="S84" s="327">
        <f t="shared" si="52"/>
        <v>0</v>
      </c>
      <c r="T84" s="327">
        <f t="shared" si="52"/>
        <v>0</v>
      </c>
      <c r="U84" s="327">
        <f t="shared" si="52"/>
        <v>0</v>
      </c>
      <c r="V84" s="327">
        <f t="shared" si="52"/>
        <v>0</v>
      </c>
      <c r="W84" s="327">
        <f t="shared" si="52"/>
        <v>0</v>
      </c>
      <c r="X84" s="327">
        <f t="shared" si="52"/>
        <v>0</v>
      </c>
      <c r="Y84" s="14">
        <f t="shared" si="48"/>
        <v>0</v>
      </c>
      <c r="Z84" s="15">
        <v>0.18112413889844414</v>
      </c>
      <c r="AA84" s="15">
        <v>0.42955043930772852</v>
      </c>
      <c r="AB84" s="15">
        <v>0.3893254217938274</v>
      </c>
      <c r="AC84" s="15">
        <v>0</v>
      </c>
      <c r="AD84" s="15">
        <v>0</v>
      </c>
      <c r="AE84" s="15">
        <v>0</v>
      </c>
      <c r="AF84" s="15">
        <v>0</v>
      </c>
      <c r="AG84" s="16">
        <f t="shared" si="53"/>
        <v>1</v>
      </c>
      <c r="AH84" t="b">
        <f t="shared" si="50"/>
        <v>1</v>
      </c>
      <c r="AI84" s="5">
        <v>500.15046310508262</v>
      </c>
    </row>
    <row r="85" spans="2:35" x14ac:dyDescent="0.3">
      <c r="B85" s="232"/>
      <c r="C85" s="171" t="s">
        <v>480</v>
      </c>
      <c r="D85" s="171" t="str">
        <f>Unit_Rates!G97</f>
        <v>Distribution system assets</v>
      </c>
      <c r="E85" s="171" t="str">
        <f>Unit_Rates!H97</f>
        <v>Augmentation</v>
      </c>
      <c r="F85" s="171" t="str">
        <f t="shared" si="54"/>
        <v>Distribution system assetsAugmentation</v>
      </c>
      <c r="G85" s="228">
        <f>Unit_Rates!I97</f>
        <v>464.96470387554706</v>
      </c>
      <c r="H85" s="456">
        <f>INDEX(Feeder_Vols!$C$48:$F$56,MATCH($B$3,Feeder_Vols!$B$48:$B$56,0),3)</f>
        <v>0</v>
      </c>
      <c r="I85" s="264" t="s">
        <v>292</v>
      </c>
      <c r="J85" s="171"/>
      <c r="K85" s="268">
        <f t="shared" si="55"/>
        <v>0</v>
      </c>
      <c r="L85" s="268">
        <f>SUMPRODUCT(R$5:X$5,R85:X85)/Thousands</f>
        <v>0</v>
      </c>
      <c r="M85" s="268">
        <f>$H85*Unit_Rates!K97</f>
        <v>0</v>
      </c>
      <c r="N85" s="268">
        <f>$H85*Unit_Rates!L97</f>
        <v>0</v>
      </c>
      <c r="O85" s="268">
        <f>$H85*Unit_Rates!M97</f>
        <v>0</v>
      </c>
      <c r="P85" s="228">
        <f t="shared" si="56"/>
        <v>0</v>
      </c>
      <c r="Q85" s="19">
        <f>P85-H85*Unit_Rates!$E97</f>
        <v>0</v>
      </c>
      <c r="R85" s="327">
        <f t="shared" si="52"/>
        <v>0</v>
      </c>
      <c r="S85" s="327">
        <f t="shared" si="52"/>
        <v>0</v>
      </c>
      <c r="T85" s="327">
        <f t="shared" si="52"/>
        <v>0</v>
      </c>
      <c r="U85" s="327">
        <f t="shared" si="52"/>
        <v>0</v>
      </c>
      <c r="V85" s="327">
        <f t="shared" si="52"/>
        <v>0</v>
      </c>
      <c r="W85" s="327">
        <f t="shared" si="52"/>
        <v>0</v>
      </c>
      <c r="X85" s="327">
        <f t="shared" si="52"/>
        <v>0</v>
      </c>
      <c r="Y85" s="14">
        <f t="shared" si="48"/>
        <v>0</v>
      </c>
      <c r="Z85" s="15">
        <v>0.18112413889844414</v>
      </c>
      <c r="AA85" s="15">
        <v>0.42955043930772852</v>
      </c>
      <c r="AB85" s="15">
        <v>0.3893254217938274</v>
      </c>
      <c r="AC85" s="15">
        <v>0</v>
      </c>
      <c r="AD85" s="15">
        <v>0</v>
      </c>
      <c r="AE85" s="15">
        <v>0</v>
      </c>
      <c r="AF85" s="15">
        <v>0</v>
      </c>
      <c r="AG85" s="16">
        <f t="shared" si="53"/>
        <v>1</v>
      </c>
      <c r="AH85" t="b">
        <f t="shared" si="50"/>
        <v>1</v>
      </c>
      <c r="AI85" s="5">
        <v>416.11120533381393</v>
      </c>
    </row>
    <row r="86" spans="2:35" x14ac:dyDescent="0.3">
      <c r="B86" s="232"/>
      <c r="C86" s="171" t="s">
        <v>295</v>
      </c>
      <c r="D86" s="171" t="str">
        <f>Unit_Rates!G98</f>
        <v>Distribution system assets</v>
      </c>
      <c r="E86" s="171" t="str">
        <f>Unit_Rates!H98</f>
        <v>Replacement</v>
      </c>
      <c r="F86" s="171" t="str">
        <f t="shared" si="54"/>
        <v>Distribution system assetsReplacement</v>
      </c>
      <c r="G86" s="228">
        <f>Unit_Rates!I98</f>
        <v>26.699079189686927</v>
      </c>
      <c r="H86" s="456">
        <f>INDEX(Feeder_Vols!$C$48:$I$56,MATCH($B$3,Feeder_Vols!$B$48:$B$56,0),7)</f>
        <v>0</v>
      </c>
      <c r="I86" s="264" t="s">
        <v>292</v>
      </c>
      <c r="J86" s="171"/>
      <c r="K86" s="268">
        <f t="shared" si="55"/>
        <v>0</v>
      </c>
      <c r="L86" s="268">
        <f>SUMPRODUCT(R$5:X$5,R86:X86)/Thousands</f>
        <v>0</v>
      </c>
      <c r="M86" s="268">
        <f>$H86*Unit_Rates!K98</f>
        <v>0</v>
      </c>
      <c r="N86" s="268">
        <f>$H86*Unit_Rates!L98</f>
        <v>0</v>
      </c>
      <c r="O86" s="268">
        <f>$H86*Unit_Rates!M98</f>
        <v>0</v>
      </c>
      <c r="P86" s="228">
        <f t="shared" si="56"/>
        <v>0</v>
      </c>
      <c r="Q86" s="19">
        <f>P86-H86*Unit_Rates!$E98</f>
        <v>0</v>
      </c>
      <c r="R86" s="327">
        <f t="shared" si="52"/>
        <v>0</v>
      </c>
      <c r="S86" s="327">
        <f t="shared" si="52"/>
        <v>0</v>
      </c>
      <c r="T86" s="327">
        <f t="shared" si="52"/>
        <v>0</v>
      </c>
      <c r="U86" s="327">
        <f t="shared" si="52"/>
        <v>0</v>
      </c>
      <c r="V86" s="327">
        <f t="shared" si="52"/>
        <v>0</v>
      </c>
      <c r="W86" s="327">
        <f t="shared" si="52"/>
        <v>0</v>
      </c>
      <c r="X86" s="327">
        <f t="shared" si="52"/>
        <v>0</v>
      </c>
      <c r="Y86" s="14">
        <f t="shared" si="48"/>
        <v>0</v>
      </c>
      <c r="Z86" s="15">
        <v>0.30314923274650013</v>
      </c>
      <c r="AA86" s="15">
        <v>0.32449777026385929</v>
      </c>
      <c r="AB86" s="15">
        <v>0.37235299698964064</v>
      </c>
      <c r="AC86" s="15">
        <v>0</v>
      </c>
      <c r="AD86" s="15">
        <v>0</v>
      </c>
      <c r="AE86" s="15">
        <v>0</v>
      </c>
      <c r="AF86" s="15">
        <v>0</v>
      </c>
      <c r="AG86" s="16">
        <f t="shared" si="53"/>
        <v>1</v>
      </c>
      <c r="AH86" t="b">
        <f t="shared" si="50"/>
        <v>1</v>
      </c>
      <c r="AI86" s="5">
        <v>53.863654268137608</v>
      </c>
    </row>
    <row r="87" spans="2:35" x14ac:dyDescent="0.3">
      <c r="B87" s="232"/>
      <c r="C87" s="171"/>
      <c r="D87" s="171"/>
      <c r="E87" s="171"/>
      <c r="F87" s="171"/>
      <c r="G87" s="224"/>
      <c r="H87" s="232"/>
      <c r="I87" s="224"/>
      <c r="J87" s="171"/>
      <c r="K87" s="235"/>
      <c r="L87" s="235"/>
      <c r="M87" s="235"/>
      <c r="N87" s="235"/>
      <c r="O87" s="235"/>
      <c r="P87" s="224"/>
    </row>
    <row r="88" spans="2:35" x14ac:dyDescent="0.3">
      <c r="B88" s="251" t="s">
        <v>283</v>
      </c>
      <c r="C88" s="171"/>
      <c r="D88" s="171"/>
      <c r="E88" s="171"/>
      <c r="F88" s="171"/>
      <c r="G88" s="224"/>
      <c r="H88" s="232"/>
      <c r="I88" s="224"/>
      <c r="J88" s="171"/>
      <c r="K88" s="319">
        <f>SUM(K70:K83)</f>
        <v>0</v>
      </c>
      <c r="L88" s="319">
        <f t="shared" ref="L88:P88" si="57">SUM(L70:L83)</f>
        <v>0</v>
      </c>
      <c r="M88" s="319">
        <f t="shared" si="57"/>
        <v>0</v>
      </c>
      <c r="N88" s="319">
        <f t="shared" si="57"/>
        <v>0</v>
      </c>
      <c r="O88" s="319">
        <f t="shared" si="57"/>
        <v>0</v>
      </c>
      <c r="P88" s="319">
        <f t="shared" si="57"/>
        <v>0</v>
      </c>
    </row>
    <row r="89" spans="2:35" x14ac:dyDescent="0.3">
      <c r="B89" s="259" t="s">
        <v>55</v>
      </c>
      <c r="C89" s="260"/>
      <c r="D89" s="260"/>
      <c r="E89" s="260"/>
      <c r="F89" s="260"/>
      <c r="G89" s="260"/>
      <c r="H89" s="260"/>
      <c r="I89" s="260"/>
      <c r="J89" s="260"/>
      <c r="K89" s="323">
        <f>K88-SUMIF(Direct_Capex_Totals!$B$19:$B$109,$B$3,Direct_Capex_Totals!Q$19:Q$109)</f>
        <v>0</v>
      </c>
      <c r="L89" s="323">
        <f>L88-SUMIF(Direct_Capex_Totals!$B$19:$B$109,$B$3,Direct_Capex_Totals!R$19:R$109)</f>
        <v>0</v>
      </c>
      <c r="M89" s="323">
        <f>M88-SUMIF(Direct_Capex_Totals!$B$19:$B$109,$B$3,Direct_Capex_Totals!S$19:S$109)</f>
        <v>0</v>
      </c>
      <c r="N89" s="323">
        <f>N88-SUMIF(Direct_Capex_Totals!$B$19:$B$109,$B$3,Direct_Capex_Totals!T$19:T$109)</f>
        <v>0</v>
      </c>
      <c r="O89" s="323">
        <f>O88-SUMIF(Direct_Capex_Totals!$B$19:$B$109,$B$3,Direct_Capex_Totals!U$19:U$109)</f>
        <v>0</v>
      </c>
      <c r="P89" s="324">
        <f>SUM(K89:O89)</f>
        <v>0</v>
      </c>
      <c r="Q89" s="11"/>
    </row>
    <row r="90" spans="2:35" x14ac:dyDescent="0.3">
      <c r="B90" s="232"/>
      <c r="C90" s="171"/>
      <c r="D90" s="171"/>
      <c r="E90" s="171"/>
      <c r="F90" s="171"/>
      <c r="G90" s="171"/>
      <c r="H90" s="171"/>
      <c r="I90" s="171"/>
      <c r="J90" s="171"/>
      <c r="K90" s="157"/>
      <c r="L90" s="157"/>
      <c r="M90" s="157"/>
      <c r="N90" s="157"/>
      <c r="O90" s="157"/>
      <c r="P90" s="233"/>
      <c r="Q90" s="11"/>
    </row>
    <row r="91" spans="2:35" x14ac:dyDescent="0.3">
      <c r="B91" s="251" t="s">
        <v>103</v>
      </c>
      <c r="C91" s="252"/>
      <c r="D91" s="252"/>
      <c r="E91" s="252"/>
      <c r="F91" s="252"/>
      <c r="G91" s="252"/>
      <c r="H91" s="252"/>
      <c r="I91" s="252"/>
      <c r="J91" s="252"/>
      <c r="K91" s="26">
        <f t="shared" ref="K91:P91" si="58">K57+K88</f>
        <v>0</v>
      </c>
      <c r="L91" s="26">
        <f t="shared" si="58"/>
        <v>0</v>
      </c>
      <c r="M91" s="26">
        <f t="shared" si="58"/>
        <v>0</v>
      </c>
      <c r="N91" s="26">
        <f t="shared" si="58"/>
        <v>0</v>
      </c>
      <c r="O91" s="26">
        <f t="shared" si="58"/>
        <v>0</v>
      </c>
      <c r="P91" s="253">
        <f t="shared" si="58"/>
        <v>0</v>
      </c>
    </row>
    <row r="92" spans="2:35" x14ac:dyDescent="0.3">
      <c r="B92" s="258" t="s">
        <v>55</v>
      </c>
      <c r="C92" s="254"/>
      <c r="D92" s="254"/>
      <c r="E92" s="254"/>
      <c r="F92" s="254"/>
      <c r="G92" s="254"/>
      <c r="H92" s="254"/>
      <c r="I92" s="254"/>
      <c r="J92" s="254"/>
      <c r="K92" s="255">
        <f>K91-SUMIF(Direct_Capex_Totals!$B$132:$B$140,$B$3,Direct_Capex_Totals!Q$132:Q$140)</f>
        <v>0</v>
      </c>
      <c r="L92" s="255">
        <f>L91-SUMIF(Direct_Capex_Totals!$B$132:$B$140,$B$3,Direct_Capex_Totals!R$132:R$140)</f>
        <v>0</v>
      </c>
      <c r="M92" s="255">
        <f>M91-SUMIF(Direct_Capex_Totals!$B$132:$B$140,$B$3,Direct_Capex_Totals!S$132:S$140)</f>
        <v>0</v>
      </c>
      <c r="N92" s="255">
        <f>N91-SUMIF(Direct_Capex_Totals!$B$132:$B$140,$B$3,Direct_Capex_Totals!T$132:T$140)</f>
        <v>0</v>
      </c>
      <c r="O92" s="255">
        <f>O91-SUMIF(Direct_Capex_Totals!$B$132:$B$140,$B$3,Direct_Capex_Totals!U$132:U$140)</f>
        <v>0</v>
      </c>
      <c r="P92" s="257">
        <f>SUM(K92:O92)</f>
        <v>0</v>
      </c>
    </row>
    <row r="95" spans="2:35" hidden="1" outlineLevel="1" x14ac:dyDescent="0.3">
      <c r="C95" t="s">
        <v>261</v>
      </c>
      <c r="D95" t="s">
        <v>18</v>
      </c>
      <c r="E95" t="s">
        <v>42</v>
      </c>
      <c r="F95" s="171" t="str">
        <f t="shared" ref="F95:F115" si="59">D95&amp;E95</f>
        <v>SubtransmissionAugmentation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35" hidden="1" outlineLevel="1" x14ac:dyDescent="0.3">
      <c r="D96" t="s">
        <v>18</v>
      </c>
      <c r="E96" t="s">
        <v>44</v>
      </c>
      <c r="F96" s="171" t="str">
        <f t="shared" si="59"/>
        <v>SubtransmissionReplacement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3:16" hidden="1" outlineLevel="1" x14ac:dyDescent="0.3">
      <c r="D97" t="s">
        <v>22</v>
      </c>
      <c r="E97" t="s">
        <v>42</v>
      </c>
      <c r="F97" s="171" t="str">
        <f t="shared" si="59"/>
        <v>SCADA/Network controlAugmentation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</row>
    <row r="98" spans="3:16" hidden="1" outlineLevel="1" x14ac:dyDescent="0.3">
      <c r="D98" t="s">
        <v>22</v>
      </c>
      <c r="E98" t="s">
        <v>44</v>
      </c>
      <c r="F98" s="171" t="str">
        <f t="shared" si="59"/>
        <v>SCADA/Network controlReplacement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</row>
    <row r="99" spans="3:16" hidden="1" outlineLevel="1" x14ac:dyDescent="0.3">
      <c r="D99" t="s">
        <v>195</v>
      </c>
      <c r="E99" t="s">
        <v>66</v>
      </c>
      <c r="F99" s="171" t="str">
        <f t="shared" si="59"/>
        <v>LandNon-Network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</row>
    <row r="100" spans="3:16" hidden="1" outlineLevel="1" x14ac:dyDescent="0.3">
      <c r="F100" s="171"/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3:16" hidden="1" outlineLevel="1" x14ac:dyDescent="0.3">
      <c r="C101" t="s">
        <v>368</v>
      </c>
      <c r="D101" t="s">
        <v>18</v>
      </c>
      <c r="E101" t="s">
        <v>42</v>
      </c>
      <c r="F101" s="171" t="str">
        <f t="shared" ref="F101:F105" si="60">D101&amp;E101</f>
        <v>SubtransmissionAugmentation</v>
      </c>
      <c r="K101" s="6"/>
      <c r="L101" s="6">
        <v>0</v>
      </c>
      <c r="M101" s="6">
        <v>0</v>
      </c>
      <c r="N101" s="6">
        <v>0</v>
      </c>
      <c r="O101" s="6"/>
      <c r="P101" s="6">
        <v>0</v>
      </c>
    </row>
    <row r="102" spans="3:16" hidden="1" outlineLevel="1" x14ac:dyDescent="0.3">
      <c r="D102" t="s">
        <v>18</v>
      </c>
      <c r="E102" t="s">
        <v>44</v>
      </c>
      <c r="F102" s="171" t="str">
        <f t="shared" si="60"/>
        <v>SubtransmissionReplacement</v>
      </c>
      <c r="K102" s="6"/>
      <c r="L102" s="6">
        <v>0</v>
      </c>
      <c r="M102" s="6">
        <v>0</v>
      </c>
      <c r="N102" s="6">
        <v>0</v>
      </c>
      <c r="O102" s="6"/>
      <c r="P102" s="6">
        <v>0</v>
      </c>
    </row>
    <row r="103" spans="3:16" hidden="1" outlineLevel="1" x14ac:dyDescent="0.3">
      <c r="D103" t="s">
        <v>22</v>
      </c>
      <c r="E103" t="s">
        <v>42</v>
      </c>
      <c r="F103" s="171" t="str">
        <f t="shared" si="60"/>
        <v>SCADA/Network controlAugmentation</v>
      </c>
      <c r="K103" s="6"/>
      <c r="L103" s="6">
        <v>0</v>
      </c>
      <c r="M103" s="6">
        <v>0</v>
      </c>
      <c r="N103" s="6">
        <v>0</v>
      </c>
      <c r="O103" s="6"/>
      <c r="P103" s="6">
        <v>0</v>
      </c>
    </row>
    <row r="104" spans="3:16" hidden="1" outlineLevel="1" x14ac:dyDescent="0.3">
      <c r="D104" t="s">
        <v>22</v>
      </c>
      <c r="E104" t="s">
        <v>44</v>
      </c>
      <c r="F104" s="171" t="str">
        <f t="shared" si="60"/>
        <v>SCADA/Network controlReplacement</v>
      </c>
      <c r="K104" s="6"/>
      <c r="L104" s="6">
        <v>0</v>
      </c>
      <c r="M104" s="6">
        <v>0</v>
      </c>
      <c r="N104" s="6">
        <v>0</v>
      </c>
      <c r="O104" s="6"/>
      <c r="P104" s="6">
        <v>0</v>
      </c>
    </row>
    <row r="105" spans="3:16" hidden="1" outlineLevel="1" x14ac:dyDescent="0.3">
      <c r="D105" t="s">
        <v>195</v>
      </c>
      <c r="E105" t="s">
        <v>66</v>
      </c>
      <c r="F105" s="171" t="str">
        <f t="shared" si="60"/>
        <v>LandNon-Network</v>
      </c>
      <c r="K105" s="39"/>
      <c r="L105" s="39">
        <v>0</v>
      </c>
      <c r="M105" s="39">
        <v>0</v>
      </c>
      <c r="N105" s="39">
        <v>0</v>
      </c>
      <c r="O105" s="39"/>
      <c r="P105" s="39">
        <v>0</v>
      </c>
    </row>
    <row r="106" spans="3:16" hidden="1" outlineLevel="1" x14ac:dyDescent="0.3">
      <c r="F106" s="171"/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3:16" hidden="1" outlineLevel="1" x14ac:dyDescent="0.3">
      <c r="C107" t="s">
        <v>377</v>
      </c>
      <c r="D107" t="s">
        <v>18</v>
      </c>
      <c r="E107" t="s">
        <v>42</v>
      </c>
      <c r="F107" s="171" t="str">
        <f t="shared" ref="F107:F111" si="61">D107&amp;E107</f>
        <v>SubtransmissionAugmentation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</row>
    <row r="108" spans="3:16" hidden="1" outlineLevel="1" x14ac:dyDescent="0.3">
      <c r="D108" t="s">
        <v>18</v>
      </c>
      <c r="E108" t="s">
        <v>44</v>
      </c>
      <c r="F108" s="171" t="str">
        <f t="shared" si="61"/>
        <v>SubtransmissionReplacement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</row>
    <row r="109" spans="3:16" hidden="1" outlineLevel="1" x14ac:dyDescent="0.3">
      <c r="D109" t="s">
        <v>22</v>
      </c>
      <c r="E109" t="s">
        <v>42</v>
      </c>
      <c r="F109" s="171" t="str">
        <f t="shared" si="61"/>
        <v>SCADA/Network controlAugmentation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</row>
    <row r="110" spans="3:16" hidden="1" outlineLevel="1" x14ac:dyDescent="0.3">
      <c r="D110" t="s">
        <v>22</v>
      </c>
      <c r="E110" t="s">
        <v>44</v>
      </c>
      <c r="F110" s="171" t="str">
        <f t="shared" si="61"/>
        <v>SCADA/Network controlReplacement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3:16" hidden="1" outlineLevel="1" x14ac:dyDescent="0.3">
      <c r="D111" t="s">
        <v>195</v>
      </c>
      <c r="E111" t="s">
        <v>66</v>
      </c>
      <c r="F111" s="171" t="str">
        <f t="shared" si="61"/>
        <v>LandNon-Network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</row>
    <row r="112" spans="3:16" hidden="1" outlineLevel="1" x14ac:dyDescent="0.3">
      <c r="F112" s="171"/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</row>
    <row r="113" spans="3:16" hidden="1" outlineLevel="1" x14ac:dyDescent="0.3">
      <c r="F113" s="171"/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</row>
    <row r="114" spans="3:16" hidden="1" outlineLevel="1" x14ac:dyDescent="0.3">
      <c r="C114" t="s">
        <v>17</v>
      </c>
      <c r="D114" t="s">
        <v>19</v>
      </c>
      <c r="E114" t="s">
        <v>42</v>
      </c>
      <c r="F114" s="171" t="str">
        <f t="shared" si="59"/>
        <v>Distribution system assetsAugmentation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</row>
    <row r="115" spans="3:16" hidden="1" outlineLevel="1" x14ac:dyDescent="0.3">
      <c r="D115" t="s">
        <v>19</v>
      </c>
      <c r="E115" t="s">
        <v>44</v>
      </c>
      <c r="F115" s="171" t="str">
        <f t="shared" si="59"/>
        <v>Distribution system assetsReplacement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</row>
    <row r="116" spans="3:16" hidden="1" outlineLevel="1" x14ac:dyDescent="0.3"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</row>
    <row r="117" spans="3:16" hidden="1" outlineLevel="1" x14ac:dyDescent="0.3">
      <c r="K117" s="19">
        <f>K116-K70</f>
        <v>0</v>
      </c>
      <c r="L117" s="19">
        <f t="shared" ref="L117:P117" si="62">L116-L70</f>
        <v>0</v>
      </c>
      <c r="M117" s="19">
        <f t="shared" si="62"/>
        <v>0</v>
      </c>
      <c r="N117" s="19">
        <f t="shared" si="62"/>
        <v>0</v>
      </c>
      <c r="O117" s="19">
        <f t="shared" si="62"/>
        <v>0</v>
      </c>
      <c r="P117" s="19">
        <f t="shared" si="62"/>
        <v>0</v>
      </c>
    </row>
    <row r="118" spans="3:16" collapsed="1" x14ac:dyDescent="0.3"/>
  </sheetData>
  <mergeCells count="3">
    <mergeCell ref="G3:I3"/>
    <mergeCell ref="K3:P3"/>
    <mergeCell ref="R3:X3"/>
  </mergeCells>
  <pageMargins left="0.25" right="0.25" top="0.75" bottom="0.75" header="0.3" footer="0.3"/>
  <pageSetup paperSize="9" scale="72" fitToHeight="0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AG50"/>
  <sheetViews>
    <sheetView zoomScale="85" zoomScaleNormal="85" workbookViewId="0">
      <selection activeCell="A2" sqref="A2"/>
    </sheetView>
  </sheetViews>
  <sheetFormatPr defaultRowHeight="14.4" x14ac:dyDescent="0.3"/>
  <cols>
    <col min="1" max="1" width="4.6640625" customWidth="1"/>
    <col min="13" max="13" width="9" customWidth="1"/>
  </cols>
  <sheetData>
    <row r="2" spans="2:33" x14ac:dyDescent="0.3">
      <c r="B2" s="22" t="s">
        <v>430</v>
      </c>
      <c r="C2" s="22"/>
      <c r="J2" s="440" t="s">
        <v>426</v>
      </c>
    </row>
    <row r="3" spans="2:33" x14ac:dyDescent="0.3">
      <c r="B3" s="22"/>
      <c r="C3" s="22"/>
    </row>
    <row r="4" spans="2:33" x14ac:dyDescent="0.3">
      <c r="B4" t="s">
        <v>409</v>
      </c>
      <c r="P4" t="s">
        <v>603</v>
      </c>
      <c r="W4" t="s">
        <v>604</v>
      </c>
    </row>
    <row r="5" spans="2:33" x14ac:dyDescent="0.3">
      <c r="C5" s="412">
        <v>2015</v>
      </c>
      <c r="D5" s="388">
        <v>2016</v>
      </c>
      <c r="E5" s="388">
        <v>2017</v>
      </c>
      <c r="F5" s="388">
        <v>2018</v>
      </c>
      <c r="G5" s="388">
        <v>2019</v>
      </c>
      <c r="H5" s="388">
        <v>2020</v>
      </c>
      <c r="I5" s="433">
        <v>2021</v>
      </c>
      <c r="J5" s="433">
        <v>2022</v>
      </c>
      <c r="K5" s="433">
        <v>2023</v>
      </c>
      <c r="L5" s="433" t="s">
        <v>428</v>
      </c>
      <c r="M5" s="433" t="s">
        <v>55</v>
      </c>
      <c r="Q5" s="518" t="s">
        <v>600</v>
      </c>
      <c r="R5" s="518" t="s">
        <v>601</v>
      </c>
      <c r="S5" s="518" t="s">
        <v>606</v>
      </c>
      <c r="T5" s="518" t="s">
        <v>607</v>
      </c>
      <c r="U5" s="518" t="s">
        <v>602</v>
      </c>
      <c r="W5" s="518" t="s">
        <v>600</v>
      </c>
      <c r="X5" s="518" t="s">
        <v>601</v>
      </c>
      <c r="Y5" s="518" t="s">
        <v>606</v>
      </c>
      <c r="Z5" s="518" t="s">
        <v>607</v>
      </c>
      <c r="AA5" s="518" t="s">
        <v>602</v>
      </c>
    </row>
    <row r="6" spans="2:33" x14ac:dyDescent="0.3">
      <c r="B6" t="str">
        <f>STN_1</f>
        <v>RWN</v>
      </c>
      <c r="C6" s="413"/>
      <c r="D6" s="444"/>
      <c r="E6" s="444"/>
      <c r="F6" s="444">
        <v>0.1</v>
      </c>
      <c r="G6" s="444">
        <v>0.9</v>
      </c>
      <c r="H6" s="444">
        <v>0</v>
      </c>
      <c r="I6" s="444">
        <v>0</v>
      </c>
      <c r="J6" s="444"/>
      <c r="K6" s="444"/>
      <c r="L6" s="16">
        <f>SUM(C6:K6)</f>
        <v>1</v>
      </c>
      <c r="M6" s="16">
        <f>1-L6</f>
        <v>0</v>
      </c>
      <c r="P6" t="str">
        <f>STN_1</f>
        <v>RWN</v>
      </c>
      <c r="Q6" s="16">
        <f>SUM(D6:H6)</f>
        <v>1</v>
      </c>
      <c r="R6" s="16">
        <f>SUM(D18:H18)</f>
        <v>1</v>
      </c>
      <c r="S6" s="16">
        <v>1</v>
      </c>
      <c r="T6" s="16">
        <f>SUM(D30:H30)</f>
        <v>1</v>
      </c>
      <c r="U6" s="16">
        <f>SUM(D42:H42)</f>
        <v>1</v>
      </c>
      <c r="W6" s="16">
        <f>SUM(I6:K6)</f>
        <v>0</v>
      </c>
      <c r="X6" s="16">
        <f>SUM(I18:K18)</f>
        <v>0</v>
      </c>
      <c r="Y6" s="16">
        <v>0</v>
      </c>
      <c r="Z6" s="16">
        <f>SUM(I30:K30)</f>
        <v>0</v>
      </c>
      <c r="AA6" s="16">
        <f>SUM(I42:K42)</f>
        <v>0</v>
      </c>
      <c r="AC6" s="16"/>
      <c r="AD6" s="16"/>
      <c r="AE6" s="16"/>
      <c r="AF6" s="16"/>
      <c r="AG6" s="16"/>
    </row>
    <row r="7" spans="2:33" x14ac:dyDescent="0.3">
      <c r="B7" t="str">
        <f>STN_2</f>
        <v>ELM</v>
      </c>
      <c r="C7" s="413"/>
      <c r="D7" s="444"/>
      <c r="E7" s="444"/>
      <c r="F7" s="444">
        <v>6.6000000000000003E-2</v>
      </c>
      <c r="G7" s="444">
        <v>0.8839999999999999</v>
      </c>
      <c r="H7" s="444">
        <v>0.05</v>
      </c>
      <c r="I7" s="444">
        <v>0</v>
      </c>
      <c r="J7" s="444"/>
      <c r="K7" s="444"/>
      <c r="L7" s="16">
        <f t="shared" ref="L7:L14" si="0">SUM(C7:K7)</f>
        <v>1</v>
      </c>
      <c r="M7" s="16">
        <f t="shared" ref="M7:M14" si="1">1-L7</f>
        <v>0</v>
      </c>
      <c r="P7" t="str">
        <f>STN_2</f>
        <v>ELM</v>
      </c>
      <c r="Q7" s="16">
        <f t="shared" ref="Q7:Q14" si="2">SUM(D7:H7)</f>
        <v>1</v>
      </c>
      <c r="R7" s="16">
        <f t="shared" ref="R7:R14" si="3">SUM(D19:H19)</f>
        <v>1</v>
      </c>
      <c r="S7" s="16">
        <v>1</v>
      </c>
      <c r="T7" s="16">
        <f t="shared" ref="T7:T14" si="4">SUM(D31:H31)</f>
        <v>0.98</v>
      </c>
      <c r="U7" s="16">
        <f t="shared" ref="U7:U14" si="5">SUM(D43:H43)</f>
        <v>0.95000000000000007</v>
      </c>
      <c r="W7" s="16">
        <f t="shared" ref="W7:W14" si="6">SUM(I7:K7)</f>
        <v>0</v>
      </c>
      <c r="X7" s="16">
        <f t="shared" ref="X7:X14" si="7">SUM(I19:K19)</f>
        <v>0</v>
      </c>
      <c r="Y7" s="16">
        <v>0</v>
      </c>
      <c r="Z7" s="16">
        <f t="shared" ref="Z7:Z14" si="8">SUM(I31:K31)</f>
        <v>0.02</v>
      </c>
      <c r="AA7" s="16">
        <f t="shared" ref="AA7:AA14" si="9">SUM(I43:K43)</f>
        <v>0.05</v>
      </c>
      <c r="AC7" s="16"/>
      <c r="AD7" s="16"/>
      <c r="AE7" s="16"/>
      <c r="AF7" s="16"/>
      <c r="AG7" s="16"/>
    </row>
    <row r="8" spans="2:33" x14ac:dyDescent="0.3">
      <c r="B8" t="str">
        <f>STN_3</f>
        <v>FGY</v>
      </c>
      <c r="C8" s="413"/>
      <c r="D8" s="444"/>
      <c r="E8" s="444"/>
      <c r="F8" s="444">
        <v>0.06</v>
      </c>
      <c r="G8" s="444">
        <v>0.60999999999999988</v>
      </c>
      <c r="H8" s="444">
        <v>0.33</v>
      </c>
      <c r="I8" s="444">
        <v>0</v>
      </c>
      <c r="J8" s="444"/>
      <c r="K8" s="444"/>
      <c r="L8" s="16">
        <f t="shared" si="0"/>
        <v>1</v>
      </c>
      <c r="M8" s="16">
        <f t="shared" si="1"/>
        <v>0</v>
      </c>
      <c r="P8" t="str">
        <f>STN_3</f>
        <v>FGY</v>
      </c>
      <c r="Q8" s="16">
        <f t="shared" si="2"/>
        <v>1</v>
      </c>
      <c r="R8" s="16">
        <f t="shared" si="3"/>
        <v>0.95000000000000007</v>
      </c>
      <c r="S8" s="16">
        <v>1</v>
      </c>
      <c r="T8" s="16">
        <f t="shared" si="4"/>
        <v>0.98</v>
      </c>
      <c r="U8" s="16">
        <f t="shared" si="5"/>
        <v>0.95000000000000007</v>
      </c>
      <c r="W8" s="16">
        <f t="shared" si="6"/>
        <v>0</v>
      </c>
      <c r="X8" s="16">
        <f t="shared" si="7"/>
        <v>0.05</v>
      </c>
      <c r="Y8" s="16">
        <v>0</v>
      </c>
      <c r="Z8" s="16">
        <f t="shared" si="8"/>
        <v>0.02</v>
      </c>
      <c r="AA8" s="16">
        <f t="shared" si="9"/>
        <v>0.05</v>
      </c>
      <c r="AC8" s="16"/>
      <c r="AD8" s="16"/>
      <c r="AE8" s="16"/>
      <c r="AF8" s="16"/>
      <c r="AG8" s="16"/>
    </row>
    <row r="9" spans="2:33" x14ac:dyDescent="0.3">
      <c r="B9" t="str">
        <f>STN_4</f>
        <v>WOTS22</v>
      </c>
      <c r="C9" s="413"/>
      <c r="D9" s="444"/>
      <c r="E9" s="444"/>
      <c r="F9" s="444">
        <v>0.1</v>
      </c>
      <c r="G9" s="444">
        <v>0.9</v>
      </c>
      <c r="H9" s="444">
        <v>0</v>
      </c>
      <c r="I9" s="444">
        <v>0</v>
      </c>
      <c r="J9" s="444"/>
      <c r="K9" s="444"/>
      <c r="L9" s="16">
        <f t="shared" si="0"/>
        <v>1</v>
      </c>
      <c r="M9" s="16">
        <f t="shared" si="1"/>
        <v>0</v>
      </c>
      <c r="P9" t="str">
        <f>STN_4</f>
        <v>WOTS22</v>
      </c>
      <c r="Q9" s="16">
        <f t="shared" si="2"/>
        <v>1</v>
      </c>
      <c r="R9" s="16">
        <f t="shared" si="3"/>
        <v>1</v>
      </c>
      <c r="S9" s="16">
        <v>1</v>
      </c>
      <c r="T9" s="16">
        <f t="shared" si="4"/>
        <v>1</v>
      </c>
      <c r="U9" s="16">
        <f t="shared" si="5"/>
        <v>1</v>
      </c>
      <c r="W9" s="16">
        <f t="shared" si="6"/>
        <v>0</v>
      </c>
      <c r="X9" s="16">
        <f t="shared" si="7"/>
        <v>0</v>
      </c>
      <c r="Y9" s="16">
        <v>0</v>
      </c>
      <c r="Z9" s="16">
        <f t="shared" si="8"/>
        <v>0</v>
      </c>
      <c r="AA9" s="16">
        <f t="shared" si="9"/>
        <v>0</v>
      </c>
      <c r="AC9" s="16"/>
      <c r="AD9" s="16"/>
      <c r="AE9" s="16"/>
      <c r="AF9" s="16"/>
      <c r="AG9" s="16"/>
    </row>
    <row r="10" spans="2:33" x14ac:dyDescent="0.3">
      <c r="B10" t="str">
        <f>STN_5</f>
        <v>MOE</v>
      </c>
      <c r="C10" s="413"/>
      <c r="D10" s="444"/>
      <c r="E10" s="444"/>
      <c r="F10" s="444">
        <v>0.05</v>
      </c>
      <c r="G10" s="444">
        <v>0.47499999999999998</v>
      </c>
      <c r="H10" s="444">
        <v>0.47499999999999998</v>
      </c>
      <c r="I10" s="444">
        <v>0</v>
      </c>
      <c r="J10" s="444"/>
      <c r="K10" s="444"/>
      <c r="L10" s="16">
        <f t="shared" si="0"/>
        <v>1</v>
      </c>
      <c r="M10" s="16">
        <f t="shared" si="1"/>
        <v>0</v>
      </c>
      <c r="P10" t="str">
        <f>STN_5</f>
        <v>MOE</v>
      </c>
      <c r="Q10" s="16">
        <f t="shared" si="2"/>
        <v>1</v>
      </c>
      <c r="R10" s="16">
        <f t="shared" si="3"/>
        <v>0.95</v>
      </c>
      <c r="S10" s="16">
        <v>1</v>
      </c>
      <c r="T10" s="16">
        <f t="shared" si="4"/>
        <v>0.98</v>
      </c>
      <c r="U10" s="16">
        <f t="shared" si="5"/>
        <v>0.95000000000000007</v>
      </c>
      <c r="W10" s="16">
        <f t="shared" si="6"/>
        <v>0</v>
      </c>
      <c r="X10" s="16">
        <f t="shared" si="7"/>
        <v>0.05</v>
      </c>
      <c r="Y10" s="16">
        <v>0</v>
      </c>
      <c r="Z10" s="16">
        <f t="shared" si="8"/>
        <v>0.02</v>
      </c>
      <c r="AA10" s="16">
        <f t="shared" si="9"/>
        <v>0.05</v>
      </c>
      <c r="AC10" s="16"/>
      <c r="AD10" s="16"/>
      <c r="AE10" s="16"/>
      <c r="AF10" s="16"/>
      <c r="AG10" s="16"/>
    </row>
    <row r="11" spans="2:33" x14ac:dyDescent="0.3">
      <c r="B11" t="str">
        <f>STN_6</f>
        <v>BGE</v>
      </c>
      <c r="C11" s="413"/>
      <c r="D11" s="444"/>
      <c r="E11" s="444"/>
      <c r="F11" s="444">
        <v>6.6000000000000003E-2</v>
      </c>
      <c r="G11" s="444">
        <v>0.88400000000000001</v>
      </c>
      <c r="H11" s="444">
        <v>0.05</v>
      </c>
      <c r="I11" s="444">
        <v>0</v>
      </c>
      <c r="J11" s="444"/>
      <c r="K11" s="444"/>
      <c r="L11" s="16">
        <f t="shared" si="0"/>
        <v>1</v>
      </c>
      <c r="M11" s="16">
        <f t="shared" si="1"/>
        <v>0</v>
      </c>
      <c r="P11" t="str">
        <f>STN_6</f>
        <v>BGE</v>
      </c>
      <c r="Q11" s="16">
        <f t="shared" si="2"/>
        <v>1</v>
      </c>
      <c r="R11" s="16">
        <f t="shared" si="3"/>
        <v>1</v>
      </c>
      <c r="S11" s="16">
        <v>1</v>
      </c>
      <c r="T11" s="16">
        <f t="shared" si="4"/>
        <v>1</v>
      </c>
      <c r="U11" s="16">
        <f t="shared" si="5"/>
        <v>1</v>
      </c>
      <c r="W11" s="16">
        <f t="shared" si="6"/>
        <v>0</v>
      </c>
      <c r="X11" s="16">
        <f t="shared" si="7"/>
        <v>0</v>
      </c>
      <c r="Y11" s="16">
        <v>0</v>
      </c>
      <c r="Z11" s="16">
        <f t="shared" si="8"/>
        <v>0</v>
      </c>
      <c r="AA11" s="16">
        <f t="shared" si="9"/>
        <v>0</v>
      </c>
      <c r="AC11" s="16"/>
      <c r="AD11" s="16"/>
      <c r="AE11" s="16"/>
      <c r="AF11" s="16"/>
      <c r="AG11" s="16"/>
    </row>
    <row r="12" spans="2:33" x14ac:dyDescent="0.3">
      <c r="B12" t="str">
        <f>STN_7</f>
        <v>LDL</v>
      </c>
      <c r="C12" s="413"/>
      <c r="D12" s="444"/>
      <c r="E12" s="444"/>
      <c r="F12" s="444">
        <v>3.4000000000000002E-2</v>
      </c>
      <c r="G12" s="444">
        <v>0.49099999999999999</v>
      </c>
      <c r="H12" s="444">
        <v>0.47499999999999998</v>
      </c>
      <c r="I12" s="444">
        <v>0</v>
      </c>
      <c r="J12" s="444"/>
      <c r="K12" s="444"/>
      <c r="L12" s="16">
        <f t="shared" si="0"/>
        <v>1</v>
      </c>
      <c r="M12" s="16">
        <f t="shared" si="1"/>
        <v>0</v>
      </c>
      <c r="P12" t="str">
        <f>STN_7</f>
        <v>LDL</v>
      </c>
      <c r="Q12" s="16">
        <f t="shared" si="2"/>
        <v>1</v>
      </c>
      <c r="R12" s="16">
        <f t="shared" si="3"/>
        <v>1</v>
      </c>
      <c r="S12" s="16">
        <v>1</v>
      </c>
      <c r="T12" s="16">
        <f t="shared" si="4"/>
        <v>0.98</v>
      </c>
      <c r="U12" s="16">
        <f t="shared" si="5"/>
        <v>0.95000000000000007</v>
      </c>
      <c r="W12" s="16">
        <f t="shared" si="6"/>
        <v>0</v>
      </c>
      <c r="X12" s="16">
        <f t="shared" si="7"/>
        <v>0</v>
      </c>
      <c r="Y12" s="16">
        <v>0</v>
      </c>
      <c r="Z12" s="16">
        <f t="shared" si="8"/>
        <v>0.02</v>
      </c>
      <c r="AA12" s="16">
        <f t="shared" si="9"/>
        <v>0.05</v>
      </c>
      <c r="AC12" s="16"/>
      <c r="AD12" s="16"/>
      <c r="AE12" s="16"/>
      <c r="AF12" s="16"/>
      <c r="AG12" s="16"/>
    </row>
    <row r="13" spans="2:33" x14ac:dyDescent="0.3">
      <c r="B13" t="str">
        <f>STN_8</f>
        <v>BDL</v>
      </c>
      <c r="C13" s="413"/>
      <c r="D13" s="444"/>
      <c r="E13" s="444"/>
      <c r="F13" s="444">
        <v>6.6000000000000003E-2</v>
      </c>
      <c r="G13" s="444">
        <v>0.8839999999999999</v>
      </c>
      <c r="H13" s="444">
        <v>0.05</v>
      </c>
      <c r="I13" s="444">
        <v>0</v>
      </c>
      <c r="J13" s="444"/>
      <c r="K13" s="444"/>
      <c r="L13" s="16">
        <f t="shared" si="0"/>
        <v>1</v>
      </c>
      <c r="M13" s="16">
        <f t="shared" si="1"/>
        <v>0</v>
      </c>
      <c r="P13" t="str">
        <f>STN_8</f>
        <v>BDL</v>
      </c>
      <c r="Q13" s="16">
        <f t="shared" si="2"/>
        <v>1</v>
      </c>
      <c r="R13" s="16">
        <f t="shared" si="3"/>
        <v>1</v>
      </c>
      <c r="S13" s="16">
        <v>1</v>
      </c>
      <c r="T13" s="16">
        <f t="shared" si="4"/>
        <v>1</v>
      </c>
      <c r="U13" s="16">
        <f t="shared" si="5"/>
        <v>1</v>
      </c>
      <c r="W13" s="16">
        <f t="shared" si="6"/>
        <v>0</v>
      </c>
      <c r="X13" s="16">
        <f t="shared" si="7"/>
        <v>0</v>
      </c>
      <c r="Y13" s="16">
        <v>0</v>
      </c>
      <c r="Z13" s="16">
        <f t="shared" si="8"/>
        <v>0</v>
      </c>
      <c r="AA13" s="16">
        <f t="shared" si="9"/>
        <v>0</v>
      </c>
      <c r="AC13" s="16"/>
      <c r="AD13" s="16"/>
      <c r="AE13" s="16"/>
      <c r="AF13" s="16"/>
      <c r="AG13" s="16"/>
    </row>
    <row r="14" spans="2:33" x14ac:dyDescent="0.3">
      <c r="B14" t="str">
        <f>STN_9</f>
        <v>[spare]</v>
      </c>
      <c r="C14" s="413"/>
      <c r="D14" s="444"/>
      <c r="E14" s="444"/>
      <c r="F14" s="444"/>
      <c r="G14" s="444"/>
      <c r="H14" s="444"/>
      <c r="I14" s="444"/>
      <c r="J14" s="444"/>
      <c r="K14" s="444"/>
      <c r="L14" s="16">
        <f t="shared" si="0"/>
        <v>0</v>
      </c>
      <c r="M14" s="16">
        <f t="shared" si="1"/>
        <v>1</v>
      </c>
      <c r="P14" t="str">
        <f>STN_9</f>
        <v>[spare]</v>
      </c>
      <c r="Q14" s="16">
        <f t="shared" si="2"/>
        <v>0</v>
      </c>
      <c r="R14" s="16">
        <f t="shared" si="3"/>
        <v>0</v>
      </c>
      <c r="S14" s="16">
        <v>0</v>
      </c>
      <c r="T14" s="16">
        <f t="shared" si="4"/>
        <v>0</v>
      </c>
      <c r="U14" s="16">
        <f t="shared" si="5"/>
        <v>0</v>
      </c>
      <c r="W14" s="16">
        <f t="shared" si="6"/>
        <v>0</v>
      </c>
      <c r="X14" s="16">
        <f t="shared" si="7"/>
        <v>0</v>
      </c>
      <c r="Y14" s="16">
        <v>0</v>
      </c>
      <c r="Z14" s="16">
        <f t="shared" si="8"/>
        <v>0</v>
      </c>
      <c r="AA14" s="16">
        <f t="shared" si="9"/>
        <v>0</v>
      </c>
      <c r="AC14" s="16"/>
      <c r="AD14" s="16"/>
      <c r="AE14" s="16"/>
      <c r="AF14" s="16"/>
      <c r="AG14" s="16"/>
    </row>
    <row r="16" spans="2:33" x14ac:dyDescent="0.3">
      <c r="B16" t="s">
        <v>410</v>
      </c>
    </row>
    <row r="17" spans="2:13" x14ac:dyDescent="0.3">
      <c r="C17" s="412">
        <v>2015</v>
      </c>
      <c r="D17" s="388">
        <v>2016</v>
      </c>
      <c r="E17" s="388">
        <v>2017</v>
      </c>
      <c r="F17" s="388">
        <v>2018</v>
      </c>
      <c r="G17" s="388">
        <v>2019</v>
      </c>
      <c r="H17" s="388">
        <v>2020</v>
      </c>
      <c r="I17" s="433">
        <v>2021</v>
      </c>
      <c r="J17" s="433">
        <v>2022</v>
      </c>
      <c r="K17" s="433">
        <v>2023</v>
      </c>
      <c r="L17" s="433" t="s">
        <v>428</v>
      </c>
      <c r="M17" s="433" t="s">
        <v>55</v>
      </c>
    </row>
    <row r="18" spans="2:13" x14ac:dyDescent="0.3">
      <c r="B18" t="str">
        <f>STN_1</f>
        <v>RWN</v>
      </c>
      <c r="C18" s="413"/>
      <c r="D18" s="444"/>
      <c r="E18" s="444"/>
      <c r="F18" s="444">
        <v>0.25</v>
      </c>
      <c r="G18" s="444">
        <v>0.7</v>
      </c>
      <c r="H18" s="444">
        <v>0.05</v>
      </c>
      <c r="I18" s="444">
        <v>0</v>
      </c>
      <c r="J18" s="444"/>
      <c r="K18" s="444"/>
      <c r="L18" s="16">
        <f t="shared" ref="L18:L26" si="10">SUM(C18:K18)</f>
        <v>1</v>
      </c>
      <c r="M18" s="16">
        <f t="shared" ref="M18:M26" si="11">1-L18</f>
        <v>0</v>
      </c>
    </row>
    <row r="19" spans="2:13" x14ac:dyDescent="0.3">
      <c r="B19" t="str">
        <f>STN_2</f>
        <v>ELM</v>
      </c>
      <c r="C19" s="413"/>
      <c r="D19" s="444"/>
      <c r="E19" s="444"/>
      <c r="F19" s="444">
        <v>0.16500000000000001</v>
      </c>
      <c r="G19" s="444">
        <v>0.78499999999999992</v>
      </c>
      <c r="H19" s="444">
        <v>0.05</v>
      </c>
      <c r="I19" s="444">
        <v>0</v>
      </c>
      <c r="J19" s="444"/>
      <c r="K19" s="444"/>
      <c r="L19" s="16">
        <f t="shared" si="10"/>
        <v>1</v>
      </c>
      <c r="M19" s="16">
        <f t="shared" si="11"/>
        <v>0</v>
      </c>
    </row>
    <row r="20" spans="2:13" x14ac:dyDescent="0.3">
      <c r="B20" t="str">
        <f>STN_3</f>
        <v>FGY</v>
      </c>
      <c r="C20" s="413"/>
      <c r="D20" s="444"/>
      <c r="E20" s="444"/>
      <c r="F20" s="444">
        <v>0.16500000000000001</v>
      </c>
      <c r="G20" s="444">
        <v>0.53500000000000003</v>
      </c>
      <c r="H20" s="444">
        <v>0.25</v>
      </c>
      <c r="I20" s="444">
        <v>0.05</v>
      </c>
      <c r="J20" s="444"/>
      <c r="K20" s="444"/>
      <c r="L20" s="16">
        <f t="shared" si="10"/>
        <v>1</v>
      </c>
      <c r="M20" s="16">
        <f t="shared" si="11"/>
        <v>0</v>
      </c>
    </row>
    <row r="21" spans="2:13" x14ac:dyDescent="0.3">
      <c r="B21" t="str">
        <f>STN_4</f>
        <v>WOTS22</v>
      </c>
      <c r="C21" s="413"/>
      <c r="D21" s="444"/>
      <c r="E21" s="444"/>
      <c r="F21" s="444">
        <v>0.25</v>
      </c>
      <c r="G21" s="444">
        <v>0.7</v>
      </c>
      <c r="H21" s="444">
        <v>0.05</v>
      </c>
      <c r="I21" s="444">
        <v>0</v>
      </c>
      <c r="J21" s="444"/>
      <c r="K21" s="444"/>
      <c r="L21" s="16">
        <f t="shared" si="10"/>
        <v>1</v>
      </c>
      <c r="M21" s="16">
        <f t="shared" si="11"/>
        <v>0</v>
      </c>
    </row>
    <row r="22" spans="2:13" x14ac:dyDescent="0.3">
      <c r="B22" t="str">
        <f>STN_5</f>
        <v>MOE</v>
      </c>
      <c r="C22" s="413"/>
      <c r="D22" s="444"/>
      <c r="E22" s="444"/>
      <c r="F22" s="444">
        <v>0.125</v>
      </c>
      <c r="G22" s="444">
        <v>0.35</v>
      </c>
      <c r="H22" s="444">
        <v>0.47499999999999998</v>
      </c>
      <c r="I22" s="444">
        <v>0.05</v>
      </c>
      <c r="J22" s="444"/>
      <c r="K22" s="444"/>
      <c r="L22" s="16">
        <f t="shared" si="10"/>
        <v>1</v>
      </c>
      <c r="M22" s="16">
        <f t="shared" si="11"/>
        <v>0</v>
      </c>
    </row>
    <row r="23" spans="2:13" x14ac:dyDescent="0.3">
      <c r="B23" t="str">
        <f>STN_6</f>
        <v>BGE</v>
      </c>
      <c r="C23" s="413"/>
      <c r="D23" s="444"/>
      <c r="E23" s="444"/>
      <c r="F23" s="444">
        <v>0.16500000000000001</v>
      </c>
      <c r="G23" s="444">
        <v>0.755</v>
      </c>
      <c r="H23" s="444">
        <v>0.08</v>
      </c>
      <c r="I23" s="444">
        <v>0</v>
      </c>
      <c r="J23" s="444"/>
      <c r="K23" s="444"/>
      <c r="L23" s="16">
        <f t="shared" si="10"/>
        <v>1</v>
      </c>
      <c r="M23" s="16">
        <f t="shared" si="11"/>
        <v>0</v>
      </c>
    </row>
    <row r="24" spans="2:13" x14ac:dyDescent="0.3">
      <c r="B24" t="str">
        <f>STN_7</f>
        <v>LDL</v>
      </c>
      <c r="C24" s="414"/>
      <c r="D24" s="444"/>
      <c r="E24" s="444"/>
      <c r="F24" s="444">
        <v>8.5000000000000006E-2</v>
      </c>
      <c r="G24" s="444">
        <v>0.39</v>
      </c>
      <c r="H24" s="444">
        <v>0.52500000000000002</v>
      </c>
      <c r="I24" s="444">
        <v>0</v>
      </c>
      <c r="J24" s="444"/>
      <c r="K24" s="444"/>
      <c r="L24" s="16">
        <f t="shared" si="10"/>
        <v>1</v>
      </c>
      <c r="M24" s="16">
        <f t="shared" si="11"/>
        <v>0</v>
      </c>
    </row>
    <row r="25" spans="2:13" x14ac:dyDescent="0.3">
      <c r="B25" t="str">
        <f>STN_8</f>
        <v>BDL</v>
      </c>
      <c r="C25" s="413"/>
      <c r="D25" s="444"/>
      <c r="E25" s="444"/>
      <c r="F25" s="444">
        <v>0.16500000000000001</v>
      </c>
      <c r="G25" s="444">
        <v>0.78499999999999992</v>
      </c>
      <c r="H25" s="444">
        <v>0.05</v>
      </c>
      <c r="I25" s="444">
        <v>0</v>
      </c>
      <c r="J25" s="444"/>
      <c r="K25" s="444"/>
      <c r="L25" s="16">
        <f t="shared" si="10"/>
        <v>1</v>
      </c>
      <c r="M25" s="16">
        <f t="shared" si="11"/>
        <v>0</v>
      </c>
    </row>
    <row r="26" spans="2:13" ht="15" x14ac:dyDescent="0.25">
      <c r="B26" t="str">
        <f>STN_9</f>
        <v>[spare]</v>
      </c>
      <c r="C26" s="413"/>
      <c r="D26" s="444"/>
      <c r="E26" s="444"/>
      <c r="F26" s="444"/>
      <c r="G26" s="444"/>
      <c r="H26" s="444"/>
      <c r="I26" s="444"/>
      <c r="J26" s="444"/>
      <c r="K26" s="444"/>
      <c r="L26" s="16">
        <f t="shared" si="10"/>
        <v>0</v>
      </c>
      <c r="M26" s="16">
        <f t="shared" si="11"/>
        <v>1</v>
      </c>
    </row>
    <row r="28" spans="2:13" ht="15" x14ac:dyDescent="0.25">
      <c r="B28" t="s">
        <v>417</v>
      </c>
    </row>
    <row r="29" spans="2:13" ht="15" x14ac:dyDescent="0.25">
      <c r="C29" s="412">
        <v>2015</v>
      </c>
      <c r="D29" s="388">
        <v>2016</v>
      </c>
      <c r="E29" s="388">
        <v>2017</v>
      </c>
      <c r="F29" s="388">
        <v>2018</v>
      </c>
      <c r="G29" s="388">
        <v>2019</v>
      </c>
      <c r="H29" s="388">
        <v>2020</v>
      </c>
      <c r="I29" s="433">
        <v>2021</v>
      </c>
      <c r="J29" s="433">
        <v>2022</v>
      </c>
      <c r="K29" s="433">
        <v>2023</v>
      </c>
      <c r="L29" s="433" t="s">
        <v>428</v>
      </c>
      <c r="M29" s="433" t="s">
        <v>55</v>
      </c>
    </row>
    <row r="30" spans="2:13" ht="15" x14ac:dyDescent="0.25">
      <c r="B30" t="str">
        <f>STN_1</f>
        <v>RWN</v>
      </c>
      <c r="C30" s="413"/>
      <c r="D30" s="444"/>
      <c r="E30" s="444"/>
      <c r="F30" s="444">
        <v>0.3</v>
      </c>
      <c r="G30" s="444">
        <v>0.68</v>
      </c>
      <c r="H30" s="444">
        <v>0.02</v>
      </c>
      <c r="I30" s="444">
        <v>0</v>
      </c>
      <c r="J30" s="444"/>
      <c r="K30" s="444"/>
      <c r="L30" s="16">
        <f t="shared" ref="L30:L38" si="12">SUM(C30:K30)</f>
        <v>1</v>
      </c>
      <c r="M30" s="16">
        <f t="shared" ref="M30:M38" si="13">1-L30</f>
        <v>0</v>
      </c>
    </row>
    <row r="31" spans="2:13" x14ac:dyDescent="0.3">
      <c r="B31" t="str">
        <f>STN_2</f>
        <v>ELM</v>
      </c>
      <c r="C31" s="413"/>
      <c r="D31" s="444"/>
      <c r="E31" s="444"/>
      <c r="F31" s="444">
        <v>0.19800000000000001</v>
      </c>
      <c r="G31" s="444">
        <v>0.73199999999999998</v>
      </c>
      <c r="H31" s="444">
        <v>0.05</v>
      </c>
      <c r="I31" s="444">
        <v>0.02</v>
      </c>
      <c r="J31" s="444"/>
      <c r="K31" s="444"/>
      <c r="L31" s="16">
        <f t="shared" si="12"/>
        <v>1</v>
      </c>
      <c r="M31" s="16">
        <f t="shared" si="13"/>
        <v>0</v>
      </c>
    </row>
    <row r="32" spans="2:13" x14ac:dyDescent="0.3">
      <c r="B32" t="str">
        <f>STN_3</f>
        <v>FGY</v>
      </c>
      <c r="C32" s="413"/>
      <c r="D32" s="444"/>
      <c r="E32" s="444"/>
      <c r="F32" s="444">
        <v>0.19800000000000001</v>
      </c>
      <c r="G32" s="444">
        <v>0.45200000000000001</v>
      </c>
      <c r="H32" s="444">
        <v>0.33</v>
      </c>
      <c r="I32" s="444">
        <v>0.02</v>
      </c>
      <c r="J32" s="444"/>
      <c r="K32" s="444"/>
      <c r="L32" s="16">
        <f t="shared" si="12"/>
        <v>1</v>
      </c>
      <c r="M32" s="16">
        <f t="shared" si="13"/>
        <v>0</v>
      </c>
    </row>
    <row r="33" spans="2:13" x14ac:dyDescent="0.3">
      <c r="B33" t="str">
        <f>STN_4</f>
        <v>WOTS22</v>
      </c>
      <c r="C33" s="413"/>
      <c r="D33" s="444"/>
      <c r="E33" s="444"/>
      <c r="F33" s="444">
        <v>0.3</v>
      </c>
      <c r="G33" s="444">
        <v>0.68</v>
      </c>
      <c r="H33" s="444">
        <v>0.02</v>
      </c>
      <c r="I33" s="444">
        <v>0</v>
      </c>
      <c r="J33" s="444"/>
      <c r="K33" s="444"/>
      <c r="L33" s="16">
        <f t="shared" si="12"/>
        <v>1</v>
      </c>
      <c r="M33" s="16">
        <f t="shared" si="13"/>
        <v>0</v>
      </c>
    </row>
    <row r="34" spans="2:13" x14ac:dyDescent="0.3">
      <c r="B34" t="str">
        <f>STN_5</f>
        <v>MOE</v>
      </c>
      <c r="C34" s="413"/>
      <c r="D34" s="444"/>
      <c r="E34" s="444"/>
      <c r="F34" s="444">
        <v>0.15</v>
      </c>
      <c r="G34" s="444">
        <v>0.46499999999999997</v>
      </c>
      <c r="H34" s="444">
        <v>0.36499999999999999</v>
      </c>
      <c r="I34" s="444">
        <v>0.02</v>
      </c>
      <c r="J34" s="444"/>
      <c r="K34" s="444"/>
      <c r="L34" s="16">
        <f t="shared" si="12"/>
        <v>1</v>
      </c>
      <c r="M34" s="16">
        <f t="shared" si="13"/>
        <v>0</v>
      </c>
    </row>
    <row r="35" spans="2:13" x14ac:dyDescent="0.3">
      <c r="B35" t="str">
        <f>STN_6</f>
        <v>BGE</v>
      </c>
      <c r="C35" s="413"/>
      <c r="D35" s="444"/>
      <c r="E35" s="444"/>
      <c r="F35" s="444">
        <v>0.19800000000000001</v>
      </c>
      <c r="G35" s="444">
        <v>0.73199999999999998</v>
      </c>
      <c r="H35" s="444">
        <v>7.0000000000000007E-2</v>
      </c>
      <c r="I35" s="444">
        <v>0</v>
      </c>
      <c r="J35" s="444"/>
      <c r="K35" s="444"/>
      <c r="L35" s="16">
        <f t="shared" si="12"/>
        <v>1</v>
      </c>
      <c r="M35" s="16">
        <f t="shared" si="13"/>
        <v>0</v>
      </c>
    </row>
    <row r="36" spans="2:13" x14ac:dyDescent="0.3">
      <c r="B36" t="str">
        <f>STN_7</f>
        <v>LDL</v>
      </c>
      <c r="C36" s="413"/>
      <c r="D36" s="444"/>
      <c r="E36" s="444"/>
      <c r="F36" s="444">
        <v>0.10200000000000001</v>
      </c>
      <c r="G36" s="444">
        <v>0.51300000000000001</v>
      </c>
      <c r="H36" s="444">
        <v>0.36499999999999999</v>
      </c>
      <c r="I36" s="444">
        <v>0.02</v>
      </c>
      <c r="J36" s="444"/>
      <c r="K36" s="444"/>
      <c r="L36" s="16">
        <f t="shared" si="12"/>
        <v>1</v>
      </c>
      <c r="M36" s="16">
        <f t="shared" si="13"/>
        <v>0</v>
      </c>
    </row>
    <row r="37" spans="2:13" x14ac:dyDescent="0.3">
      <c r="B37" t="str">
        <f>STN_8</f>
        <v>BDL</v>
      </c>
      <c r="C37" s="413"/>
      <c r="D37" s="444"/>
      <c r="E37" s="444"/>
      <c r="F37" s="444">
        <v>0.19800000000000001</v>
      </c>
      <c r="G37" s="444">
        <v>0.752</v>
      </c>
      <c r="H37" s="444">
        <v>0.05</v>
      </c>
      <c r="I37" s="444">
        <v>0</v>
      </c>
      <c r="J37" s="444"/>
      <c r="K37" s="444"/>
      <c r="L37" s="16">
        <f t="shared" si="12"/>
        <v>1</v>
      </c>
      <c r="M37" s="16">
        <f t="shared" si="13"/>
        <v>0</v>
      </c>
    </row>
    <row r="38" spans="2:13" x14ac:dyDescent="0.3">
      <c r="B38" t="str">
        <f>STN_9</f>
        <v>[spare]</v>
      </c>
      <c r="C38" s="413"/>
      <c r="D38" s="444"/>
      <c r="E38" s="444"/>
      <c r="F38" s="444"/>
      <c r="G38" s="444"/>
      <c r="H38" s="444"/>
      <c r="I38" s="444"/>
      <c r="J38" s="444"/>
      <c r="K38" s="444"/>
      <c r="L38" s="16">
        <f t="shared" si="12"/>
        <v>0</v>
      </c>
      <c r="M38" s="16">
        <f t="shared" si="13"/>
        <v>1</v>
      </c>
    </row>
    <row r="40" spans="2:13" x14ac:dyDescent="0.3">
      <c r="B40" t="s">
        <v>447</v>
      </c>
    </row>
    <row r="41" spans="2:13" x14ac:dyDescent="0.3">
      <c r="C41" s="412">
        <v>2015</v>
      </c>
      <c r="D41" s="388">
        <v>2016</v>
      </c>
      <c r="E41" s="388">
        <v>2017</v>
      </c>
      <c r="F41" s="388">
        <v>2018</v>
      </c>
      <c r="G41" s="388">
        <v>2019</v>
      </c>
      <c r="H41" s="388">
        <v>2020</v>
      </c>
      <c r="I41" s="433">
        <v>2021</v>
      </c>
      <c r="J41" s="433">
        <v>2022</v>
      </c>
      <c r="K41" s="433">
        <v>2023</v>
      </c>
      <c r="L41" s="433" t="s">
        <v>428</v>
      </c>
      <c r="M41" s="433" t="s">
        <v>55</v>
      </c>
    </row>
    <row r="42" spans="2:13" x14ac:dyDescent="0.3">
      <c r="B42" t="str">
        <f>STN_1</f>
        <v>RWN</v>
      </c>
      <c r="C42" s="413"/>
      <c r="D42" s="444"/>
      <c r="E42" s="444"/>
      <c r="F42" s="444">
        <v>0</v>
      </c>
      <c r="G42" s="444">
        <v>0.8</v>
      </c>
      <c r="H42" s="444">
        <v>0.2</v>
      </c>
      <c r="I42" s="444">
        <v>0</v>
      </c>
      <c r="J42" s="444"/>
      <c r="K42" s="444"/>
      <c r="L42" s="16">
        <f t="shared" ref="L42:L50" si="14">SUM(C42:K42)</f>
        <v>1</v>
      </c>
      <c r="M42" s="16">
        <f t="shared" ref="M42:M50" si="15">1-L42</f>
        <v>0</v>
      </c>
    </row>
    <row r="43" spans="2:13" x14ac:dyDescent="0.3">
      <c r="B43" t="str">
        <f>STN_2</f>
        <v>ELM</v>
      </c>
      <c r="C43" s="413"/>
      <c r="D43" s="444"/>
      <c r="E43" s="444"/>
      <c r="F43" s="444">
        <v>0</v>
      </c>
      <c r="G43" s="444">
        <v>0.52800000000000002</v>
      </c>
      <c r="H43" s="444">
        <v>0.42200000000000004</v>
      </c>
      <c r="I43" s="444">
        <v>0.05</v>
      </c>
      <c r="J43" s="444"/>
      <c r="K43" s="444"/>
      <c r="L43" s="16">
        <f t="shared" si="14"/>
        <v>1</v>
      </c>
      <c r="M43" s="16">
        <f t="shared" si="15"/>
        <v>0</v>
      </c>
    </row>
    <row r="44" spans="2:13" x14ac:dyDescent="0.3">
      <c r="B44" t="str">
        <f>STN_3</f>
        <v>FGY</v>
      </c>
      <c r="C44" s="413"/>
      <c r="D44" s="444"/>
      <c r="E44" s="444"/>
      <c r="F44" s="444">
        <v>0</v>
      </c>
      <c r="G44" s="444">
        <v>0.8</v>
      </c>
      <c r="H44" s="444">
        <v>0.15</v>
      </c>
      <c r="I44" s="444">
        <v>0.05</v>
      </c>
      <c r="J44" s="444"/>
      <c r="K44" s="444"/>
      <c r="L44" s="16">
        <f t="shared" si="14"/>
        <v>1</v>
      </c>
      <c r="M44" s="16">
        <f t="shared" si="15"/>
        <v>0</v>
      </c>
    </row>
    <row r="45" spans="2:13" x14ac:dyDescent="0.3">
      <c r="B45" t="str">
        <f>STN_4</f>
        <v>WOTS22</v>
      </c>
      <c r="C45" s="413"/>
      <c r="D45" s="444"/>
      <c r="E45" s="444"/>
      <c r="F45" s="444">
        <v>0</v>
      </c>
      <c r="G45" s="444">
        <v>0.95000000000000007</v>
      </c>
      <c r="H45" s="444">
        <v>0.05</v>
      </c>
      <c r="I45" s="444">
        <v>0</v>
      </c>
      <c r="J45" s="444"/>
      <c r="K45" s="444"/>
      <c r="L45" s="16">
        <f t="shared" si="14"/>
        <v>1</v>
      </c>
      <c r="M45" s="16">
        <f t="shared" si="15"/>
        <v>0</v>
      </c>
    </row>
    <row r="46" spans="2:13" x14ac:dyDescent="0.3">
      <c r="B46" t="str">
        <f>STN_5</f>
        <v>MOE</v>
      </c>
      <c r="C46" s="413"/>
      <c r="D46" s="444"/>
      <c r="E46" s="444"/>
      <c r="F46" s="444">
        <v>0</v>
      </c>
      <c r="G46" s="444">
        <v>0.4</v>
      </c>
      <c r="H46" s="444">
        <v>0.55000000000000004</v>
      </c>
      <c r="I46" s="444">
        <v>0.05</v>
      </c>
      <c r="J46" s="444"/>
      <c r="K46" s="444"/>
      <c r="L46" s="16">
        <f t="shared" si="14"/>
        <v>1</v>
      </c>
      <c r="M46" s="16">
        <f t="shared" si="15"/>
        <v>0</v>
      </c>
    </row>
    <row r="47" spans="2:13" x14ac:dyDescent="0.3">
      <c r="B47" t="str">
        <f>STN_6</f>
        <v>BGE</v>
      </c>
      <c r="C47" s="413"/>
      <c r="D47" s="444"/>
      <c r="E47" s="444"/>
      <c r="F47" s="444">
        <v>0</v>
      </c>
      <c r="G47" s="444">
        <v>0.8</v>
      </c>
      <c r="H47" s="444">
        <v>0.2</v>
      </c>
      <c r="I47" s="444">
        <v>0</v>
      </c>
      <c r="J47" s="444"/>
      <c r="K47" s="444"/>
      <c r="L47" s="16">
        <f t="shared" si="14"/>
        <v>1</v>
      </c>
      <c r="M47" s="16">
        <f t="shared" si="15"/>
        <v>0</v>
      </c>
    </row>
    <row r="48" spans="2:13" x14ac:dyDescent="0.3">
      <c r="B48" t="str">
        <f>STN_7</f>
        <v>LDL</v>
      </c>
      <c r="C48" s="413"/>
      <c r="D48" s="444"/>
      <c r="E48" s="444"/>
      <c r="F48" s="444">
        <v>0</v>
      </c>
      <c r="G48" s="444">
        <v>0.4</v>
      </c>
      <c r="H48" s="444">
        <v>0.55000000000000004</v>
      </c>
      <c r="I48" s="444">
        <v>0.05</v>
      </c>
      <c r="J48" s="444"/>
      <c r="K48" s="444"/>
      <c r="L48" s="16">
        <f t="shared" si="14"/>
        <v>1</v>
      </c>
      <c r="M48" s="16">
        <f t="shared" si="15"/>
        <v>0</v>
      </c>
    </row>
    <row r="49" spans="2:13" x14ac:dyDescent="0.3">
      <c r="B49" t="str">
        <f>STN_8</f>
        <v>BDL</v>
      </c>
      <c r="C49" s="413"/>
      <c r="D49" s="444"/>
      <c r="E49" s="444"/>
      <c r="F49" s="444">
        <v>0</v>
      </c>
      <c r="G49" s="444">
        <v>0.4</v>
      </c>
      <c r="H49" s="444">
        <v>0.60000000000000009</v>
      </c>
      <c r="I49" s="444">
        <v>0</v>
      </c>
      <c r="J49" s="444"/>
      <c r="K49" s="444"/>
      <c r="L49" s="16">
        <f t="shared" si="14"/>
        <v>1</v>
      </c>
      <c r="M49" s="16">
        <f t="shared" si="15"/>
        <v>0</v>
      </c>
    </row>
    <row r="50" spans="2:13" x14ac:dyDescent="0.3">
      <c r="B50" t="str">
        <f>STN_9</f>
        <v>[spare]</v>
      </c>
      <c r="C50" s="413"/>
      <c r="D50" s="444"/>
      <c r="E50" s="444"/>
      <c r="F50" s="444"/>
      <c r="G50" s="444"/>
      <c r="H50" s="444"/>
      <c r="I50" s="444"/>
      <c r="J50" s="444"/>
      <c r="K50" s="444"/>
      <c r="L50" s="16">
        <f t="shared" si="14"/>
        <v>0</v>
      </c>
      <c r="M50" s="16">
        <f t="shared" si="15"/>
        <v>1</v>
      </c>
    </row>
  </sheetData>
  <conditionalFormatting sqref="M6:M14">
    <cfRule type="cellIs" dxfId="1" priority="2" operator="notEqual">
      <formula>0</formula>
    </cfRule>
  </conditionalFormatting>
  <conditionalFormatting sqref="M42:M50 M30:M38 M18:M26">
    <cfRule type="cellIs" dxfId="0" priority="1" operator="notEqual">
      <formula>0</formula>
    </cfRule>
  </conditionalFormatting>
  <pageMargins left="0.7" right="0.7" top="0.75" bottom="0.75" header="0.3" footer="0.3"/>
  <ignoredErrors>
    <ignoredError sqref="T6:U13 Q6:R13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Z44"/>
  <sheetViews>
    <sheetView zoomScale="85" zoomScaleNormal="85" workbookViewId="0">
      <selection activeCell="Q6" sqref="Q6"/>
    </sheetView>
  </sheetViews>
  <sheetFormatPr defaultRowHeight="14.4" x14ac:dyDescent="0.3"/>
  <cols>
    <col min="1" max="1" width="3.33203125" customWidth="1"/>
    <col min="2" max="2" width="44.44140625" customWidth="1"/>
    <col min="3" max="3" width="10.44140625" customWidth="1"/>
    <col min="9" max="9" width="12.109375" bestFit="1" customWidth="1"/>
    <col min="12" max="12" width="9.88671875" customWidth="1"/>
    <col min="13" max="13" width="7.6640625" customWidth="1"/>
  </cols>
  <sheetData>
    <row r="2" spans="2:15" x14ac:dyDescent="0.3">
      <c r="B2" s="25" t="s">
        <v>458</v>
      </c>
      <c r="C2" s="25"/>
      <c r="D2" s="440" t="s">
        <v>426</v>
      </c>
      <c r="G2" s="599" t="s">
        <v>425</v>
      </c>
      <c r="H2" s="599"/>
    </row>
    <row r="3" spans="2:15" x14ac:dyDescent="0.3">
      <c r="N3" s="518" t="s">
        <v>541</v>
      </c>
      <c r="O3" s="518" t="s">
        <v>542</v>
      </c>
    </row>
    <row r="4" spans="2:15" x14ac:dyDescent="0.3">
      <c r="C4" s="433" t="s">
        <v>293</v>
      </c>
      <c r="D4" s="433">
        <v>2016</v>
      </c>
      <c r="E4" s="433">
        <v>2017</v>
      </c>
      <c r="F4" s="433">
        <v>2018</v>
      </c>
      <c r="G4" s="433">
        <v>2019</v>
      </c>
      <c r="H4" s="433">
        <v>2020</v>
      </c>
      <c r="I4" s="433">
        <v>2021</v>
      </c>
      <c r="J4" s="433">
        <v>2022</v>
      </c>
      <c r="K4" s="433">
        <v>2023</v>
      </c>
      <c r="L4" s="433" t="s">
        <v>6</v>
      </c>
      <c r="N4" s="518" t="s">
        <v>6</v>
      </c>
      <c r="O4" s="518" t="s">
        <v>6</v>
      </c>
    </row>
    <row r="5" spans="2:15" x14ac:dyDescent="0.3">
      <c r="B5" t="s">
        <v>121</v>
      </c>
    </row>
    <row r="6" spans="2:15" x14ac:dyDescent="0.3">
      <c r="B6" s="174" t="s">
        <v>448</v>
      </c>
      <c r="C6" s="433" t="s">
        <v>451</v>
      </c>
      <c r="D6" s="581"/>
      <c r="E6" s="581"/>
      <c r="F6" s="581"/>
      <c r="G6" s="581"/>
      <c r="H6" s="581"/>
      <c r="I6" s="581"/>
      <c r="J6" s="581"/>
      <c r="K6" s="449"/>
      <c r="L6" s="581">
        <f>SUM(D6:K6)</f>
        <v>0</v>
      </c>
      <c r="N6" s="581">
        <f>SUM(D6:H6)</f>
        <v>0</v>
      </c>
      <c r="O6" s="450">
        <f>L6-N6</f>
        <v>0</v>
      </c>
    </row>
    <row r="7" spans="2:15" x14ac:dyDescent="0.3">
      <c r="D7" s="450"/>
      <c r="E7" s="450"/>
      <c r="F7" s="450"/>
      <c r="G7" s="450"/>
      <c r="H7" s="450"/>
      <c r="I7" s="450"/>
      <c r="J7" s="450"/>
      <c r="K7" s="450"/>
      <c r="L7" s="450"/>
      <c r="N7" s="450"/>
    </row>
    <row r="8" spans="2:15" x14ac:dyDescent="0.3">
      <c r="B8" t="s">
        <v>534</v>
      </c>
      <c r="N8" s="520"/>
      <c r="O8" s="45"/>
    </row>
    <row r="9" spans="2:15" x14ac:dyDescent="0.3">
      <c r="B9" s="174" t="s">
        <v>532</v>
      </c>
      <c r="C9" s="470" t="s">
        <v>535</v>
      </c>
      <c r="D9" s="449"/>
      <c r="E9" s="449"/>
      <c r="F9" s="449"/>
      <c r="G9" s="449"/>
      <c r="H9" s="449">
        <v>38.25</v>
      </c>
      <c r="I9" s="449">
        <v>38.25</v>
      </c>
      <c r="J9" s="449">
        <v>38.25</v>
      </c>
      <c r="K9" s="449">
        <v>38.25</v>
      </c>
      <c r="L9" s="450">
        <f>SUM(D9:K9)</f>
        <v>153</v>
      </c>
      <c r="N9" s="450">
        <f t="shared" ref="N9:N11" si="0">SUM(D9:H9)</f>
        <v>38.25</v>
      </c>
      <c r="O9" s="450">
        <f t="shared" ref="O9:O11" si="1">L9-N9</f>
        <v>114.75</v>
      </c>
    </row>
    <row r="10" spans="2:15" x14ac:dyDescent="0.3">
      <c r="B10" s="174" t="s">
        <v>507</v>
      </c>
      <c r="C10" s="470" t="s">
        <v>535</v>
      </c>
      <c r="D10" s="449"/>
      <c r="E10" s="449"/>
      <c r="F10" s="449"/>
      <c r="G10" s="449"/>
      <c r="H10" s="449">
        <v>30.5</v>
      </c>
      <c r="I10" s="449">
        <v>30.5</v>
      </c>
      <c r="J10" s="449">
        <v>30.5</v>
      </c>
      <c r="K10" s="449">
        <v>30.5</v>
      </c>
      <c r="L10" s="450">
        <f t="shared" ref="L10:L11" si="2">SUM(D10:K10)</f>
        <v>122</v>
      </c>
      <c r="N10" s="450">
        <f t="shared" si="0"/>
        <v>30.5</v>
      </c>
      <c r="O10" s="450">
        <f t="shared" si="1"/>
        <v>91.5</v>
      </c>
    </row>
    <row r="11" spans="2:15" x14ac:dyDescent="0.3">
      <c r="B11" s="174" t="s">
        <v>533</v>
      </c>
      <c r="C11" s="470" t="s">
        <v>510</v>
      </c>
      <c r="D11" s="449"/>
      <c r="E11" s="449"/>
      <c r="F11" s="449"/>
      <c r="G11" s="449"/>
      <c r="H11" s="449">
        <v>2902.25</v>
      </c>
      <c r="I11" s="449">
        <v>2902.25</v>
      </c>
      <c r="J11" s="449">
        <v>2902.25</v>
      </c>
      <c r="K11" s="449">
        <v>2902.25</v>
      </c>
      <c r="L11" s="450">
        <f t="shared" si="2"/>
        <v>11609</v>
      </c>
      <c r="N11" s="450">
        <f t="shared" si="0"/>
        <v>2902.25</v>
      </c>
      <c r="O11" s="450">
        <f t="shared" si="1"/>
        <v>8706.75</v>
      </c>
    </row>
    <row r="12" spans="2:15" x14ac:dyDescent="0.3">
      <c r="D12" s="450"/>
      <c r="E12" s="450"/>
      <c r="F12" s="450"/>
      <c r="G12" s="450"/>
      <c r="H12" s="450"/>
      <c r="I12" s="450"/>
      <c r="J12" s="450"/>
      <c r="K12" s="450"/>
      <c r="L12" s="450"/>
      <c r="N12" s="450"/>
    </row>
    <row r="13" spans="2:15" x14ac:dyDescent="0.3">
      <c r="B13" t="s">
        <v>450</v>
      </c>
      <c r="D13" s="450"/>
      <c r="E13" s="450"/>
      <c r="F13" s="450"/>
      <c r="G13" s="450"/>
      <c r="H13" s="450"/>
      <c r="I13" s="450"/>
      <c r="J13" s="450"/>
      <c r="K13" s="450"/>
      <c r="L13" s="450"/>
      <c r="N13" s="450"/>
    </row>
    <row r="14" spans="2:15" ht="15" x14ac:dyDescent="0.25">
      <c r="B14" s="174" t="s">
        <v>250</v>
      </c>
      <c r="C14" s="433" t="s">
        <v>451</v>
      </c>
      <c r="D14" s="449"/>
      <c r="E14" s="449"/>
      <c r="F14" s="449"/>
      <c r="G14" s="449">
        <v>29.25</v>
      </c>
      <c r="H14" s="449">
        <v>87.75</v>
      </c>
      <c r="I14" s="449"/>
      <c r="J14" s="449"/>
      <c r="K14" s="449"/>
      <c r="L14" s="450">
        <f t="shared" ref="L14:L16" si="3">SUM(D14:K14)</f>
        <v>117</v>
      </c>
      <c r="N14" s="450">
        <f t="shared" ref="N14:N16" si="4">SUM(D14:H14)</f>
        <v>117</v>
      </c>
      <c r="O14" s="450">
        <f t="shared" ref="O14:O16" si="5">L14-N14</f>
        <v>0</v>
      </c>
    </row>
    <row r="15" spans="2:15" ht="15" x14ac:dyDescent="0.25">
      <c r="B15" s="174" t="s">
        <v>251</v>
      </c>
      <c r="C15" s="433" t="s">
        <v>451</v>
      </c>
      <c r="D15" s="449"/>
      <c r="E15" s="449"/>
      <c r="F15" s="449"/>
      <c r="G15" s="449">
        <v>22.5</v>
      </c>
      <c r="H15" s="449">
        <v>67.5</v>
      </c>
      <c r="I15" s="449"/>
      <c r="J15" s="449"/>
      <c r="K15" s="449"/>
      <c r="L15" s="450">
        <f t="shared" si="3"/>
        <v>90</v>
      </c>
      <c r="N15" s="450">
        <f t="shared" si="4"/>
        <v>90</v>
      </c>
      <c r="O15" s="450">
        <f t="shared" si="5"/>
        <v>0</v>
      </c>
    </row>
    <row r="16" spans="2:15" ht="15" x14ac:dyDescent="0.25">
      <c r="B16" s="174" t="s">
        <v>252</v>
      </c>
      <c r="C16" s="433" t="s">
        <v>451</v>
      </c>
      <c r="D16" s="449"/>
      <c r="E16" s="449"/>
      <c r="F16" s="449"/>
      <c r="G16" s="449">
        <v>4.5</v>
      </c>
      <c r="H16" s="449">
        <v>13.5</v>
      </c>
      <c r="I16" s="449"/>
      <c r="J16" s="449"/>
      <c r="K16" s="449"/>
      <c r="L16" s="450">
        <f t="shared" si="3"/>
        <v>18</v>
      </c>
      <c r="N16" s="450">
        <f t="shared" si="4"/>
        <v>18</v>
      </c>
      <c r="O16" s="450">
        <f t="shared" si="5"/>
        <v>0</v>
      </c>
    </row>
    <row r="17" spans="2:26" x14ac:dyDescent="0.3">
      <c r="D17" s="450"/>
      <c r="E17" s="450"/>
      <c r="F17" s="450"/>
      <c r="G17" s="450"/>
      <c r="H17" s="450"/>
      <c r="I17" s="450"/>
      <c r="J17" s="450"/>
      <c r="K17" s="450"/>
      <c r="L17" s="450"/>
      <c r="N17" s="450"/>
    </row>
    <row r="18" spans="2:26" x14ac:dyDescent="0.3">
      <c r="B18" t="s">
        <v>347</v>
      </c>
      <c r="D18" s="450"/>
      <c r="E18" s="450"/>
      <c r="F18" s="450"/>
      <c r="G18" s="450"/>
      <c r="H18" s="450"/>
      <c r="I18" s="450"/>
      <c r="J18" s="450"/>
      <c r="K18" s="450"/>
      <c r="L18" s="450"/>
      <c r="N18" s="450"/>
    </row>
    <row r="19" spans="2:26" x14ac:dyDescent="0.3">
      <c r="B19" s="174" t="s">
        <v>452</v>
      </c>
      <c r="C19" s="433" t="s">
        <v>292</v>
      </c>
      <c r="D19" s="449"/>
      <c r="E19" s="449"/>
      <c r="F19" s="449"/>
      <c r="G19" s="449"/>
      <c r="H19" s="449"/>
      <c r="I19" s="449"/>
      <c r="J19" s="449"/>
      <c r="K19" s="449"/>
      <c r="L19" s="450">
        <f>SUM(D19:K19)</f>
        <v>0</v>
      </c>
      <c r="N19" s="450">
        <f t="shared" ref="N19:N20" si="6">SUM(D19:H19)</f>
        <v>0</v>
      </c>
      <c r="O19" s="450">
        <f t="shared" ref="O19:O20" si="7">L19-N19</f>
        <v>0</v>
      </c>
    </row>
    <row r="20" spans="2:26" x14ac:dyDescent="0.3">
      <c r="B20" s="174" t="s">
        <v>449</v>
      </c>
      <c r="C20" s="433" t="s">
        <v>292</v>
      </c>
      <c r="D20" s="449"/>
      <c r="E20" s="449"/>
      <c r="F20" s="449"/>
      <c r="G20" s="449"/>
      <c r="H20" s="449"/>
      <c r="I20" s="449"/>
      <c r="J20" s="449"/>
      <c r="K20" s="449"/>
      <c r="L20" s="450">
        <f t="shared" ref="L20" si="8">SUM(D20:K20)</f>
        <v>0</v>
      </c>
      <c r="N20" s="450">
        <f t="shared" si="6"/>
        <v>0</v>
      </c>
      <c r="O20" s="450">
        <f t="shared" si="7"/>
        <v>0</v>
      </c>
    </row>
    <row r="21" spans="2:26" x14ac:dyDescent="0.3">
      <c r="N21" s="450"/>
    </row>
    <row r="22" spans="2:26" x14ac:dyDescent="0.3">
      <c r="N22" s="450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2:26" x14ac:dyDescent="0.3">
      <c r="B23" s="151" t="s">
        <v>632</v>
      </c>
      <c r="N23" s="518" t="s">
        <v>541</v>
      </c>
      <c r="O23" s="518" t="s">
        <v>542</v>
      </c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2:26" x14ac:dyDescent="0.3">
      <c r="D24" s="433">
        <v>2016</v>
      </c>
      <c r="E24" s="433">
        <v>2017</v>
      </c>
      <c r="F24" s="433">
        <v>2018</v>
      </c>
      <c r="G24" s="433">
        <v>2019</v>
      </c>
      <c r="H24" s="433">
        <v>2020</v>
      </c>
      <c r="I24" s="433">
        <v>2021</v>
      </c>
      <c r="J24" s="433">
        <v>2022</v>
      </c>
      <c r="K24" s="433">
        <v>2023</v>
      </c>
      <c r="L24" s="433" t="s">
        <v>6</v>
      </c>
      <c r="N24" s="518" t="s">
        <v>6</v>
      </c>
      <c r="O24" s="518" t="s">
        <v>6</v>
      </c>
      <c r="Q24" s="45"/>
      <c r="R24" s="45"/>
      <c r="S24" s="538"/>
      <c r="T24" s="538"/>
      <c r="U24" s="538"/>
      <c r="V24" s="538"/>
      <c r="W24" s="538"/>
      <c r="X24" s="538"/>
      <c r="Y24" s="538"/>
      <c r="Z24" s="538"/>
    </row>
    <row r="25" spans="2:26" x14ac:dyDescent="0.3">
      <c r="B25" t="s">
        <v>550</v>
      </c>
      <c r="C25" s="453" t="s">
        <v>605</v>
      </c>
      <c r="D25" s="446">
        <v>0</v>
      </c>
      <c r="E25" s="446">
        <v>0</v>
      </c>
      <c r="F25" s="446">
        <v>0</v>
      </c>
      <c r="G25" s="446">
        <v>0</v>
      </c>
      <c r="H25" s="446">
        <v>310.18047882136284</v>
      </c>
      <c r="I25" s="446">
        <v>0</v>
      </c>
      <c r="J25" s="446">
        <v>0</v>
      </c>
      <c r="K25" s="446">
        <v>0</v>
      </c>
      <c r="L25" s="38">
        <f>SUM(D25:K25)</f>
        <v>310.18047882136284</v>
      </c>
      <c r="N25" s="450">
        <f t="shared" ref="N25:N26" si="9">SUM(D25:H25)</f>
        <v>310.18047882136284</v>
      </c>
      <c r="O25" s="450">
        <f t="shared" ref="O25:O26" si="10">L25-N25</f>
        <v>0</v>
      </c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2:26" ht="15" x14ac:dyDescent="0.25">
      <c r="B26" t="s">
        <v>554</v>
      </c>
      <c r="C26" s="453" t="s">
        <v>605</v>
      </c>
      <c r="D26" s="446">
        <v>0</v>
      </c>
      <c r="E26" s="446">
        <v>0</v>
      </c>
      <c r="F26" s="446">
        <v>154.59944751381215</v>
      </c>
      <c r="G26" s="446">
        <v>111.70423572744015</v>
      </c>
      <c r="H26" s="446">
        <v>114.84530386740332</v>
      </c>
      <c r="I26" s="446">
        <v>0</v>
      </c>
      <c r="J26" s="446">
        <v>0</v>
      </c>
      <c r="K26" s="446">
        <v>0</v>
      </c>
      <c r="L26" s="38">
        <f>SUM(D26:K26)</f>
        <v>381.14898710865566</v>
      </c>
      <c r="N26" s="450">
        <f t="shared" si="9"/>
        <v>381.14898710865566</v>
      </c>
      <c r="O26" s="450">
        <f t="shared" si="10"/>
        <v>0</v>
      </c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2:26" ht="15" x14ac:dyDescent="0.25">
      <c r="N27" s="450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ht="15" x14ac:dyDescent="0.25">
      <c r="B28" t="s">
        <v>126</v>
      </c>
      <c r="N28" s="450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2:26" ht="15" x14ac:dyDescent="0.25">
      <c r="B29" s="174" t="s">
        <v>454</v>
      </c>
      <c r="C29" s="453" t="s">
        <v>605</v>
      </c>
      <c r="D29" s="446">
        <v>0</v>
      </c>
      <c r="E29" s="446">
        <v>0</v>
      </c>
      <c r="F29" s="446">
        <v>0</v>
      </c>
      <c r="G29" s="446">
        <v>0</v>
      </c>
      <c r="H29" s="446">
        <v>0</v>
      </c>
      <c r="I29" s="446">
        <v>0</v>
      </c>
      <c r="J29" s="446">
        <v>0</v>
      </c>
      <c r="K29" s="446">
        <v>0</v>
      </c>
      <c r="L29" s="6">
        <f>SUM(D29:K29)</f>
        <v>0</v>
      </c>
      <c r="N29" s="450">
        <f t="shared" ref="N29:N31" si="11">SUM(D29:H29)</f>
        <v>0</v>
      </c>
      <c r="O29" s="450">
        <f t="shared" ref="O29:O31" si="12">L29-N29</f>
        <v>0</v>
      </c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2:26" x14ac:dyDescent="0.3">
      <c r="B30" s="174" t="s">
        <v>453</v>
      </c>
      <c r="C30" s="453" t="s">
        <v>605</v>
      </c>
      <c r="D30" s="446">
        <v>0</v>
      </c>
      <c r="E30" s="446">
        <v>0</v>
      </c>
      <c r="F30" s="446">
        <v>0</v>
      </c>
      <c r="G30" s="446">
        <v>0</v>
      </c>
      <c r="H30" s="446">
        <v>0</v>
      </c>
      <c r="I30" s="446">
        <v>0</v>
      </c>
      <c r="J30" s="446">
        <v>0</v>
      </c>
      <c r="K30" s="446">
        <v>0</v>
      </c>
      <c r="L30" s="6">
        <f>SUM(D30:K30)</f>
        <v>0</v>
      </c>
      <c r="N30" s="450">
        <f t="shared" si="11"/>
        <v>0</v>
      </c>
      <c r="O30" s="450">
        <f t="shared" si="12"/>
        <v>0</v>
      </c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2:26" x14ac:dyDescent="0.3">
      <c r="B31" s="174" t="s">
        <v>549</v>
      </c>
      <c r="C31" s="453" t="s">
        <v>605</v>
      </c>
      <c r="D31" s="446">
        <v>0</v>
      </c>
      <c r="E31" s="446">
        <v>0</v>
      </c>
      <c r="F31" s="446">
        <v>246.996614437788</v>
      </c>
      <c r="G31" s="446">
        <v>0</v>
      </c>
      <c r="H31" s="446">
        <v>0</v>
      </c>
      <c r="I31" s="446">
        <v>0</v>
      </c>
      <c r="J31" s="446">
        <v>0</v>
      </c>
      <c r="K31" s="446">
        <v>0</v>
      </c>
      <c r="L31" s="6">
        <f>SUM(D31:K31)</f>
        <v>246.996614437788</v>
      </c>
      <c r="N31" s="450">
        <f t="shared" si="11"/>
        <v>246.996614437788</v>
      </c>
      <c r="O31" s="450">
        <f t="shared" si="12"/>
        <v>0</v>
      </c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3">
      <c r="B32" s="209" t="s">
        <v>144</v>
      </c>
      <c r="C32" s="474"/>
      <c r="L32" s="6"/>
      <c r="N32" s="450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2:26" x14ac:dyDescent="0.3">
      <c r="B33" s="209"/>
      <c r="C33" s="474"/>
      <c r="L33" s="6"/>
      <c r="N33" s="450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2:26" x14ac:dyDescent="0.3">
      <c r="B34" t="s">
        <v>552</v>
      </c>
      <c r="C34" s="473"/>
      <c r="N34" s="450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2:26" x14ac:dyDescent="0.3">
      <c r="B35" s="174" t="s">
        <v>295</v>
      </c>
      <c r="C35" s="453" t="s">
        <v>605</v>
      </c>
      <c r="D35" s="446">
        <v>0</v>
      </c>
      <c r="E35" s="446">
        <v>0</v>
      </c>
      <c r="F35" s="446">
        <v>199.11427255985268</v>
      </c>
      <c r="G35" s="446">
        <v>0</v>
      </c>
      <c r="H35" s="446">
        <v>0</v>
      </c>
      <c r="I35" s="446">
        <v>0</v>
      </c>
      <c r="J35" s="446">
        <v>0</v>
      </c>
      <c r="K35" s="446">
        <v>0</v>
      </c>
      <c r="L35" s="6">
        <f>SUM(D35:K35)</f>
        <v>199.11427255985268</v>
      </c>
      <c r="N35" s="450">
        <f t="shared" ref="N35:N36" si="13">SUM(D35:H35)</f>
        <v>199.11427255985268</v>
      </c>
      <c r="O35" s="450">
        <f t="shared" ref="O35:O36" si="14">L35-N35</f>
        <v>0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2:26" x14ac:dyDescent="0.3">
      <c r="B36" s="174" t="s">
        <v>545</v>
      </c>
      <c r="C36" s="453" t="s">
        <v>605</v>
      </c>
      <c r="D36" s="446">
        <v>0</v>
      </c>
      <c r="E36" s="446">
        <v>0</v>
      </c>
      <c r="F36" s="446">
        <v>272.58581952117862</v>
      </c>
      <c r="G36" s="446">
        <v>0</v>
      </c>
      <c r="H36" s="446">
        <v>0</v>
      </c>
      <c r="I36" s="446">
        <v>0</v>
      </c>
      <c r="J36" s="446">
        <v>0</v>
      </c>
      <c r="K36" s="446">
        <v>0</v>
      </c>
      <c r="L36" s="6">
        <f>SUM(D36:K36)</f>
        <v>272.58581952117862</v>
      </c>
      <c r="N36" s="450">
        <f t="shared" si="13"/>
        <v>272.58581952117862</v>
      </c>
      <c r="O36" s="450">
        <f t="shared" si="14"/>
        <v>0</v>
      </c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2:26" x14ac:dyDescent="0.3">
      <c r="B37" s="25"/>
      <c r="C37" s="473"/>
      <c r="N37" s="450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2:26" x14ac:dyDescent="0.3">
      <c r="B38" t="s">
        <v>547</v>
      </c>
      <c r="C38" s="473"/>
      <c r="N38" s="450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2:26" x14ac:dyDescent="0.3">
      <c r="B39" s="174" t="s">
        <v>581</v>
      </c>
      <c r="C39" s="453" t="s">
        <v>605</v>
      </c>
      <c r="D39" s="446">
        <v>0</v>
      </c>
      <c r="E39" s="446">
        <v>0</v>
      </c>
      <c r="F39" s="446">
        <v>0</v>
      </c>
      <c r="G39" s="446">
        <v>89.814917127071823</v>
      </c>
      <c r="H39" s="446">
        <v>179.62983425414365</v>
      </c>
      <c r="I39" s="446">
        <v>0</v>
      </c>
      <c r="J39" s="446">
        <v>0</v>
      </c>
      <c r="K39" s="446">
        <v>0</v>
      </c>
      <c r="L39" s="6">
        <f>SUM(D39:K39)</f>
        <v>269.4447513812155</v>
      </c>
      <c r="M39" s="508"/>
      <c r="N39" s="450">
        <f t="shared" ref="N39:N41" si="15">SUM(D39:H39)</f>
        <v>269.4447513812155</v>
      </c>
      <c r="O39" s="450">
        <f t="shared" ref="O39:O41" si="16">L39-N39</f>
        <v>0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2:26" x14ac:dyDescent="0.3">
      <c r="B40" s="174" t="s">
        <v>583</v>
      </c>
      <c r="C40" s="453" t="s">
        <v>605</v>
      </c>
      <c r="D40" s="446">
        <v>0</v>
      </c>
      <c r="E40" s="446">
        <v>0</v>
      </c>
      <c r="F40" s="446">
        <v>0</v>
      </c>
      <c r="G40" s="446">
        <v>59.876611418047887</v>
      </c>
      <c r="H40" s="446">
        <v>119.75322283609577</v>
      </c>
      <c r="I40" s="446">
        <v>0</v>
      </c>
      <c r="J40" s="446">
        <v>0</v>
      </c>
      <c r="K40" s="446">
        <v>0</v>
      </c>
      <c r="L40" s="6">
        <f>SUM(D40:K40)</f>
        <v>179.62983425414365</v>
      </c>
      <c r="M40" s="47"/>
      <c r="N40" s="450">
        <f t="shared" si="15"/>
        <v>179.62983425414365</v>
      </c>
      <c r="O40" s="450">
        <f t="shared" si="16"/>
        <v>0</v>
      </c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2:26" x14ac:dyDescent="0.3">
      <c r="B41" s="174" t="s">
        <v>582</v>
      </c>
      <c r="C41" s="453" t="s">
        <v>605</v>
      </c>
      <c r="D41" s="446">
        <v>0</v>
      </c>
      <c r="E41" s="446">
        <v>0</v>
      </c>
      <c r="F41" s="446">
        <v>0</v>
      </c>
      <c r="G41" s="446">
        <v>149.69152854511972</v>
      </c>
      <c r="H41" s="446">
        <v>299.38305709023945</v>
      </c>
      <c r="I41" s="446">
        <v>0</v>
      </c>
      <c r="J41" s="446">
        <v>0</v>
      </c>
      <c r="K41" s="446">
        <v>0</v>
      </c>
      <c r="L41" s="6">
        <f>SUM(D41:K41)</f>
        <v>449.0745856353592</v>
      </c>
      <c r="M41" s="47"/>
      <c r="N41" s="450">
        <f t="shared" si="15"/>
        <v>449.0745856353592</v>
      </c>
      <c r="O41" s="450">
        <f t="shared" si="16"/>
        <v>0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2:26" x14ac:dyDescent="0.3">
      <c r="B42" s="25"/>
      <c r="C42" s="473"/>
      <c r="N42" s="450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2:26" x14ac:dyDescent="0.3">
      <c r="B43" t="s">
        <v>347</v>
      </c>
      <c r="C43" s="433"/>
      <c r="N43" s="450"/>
    </row>
    <row r="44" spans="2:26" x14ac:dyDescent="0.3">
      <c r="B44" s="174" t="s">
        <v>455</v>
      </c>
      <c r="C44" s="453" t="s">
        <v>605</v>
      </c>
      <c r="D44" s="446"/>
      <c r="E44" s="446"/>
      <c r="F44" s="446"/>
      <c r="G44" s="446"/>
      <c r="H44" s="446"/>
      <c r="I44" s="446"/>
      <c r="J44" s="446"/>
      <c r="K44" s="446"/>
      <c r="L44" s="6">
        <f>SUM(D44:K44)</f>
        <v>0</v>
      </c>
      <c r="N44" s="450">
        <f>SUM(D44:H44)</f>
        <v>0</v>
      </c>
      <c r="O44" s="450">
        <f>L44-N44</f>
        <v>0</v>
      </c>
    </row>
  </sheetData>
  <mergeCells count="1">
    <mergeCell ref="G2:H2"/>
  </mergeCells>
  <pageMargins left="0.7" right="0.7" top="0.75" bottom="0.75" header="0.3" footer="0.3"/>
  <pageSetup paperSize="9" scale="97" orientation="landscape" r:id="rId1"/>
  <colBreaks count="1" manualBreakCount="1">
    <brk id="12" max="1048575" man="1"/>
  </colBreaks>
  <ignoredErrors>
    <ignoredError sqref="N9:N11 N29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X148"/>
  <sheetViews>
    <sheetView zoomScale="85" zoomScaleNormal="85" workbookViewId="0">
      <pane xSplit="2" topLeftCell="J1" activePane="topRight" state="frozen"/>
      <selection activeCell="I5" sqref="I5"/>
      <selection pane="topRight" activeCell="A115" sqref="A115"/>
    </sheetView>
  </sheetViews>
  <sheetFormatPr defaultRowHeight="14.4" x14ac:dyDescent="0.3"/>
  <cols>
    <col min="1" max="1" width="4.109375" customWidth="1"/>
    <col min="2" max="2" width="37.88671875" customWidth="1"/>
    <col min="3" max="8" width="10.6640625" customWidth="1"/>
    <col min="9" max="9" width="4.109375" customWidth="1"/>
    <col min="10" max="10" width="10" customWidth="1"/>
    <col min="11" max="11" width="10.6640625" customWidth="1"/>
    <col min="12" max="13" width="11.6640625" customWidth="1"/>
    <col min="14" max="14" width="9.33203125" bestFit="1" customWidth="1"/>
    <col min="15" max="15" width="11.6640625" customWidth="1"/>
    <col min="16" max="16" width="3.88671875" customWidth="1"/>
    <col min="17" max="17" width="11.5546875" customWidth="1"/>
    <col min="18" max="18" width="11.33203125" bestFit="1" customWidth="1"/>
    <col min="19" max="19" width="12.6640625" bestFit="1" customWidth="1"/>
    <col min="20" max="20" width="12.6640625" customWidth="1"/>
    <col min="21" max="21" width="10.109375" bestFit="1" customWidth="1"/>
    <col min="22" max="22" width="12.33203125" customWidth="1"/>
    <col min="23" max="23" width="10.44140625" customWidth="1"/>
  </cols>
  <sheetData>
    <row r="1" spans="2:24" ht="15.6" x14ac:dyDescent="0.3">
      <c r="B1" s="133" t="s">
        <v>611</v>
      </c>
      <c r="C1" s="133"/>
      <c r="D1" s="133"/>
      <c r="E1" s="133"/>
      <c r="F1" s="133"/>
      <c r="G1" s="133"/>
      <c r="H1" s="133"/>
      <c r="I1" s="133"/>
      <c r="K1" s="45"/>
    </row>
    <row r="3" spans="2:24" x14ac:dyDescent="0.3">
      <c r="B3" s="25" t="s">
        <v>622</v>
      </c>
      <c r="C3" s="600" t="s">
        <v>598</v>
      </c>
      <c r="D3" s="600"/>
      <c r="E3" s="600"/>
      <c r="F3" s="600"/>
      <c r="G3" s="600"/>
      <c r="H3" s="600"/>
      <c r="I3" s="25"/>
      <c r="J3" s="600" t="s">
        <v>599</v>
      </c>
      <c r="K3" s="600"/>
      <c r="L3" s="600"/>
      <c r="M3" s="600"/>
      <c r="N3" s="600"/>
      <c r="O3" s="600"/>
      <c r="Q3" s="601" t="s">
        <v>103</v>
      </c>
      <c r="R3" s="601"/>
      <c r="S3" s="601"/>
      <c r="T3" s="601"/>
      <c r="U3" s="601"/>
      <c r="V3" s="601"/>
    </row>
    <row r="4" spans="2:24" ht="28.95" x14ac:dyDescent="0.3">
      <c r="C4" s="518" t="s">
        <v>135</v>
      </c>
      <c r="D4" s="518" t="s">
        <v>49</v>
      </c>
      <c r="E4" s="13" t="s">
        <v>136</v>
      </c>
      <c r="F4" s="13" t="s">
        <v>137</v>
      </c>
      <c r="G4" s="518" t="s">
        <v>60</v>
      </c>
      <c r="H4" s="13" t="s">
        <v>138</v>
      </c>
      <c r="J4" s="518" t="s">
        <v>135</v>
      </c>
      <c r="K4" s="518" t="s">
        <v>49</v>
      </c>
      <c r="L4" s="13" t="s">
        <v>136</v>
      </c>
      <c r="M4" s="13" t="s">
        <v>137</v>
      </c>
      <c r="N4" s="518" t="s">
        <v>60</v>
      </c>
      <c r="O4" s="13" t="s">
        <v>138</v>
      </c>
      <c r="Q4" s="4" t="s">
        <v>135</v>
      </c>
      <c r="R4" s="4" t="s">
        <v>49</v>
      </c>
      <c r="S4" s="13" t="s">
        <v>136</v>
      </c>
      <c r="T4" s="13" t="s">
        <v>137</v>
      </c>
      <c r="U4" s="4" t="s">
        <v>60</v>
      </c>
      <c r="V4" s="13" t="s">
        <v>138</v>
      </c>
      <c r="W4" s="13" t="s">
        <v>55</v>
      </c>
      <c r="X4" s="13" t="s">
        <v>55</v>
      </c>
    </row>
    <row r="5" spans="2:24" x14ac:dyDescent="0.3">
      <c r="B5" t="str">
        <f>STN_1</f>
        <v>RWN</v>
      </c>
      <c r="C5" s="6">
        <f>Q5*Stat_Phasing!Q6</f>
        <v>1852.8098577161049</v>
      </c>
      <c r="D5" s="6">
        <f>R5*Stat_Phasing!R6</f>
        <v>609.98749999999995</v>
      </c>
      <c r="E5" s="6">
        <f>S5*Stat_Phasing!S6</f>
        <v>396.65116279069764</v>
      </c>
      <c r="F5" s="6">
        <f>T5*Stat_Phasing!T6</f>
        <v>1174.6315908261599</v>
      </c>
      <c r="G5" s="6">
        <f>U5*Stat_Phasing!U6</f>
        <v>220.88439675532143</v>
      </c>
      <c r="H5" s="139">
        <f>SUM(C5:G5)</f>
        <v>4254.9645080882838</v>
      </c>
      <c r="I5" s="14"/>
      <c r="J5" s="6">
        <f>Q5*Stat_Phasing!W6</f>
        <v>0</v>
      </c>
      <c r="K5" s="6">
        <f>R5*Stat_Phasing!X6</f>
        <v>0</v>
      </c>
      <c r="L5" s="6">
        <f>S5*Stat_Phasing!Y6</f>
        <v>0</v>
      </c>
      <c r="M5" s="6">
        <f>T5*Stat_Phasing!Z6</f>
        <v>0</v>
      </c>
      <c r="N5" s="6">
        <f>U5*Stat_Phasing!AA6</f>
        <v>0</v>
      </c>
      <c r="O5" s="139">
        <f>SUM(J5:N5)</f>
        <v>0</v>
      </c>
      <c r="P5" s="14"/>
      <c r="Q5" s="6">
        <f>RWN_Det!K57</f>
        <v>1852.8098577161049</v>
      </c>
      <c r="R5" s="6">
        <f>RWN_Det!L57</f>
        <v>609.98749999999995</v>
      </c>
      <c r="S5" s="6">
        <f>RWN_Det!M57</f>
        <v>396.65116279069764</v>
      </c>
      <c r="T5" s="6">
        <f>RWN_Det!N57</f>
        <v>1174.6315908261599</v>
      </c>
      <c r="U5" s="6">
        <f>RWN_Det!O57</f>
        <v>220.88439675532143</v>
      </c>
      <c r="V5" s="139">
        <f>SUM(Q5:U5)</f>
        <v>4254.9645080882838</v>
      </c>
      <c r="W5" s="11">
        <f>V5-RWN_Det!P57</f>
        <v>0</v>
      </c>
      <c r="X5" s="19">
        <f>V5-O5-H5</f>
        <v>0</v>
      </c>
    </row>
    <row r="6" spans="2:24" x14ac:dyDescent="0.3">
      <c r="B6" t="str">
        <f>STN_2</f>
        <v>ELM</v>
      </c>
      <c r="C6" s="6">
        <f>Q6*Stat_Phasing!Q7</f>
        <v>4043.2906647784662</v>
      </c>
      <c r="D6" s="6">
        <f>R6*Stat_Phasing!R7</f>
        <v>823.71050000000002</v>
      </c>
      <c r="E6" s="6">
        <f>S6*Stat_Phasing!S7</f>
        <v>644.55813953488359</v>
      </c>
      <c r="F6" s="6">
        <f>T6*Stat_Phasing!T7</f>
        <v>2058.5693143141034</v>
      </c>
      <c r="G6" s="6">
        <f>U6*Stat_Phasing!U7</f>
        <v>350.2227484023299</v>
      </c>
      <c r="H6" s="139">
        <f t="shared" ref="H6:H13" si="0">SUM(C6:G6)</f>
        <v>7920.3513670297825</v>
      </c>
      <c r="I6" s="14"/>
      <c r="J6" s="6">
        <f>Q6*Stat_Phasing!W7</f>
        <v>0</v>
      </c>
      <c r="K6" s="6">
        <f>R6*Stat_Phasing!X7</f>
        <v>0</v>
      </c>
      <c r="L6" s="6">
        <f>S6*Stat_Phasing!Y7</f>
        <v>0</v>
      </c>
      <c r="M6" s="6">
        <f>T6*Stat_Phasing!Z7</f>
        <v>42.011618659471495</v>
      </c>
      <c r="N6" s="6">
        <f>U6*Stat_Phasing!AA7</f>
        <v>18.432776231701574</v>
      </c>
      <c r="O6" s="139">
        <f t="shared" ref="O6:O13" si="1">SUM(J6:N6)</f>
        <v>60.444394891173069</v>
      </c>
      <c r="P6" s="14"/>
      <c r="Q6" s="6">
        <f>ELM_Det!K60</f>
        <v>4043.2906647784662</v>
      </c>
      <c r="R6" s="6">
        <f>ELM_Det!L60</f>
        <v>823.71050000000002</v>
      </c>
      <c r="S6" s="6">
        <f>ELM_Det!M60</f>
        <v>644.55813953488359</v>
      </c>
      <c r="T6" s="6">
        <f>ELM_Det!N60</f>
        <v>2100.5809329735748</v>
      </c>
      <c r="U6" s="6">
        <f>ELM_Det!O60</f>
        <v>368.65552463403145</v>
      </c>
      <c r="V6" s="139">
        <f t="shared" ref="V6:V13" si="2">SUM(Q6:U6)</f>
        <v>7980.7957619209556</v>
      </c>
      <c r="W6" s="11">
        <f>V6-ELM_Det!P60</f>
        <v>0</v>
      </c>
      <c r="X6" s="19">
        <f t="shared" ref="X6:X13" si="3">V6-O6-H6</f>
        <v>0</v>
      </c>
    </row>
    <row r="7" spans="2:24" x14ac:dyDescent="0.3">
      <c r="B7" t="str">
        <f>STN_3</f>
        <v>FGY</v>
      </c>
      <c r="C7" s="6">
        <f>Q7*Stat_Phasing!Q8</f>
        <v>3913.8804575257841</v>
      </c>
      <c r="D7" s="6">
        <f>R7*Stat_Phasing!R8</f>
        <v>739.72937500000012</v>
      </c>
      <c r="E7" s="6">
        <f>S7*Stat_Phasing!S8</f>
        <v>644.55813953488359</v>
      </c>
      <c r="F7" s="6">
        <f>T7*Stat_Phasing!T8</f>
        <v>2791.5859408796946</v>
      </c>
      <c r="G7" s="6">
        <f>U7*Stat_Phasing!U8</f>
        <v>350.92026184616043</v>
      </c>
      <c r="H7" s="139">
        <f t="shared" si="0"/>
        <v>8440.6741747865235</v>
      </c>
      <c r="I7" s="14"/>
      <c r="J7" s="6">
        <f>Q7*Stat_Phasing!W8</f>
        <v>0</v>
      </c>
      <c r="K7" s="6">
        <f>R7*Stat_Phasing!X8</f>
        <v>38.933125000000004</v>
      </c>
      <c r="L7" s="6">
        <f>S7*Stat_Phasing!Y8</f>
        <v>0</v>
      </c>
      <c r="M7" s="6">
        <f>T7*Stat_Phasing!Z8</f>
        <v>56.971141650606015</v>
      </c>
      <c r="N7" s="6">
        <f>U7*Stat_Phasing!AA8</f>
        <v>18.469487465587388</v>
      </c>
      <c r="O7" s="139">
        <f t="shared" si="1"/>
        <v>114.37375411619341</v>
      </c>
      <c r="P7" s="14"/>
      <c r="Q7" s="6">
        <f>FGY_Det!K58</f>
        <v>3913.8804575257841</v>
      </c>
      <c r="R7" s="6">
        <f>FGY_Det!L58</f>
        <v>778.66250000000002</v>
      </c>
      <c r="S7" s="6">
        <f>FGY_Det!M58</f>
        <v>644.55813953488359</v>
      </c>
      <c r="T7" s="6">
        <f>FGY_Det!N58</f>
        <v>2848.5570825303007</v>
      </c>
      <c r="U7" s="6">
        <f>FGY_Det!O58</f>
        <v>369.38974931174778</v>
      </c>
      <c r="V7" s="139">
        <f t="shared" si="2"/>
        <v>8555.0479289027153</v>
      </c>
      <c r="W7" s="11">
        <f>V7-FGY_Det!P58</f>
        <v>0</v>
      </c>
      <c r="X7" s="19">
        <f t="shared" si="3"/>
        <v>0</v>
      </c>
    </row>
    <row r="8" spans="2:24" x14ac:dyDescent="0.3">
      <c r="B8" t="str">
        <f>STN_4</f>
        <v>WOTS22</v>
      </c>
      <c r="C8" s="6">
        <f>Q8*Stat_Phasing!Q9</f>
        <v>3455.0321018299146</v>
      </c>
      <c r="D8" s="6">
        <f>R8*Stat_Phasing!R9</f>
        <v>833.0804999999998</v>
      </c>
      <c r="E8" s="6">
        <f>S8*Stat_Phasing!S9</f>
        <v>594.9767441860464</v>
      </c>
      <c r="F8" s="6">
        <f>T8*Stat_Phasing!T9</f>
        <v>1804.6871265664481</v>
      </c>
      <c r="G8" s="6">
        <f>U8*Stat_Phasing!U9</f>
        <v>259.70364986423402</v>
      </c>
      <c r="H8" s="139">
        <f t="shared" si="0"/>
        <v>6947.4801224466428</v>
      </c>
      <c r="I8" s="14"/>
      <c r="J8" s="6">
        <f>Q8*Stat_Phasing!W9</f>
        <v>0</v>
      </c>
      <c r="K8" s="6">
        <f>R8*Stat_Phasing!X9</f>
        <v>0</v>
      </c>
      <c r="L8" s="6">
        <f>S8*Stat_Phasing!Y9</f>
        <v>0</v>
      </c>
      <c r="M8" s="6">
        <f>T8*Stat_Phasing!Z9</f>
        <v>0</v>
      </c>
      <c r="N8" s="6">
        <f>U8*Stat_Phasing!AA9</f>
        <v>0</v>
      </c>
      <c r="O8" s="139">
        <f t="shared" si="1"/>
        <v>0</v>
      </c>
      <c r="P8" s="14"/>
      <c r="Q8" s="6">
        <f>WOTS22_Det!K57</f>
        <v>3455.0321018299146</v>
      </c>
      <c r="R8" s="6">
        <f>WOTS22_Det!L57</f>
        <v>833.0804999999998</v>
      </c>
      <c r="S8" s="6">
        <f>WOTS22_Det!M57</f>
        <v>594.9767441860464</v>
      </c>
      <c r="T8" s="6">
        <f>WOTS22_Det!N57</f>
        <v>1804.6871265664481</v>
      </c>
      <c r="U8" s="6">
        <f>WOTS22_Det!O57</f>
        <v>259.70364986423402</v>
      </c>
      <c r="V8" s="139">
        <f t="shared" si="2"/>
        <v>6947.4801224466428</v>
      </c>
      <c r="W8" s="11">
        <f>V8-WOTS22_Det!P57</f>
        <v>0</v>
      </c>
      <c r="X8" s="19">
        <f t="shared" si="3"/>
        <v>0</v>
      </c>
    </row>
    <row r="9" spans="2:24" x14ac:dyDescent="0.3">
      <c r="B9" t="str">
        <f>STN_5</f>
        <v>MOE</v>
      </c>
      <c r="C9" s="6">
        <f>Q9*Stat_Phasing!Q10</f>
        <v>4157.379497170431</v>
      </c>
      <c r="D9" s="6">
        <f>R9*Stat_Phasing!R10</f>
        <v>803.73562500000003</v>
      </c>
      <c r="E9" s="6">
        <f>S9*Stat_Phasing!S10</f>
        <v>644.55813953488359</v>
      </c>
      <c r="F9" s="6">
        <f>T9*Stat_Phasing!T10</f>
        <v>2172.2554855145831</v>
      </c>
      <c r="G9" s="6">
        <f>U9*Stat_Phasing!U10</f>
        <v>359.82556023983898</v>
      </c>
      <c r="H9" s="139">
        <f t="shared" si="0"/>
        <v>8137.7543074597361</v>
      </c>
      <c r="I9" s="14"/>
      <c r="J9" s="6">
        <f>Q9*Stat_Phasing!W10</f>
        <v>0</v>
      </c>
      <c r="K9" s="6">
        <f>R9*Stat_Phasing!X10</f>
        <v>42.301875000000003</v>
      </c>
      <c r="L9" s="6">
        <f>S9*Stat_Phasing!Y10</f>
        <v>0</v>
      </c>
      <c r="M9" s="6">
        <f>T9*Stat_Phasing!Z10</f>
        <v>44.331744602338432</v>
      </c>
      <c r="N9" s="6">
        <f>U9*Stat_Phasing!AA10</f>
        <v>18.938187381044155</v>
      </c>
      <c r="O9" s="139">
        <f t="shared" si="1"/>
        <v>105.57180698338259</v>
      </c>
      <c r="P9" s="14"/>
      <c r="Q9" s="6">
        <f>MOE_Det!K60</f>
        <v>4157.379497170431</v>
      </c>
      <c r="R9" s="6">
        <f>MOE_Det!L60</f>
        <v>846.03750000000002</v>
      </c>
      <c r="S9" s="6">
        <f>MOE_Det!M60</f>
        <v>644.55813953488359</v>
      </c>
      <c r="T9" s="6">
        <f>MOE_Det!N60</f>
        <v>2216.5872301169215</v>
      </c>
      <c r="U9" s="6">
        <f>MOE_Det!O60</f>
        <v>378.76374762088312</v>
      </c>
      <c r="V9" s="139">
        <f t="shared" si="2"/>
        <v>8243.3261144431199</v>
      </c>
      <c r="W9" s="11">
        <f>V9-MOE_Det!P60</f>
        <v>0</v>
      </c>
      <c r="X9" s="19">
        <f t="shared" si="3"/>
        <v>0</v>
      </c>
    </row>
    <row r="10" spans="2:24" x14ac:dyDescent="0.3">
      <c r="B10" t="str">
        <f>STN_6</f>
        <v>BGE</v>
      </c>
      <c r="C10" s="6">
        <f>Q10*Stat_Phasing!Q11</f>
        <v>3849.660898725469</v>
      </c>
      <c r="D10" s="6">
        <f>R10*Stat_Phasing!R11</f>
        <v>972.02100000000019</v>
      </c>
      <c r="E10" s="6">
        <f>S10*Stat_Phasing!S11</f>
        <v>594.9767441860464</v>
      </c>
      <c r="F10" s="6">
        <f>T10*Stat_Phasing!T11</f>
        <v>1860.8818171741832</v>
      </c>
      <c r="G10" s="6">
        <f>U10*Stat_Phasing!U11</f>
        <v>382.19352831727269</v>
      </c>
      <c r="H10" s="139">
        <f t="shared" si="0"/>
        <v>7659.7339884029716</v>
      </c>
      <c r="I10" s="14"/>
      <c r="J10" s="6">
        <f>Q10*Stat_Phasing!W11</f>
        <v>0</v>
      </c>
      <c r="K10" s="6">
        <f>R10*Stat_Phasing!X11</f>
        <v>0</v>
      </c>
      <c r="L10" s="6">
        <f>S10*Stat_Phasing!Y11</f>
        <v>0</v>
      </c>
      <c r="M10" s="6">
        <f>T10*Stat_Phasing!Z11</f>
        <v>0</v>
      </c>
      <c r="N10" s="6">
        <f>U10*Stat_Phasing!AA11</f>
        <v>0</v>
      </c>
      <c r="O10" s="139">
        <f t="shared" si="1"/>
        <v>0</v>
      </c>
      <c r="P10" s="14"/>
      <c r="Q10" s="6">
        <f>BGE_Det!K62</f>
        <v>3849.660898725469</v>
      </c>
      <c r="R10" s="6">
        <f>BGE_Det!L62</f>
        <v>972.02100000000019</v>
      </c>
      <c r="S10" s="6">
        <f>BGE_Det!M62</f>
        <v>594.9767441860464</v>
      </c>
      <c r="T10" s="6">
        <f>BGE_Det!N62</f>
        <v>1860.8818171741832</v>
      </c>
      <c r="U10" s="6">
        <f>BGE_Det!O62</f>
        <v>382.19352831727269</v>
      </c>
      <c r="V10" s="139">
        <f t="shared" si="2"/>
        <v>7659.7339884029716</v>
      </c>
      <c r="W10" s="11">
        <f>V10-BGE_Det!P62</f>
        <v>0</v>
      </c>
      <c r="X10" s="19">
        <f t="shared" si="3"/>
        <v>0</v>
      </c>
    </row>
    <row r="11" spans="2:24" x14ac:dyDescent="0.3">
      <c r="B11" t="str">
        <f>STN_7</f>
        <v>LDL</v>
      </c>
      <c r="C11" s="6">
        <f>Q11*Stat_Phasing!Q12</f>
        <v>3937.5568679440944</v>
      </c>
      <c r="D11" s="6">
        <f>R11*Stat_Phasing!R12</f>
        <v>764.16049999999996</v>
      </c>
      <c r="E11" s="6">
        <f>S11*Stat_Phasing!S12</f>
        <v>594.9767441860464</v>
      </c>
      <c r="F11" s="6">
        <f>T11*Stat_Phasing!T12</f>
        <v>1828.4189222330717</v>
      </c>
      <c r="G11" s="6">
        <f>U11*Stat_Phasing!U12</f>
        <v>306.89485447967803</v>
      </c>
      <c r="H11" s="139">
        <f t="shared" si="0"/>
        <v>7432.0078888428907</v>
      </c>
      <c r="I11" s="14"/>
      <c r="J11" s="6">
        <f>Q11*Stat_Phasing!W12</f>
        <v>0</v>
      </c>
      <c r="K11" s="6">
        <f>R11*Stat_Phasing!X12</f>
        <v>0</v>
      </c>
      <c r="L11" s="6">
        <f>S11*Stat_Phasing!Y12</f>
        <v>0</v>
      </c>
      <c r="M11" s="6">
        <f>T11*Stat_Phasing!Z12</f>
        <v>37.314671882307593</v>
      </c>
      <c r="N11" s="6">
        <f>U11*Stat_Phasing!AA12</f>
        <v>16.152360762088318</v>
      </c>
      <c r="O11" s="139">
        <f t="shared" si="1"/>
        <v>53.467032644395914</v>
      </c>
      <c r="P11" s="14"/>
      <c r="Q11" s="6">
        <f>LDL_Det!K59</f>
        <v>3937.5568679440944</v>
      </c>
      <c r="R11" s="6">
        <f>LDL_Det!L59</f>
        <v>764.16049999999996</v>
      </c>
      <c r="S11" s="6">
        <f>LDL_Det!M59</f>
        <v>594.9767441860464</v>
      </c>
      <c r="T11" s="6">
        <f>LDL_Det!N59</f>
        <v>1865.7335941153794</v>
      </c>
      <c r="U11" s="6">
        <f>LDL_Det!O59</f>
        <v>323.04721524176631</v>
      </c>
      <c r="V11" s="139">
        <f t="shared" si="2"/>
        <v>7485.4749214872872</v>
      </c>
      <c r="W11" s="11">
        <f>V11-LDL_Det!P59</f>
        <v>0</v>
      </c>
      <c r="X11" s="19">
        <f t="shared" si="3"/>
        <v>0</v>
      </c>
    </row>
    <row r="12" spans="2:24" x14ac:dyDescent="0.3">
      <c r="B12" t="str">
        <f>STN_8</f>
        <v>BDL</v>
      </c>
      <c r="C12" s="6">
        <f>Q12*Stat_Phasing!Q13</f>
        <v>3405.5270091309308</v>
      </c>
      <c r="D12" s="6">
        <f>R12*Stat_Phasing!R13</f>
        <v>792.0804999999998</v>
      </c>
      <c r="E12" s="6">
        <f>S12*Stat_Phasing!S13</f>
        <v>644.55813953488359</v>
      </c>
      <c r="F12" s="6">
        <f>T12*Stat_Phasing!T13</f>
        <v>1806.8762958327982</v>
      </c>
      <c r="G12" s="6">
        <f>U12*Stat_Phasing!U13</f>
        <v>308.0280016137736</v>
      </c>
      <c r="H12" s="139">
        <f t="shared" si="0"/>
        <v>6957.0699461123859</v>
      </c>
      <c r="I12" s="14"/>
      <c r="J12" s="6">
        <f>Q12*Stat_Phasing!W13</f>
        <v>0</v>
      </c>
      <c r="K12" s="6">
        <f>R12*Stat_Phasing!X13</f>
        <v>0</v>
      </c>
      <c r="L12" s="6">
        <f>S12*Stat_Phasing!Y13</f>
        <v>0</v>
      </c>
      <c r="M12" s="6">
        <f>T12*Stat_Phasing!Z13</f>
        <v>0</v>
      </c>
      <c r="N12" s="6">
        <f>U12*Stat_Phasing!AA13</f>
        <v>0</v>
      </c>
      <c r="O12" s="139">
        <f t="shared" si="1"/>
        <v>0</v>
      </c>
      <c r="P12" s="14"/>
      <c r="Q12" s="6">
        <f>BDL_Det!K58</f>
        <v>3405.5270091309308</v>
      </c>
      <c r="R12" s="6">
        <f>BDL_Det!L58</f>
        <v>792.0804999999998</v>
      </c>
      <c r="S12" s="6">
        <f>BDL_Det!M58</f>
        <v>644.55813953488359</v>
      </c>
      <c r="T12" s="6">
        <f>BDL_Det!N58</f>
        <v>1806.8762958327982</v>
      </c>
      <c r="U12" s="6">
        <f>BDL_Det!O58</f>
        <v>308.0280016137736</v>
      </c>
      <c r="V12" s="139">
        <f t="shared" si="2"/>
        <v>6957.0699461123859</v>
      </c>
      <c r="W12" s="11">
        <f>V12-BDL_Det!P58</f>
        <v>0</v>
      </c>
      <c r="X12" s="19">
        <f t="shared" si="3"/>
        <v>0</v>
      </c>
    </row>
    <row r="13" spans="2:24" x14ac:dyDescent="0.3">
      <c r="B13" t="str">
        <f>STN_9</f>
        <v>[spare]</v>
      </c>
      <c r="C13" s="6">
        <f>Q13*Stat_Phasing!Q14</f>
        <v>0</v>
      </c>
      <c r="D13" s="6">
        <f>R13*Stat_Phasing!R14</f>
        <v>0</v>
      </c>
      <c r="E13" s="6">
        <f>S13*Stat_Phasing!S14</f>
        <v>0</v>
      </c>
      <c r="F13" s="6">
        <f>T13*Stat_Phasing!T14</f>
        <v>0</v>
      </c>
      <c r="G13" s="6">
        <f>U13*Stat_Phasing!U14</f>
        <v>0</v>
      </c>
      <c r="H13" s="139">
        <f t="shared" si="0"/>
        <v>0</v>
      </c>
      <c r="I13" s="14"/>
      <c r="J13" s="6">
        <f>Q13*Stat_Phasing!W14</f>
        <v>0</v>
      </c>
      <c r="K13" s="6">
        <f>R13*Stat_Phasing!X14</f>
        <v>0</v>
      </c>
      <c r="L13" s="6">
        <f>S13*Stat_Phasing!Y14</f>
        <v>0</v>
      </c>
      <c r="M13" s="6">
        <f>T13*Stat_Phasing!Z14</f>
        <v>0</v>
      </c>
      <c r="N13" s="6">
        <f>U13*Stat_Phasing!AA14</f>
        <v>0</v>
      </c>
      <c r="O13" s="139">
        <f t="shared" si="1"/>
        <v>0</v>
      </c>
      <c r="P13" s="14"/>
      <c r="Q13" s="6">
        <f>Spare!K57</f>
        <v>0</v>
      </c>
      <c r="R13" s="6">
        <f>Spare!L57</f>
        <v>0</v>
      </c>
      <c r="S13" s="6">
        <f>Spare!M57</f>
        <v>0</v>
      </c>
      <c r="T13" s="6">
        <f>Spare!N57</f>
        <v>0</v>
      </c>
      <c r="U13" s="6">
        <f>Spare!O57</f>
        <v>0</v>
      </c>
      <c r="V13" s="139">
        <f t="shared" si="2"/>
        <v>0</v>
      </c>
      <c r="W13" s="11">
        <f>V13-Spare!P57</f>
        <v>0</v>
      </c>
      <c r="X13" s="19">
        <f t="shared" si="3"/>
        <v>0</v>
      </c>
    </row>
    <row r="14" spans="2:24" x14ac:dyDescent="0.3">
      <c r="B14" t="s">
        <v>6</v>
      </c>
      <c r="C14" s="21">
        <f>SUM(C5:C13)</f>
        <v>28615.137354821196</v>
      </c>
      <c r="D14" s="21">
        <f t="shared" ref="D14:H14" si="4">SUM(D5:D13)</f>
        <v>6338.5055000000011</v>
      </c>
      <c r="E14" s="21">
        <f t="shared" si="4"/>
        <v>4759.8139534883712</v>
      </c>
      <c r="F14" s="21">
        <f t="shared" si="4"/>
        <v>15497.906493341043</v>
      </c>
      <c r="G14" s="21">
        <f t="shared" si="4"/>
        <v>2538.673001518609</v>
      </c>
      <c r="H14" s="21">
        <f t="shared" si="4"/>
        <v>57750.036303169218</v>
      </c>
      <c r="I14" s="14"/>
      <c r="J14" s="21">
        <f>SUM(J5:J13)</f>
        <v>0</v>
      </c>
      <c r="K14" s="21">
        <f t="shared" ref="K14:O14" si="5">SUM(K5:K13)</f>
        <v>81.235000000000014</v>
      </c>
      <c r="L14" s="21">
        <f t="shared" si="5"/>
        <v>0</v>
      </c>
      <c r="M14" s="21">
        <f t="shared" si="5"/>
        <v>180.62917679472355</v>
      </c>
      <c r="N14" s="21">
        <f t="shared" si="5"/>
        <v>71.992811840421439</v>
      </c>
      <c r="O14" s="21">
        <f t="shared" si="5"/>
        <v>333.85698863514494</v>
      </c>
      <c r="P14" s="14"/>
      <c r="Q14" s="21">
        <f>SUM(Q5:Q13)</f>
        <v>28615.137354821196</v>
      </c>
      <c r="R14" s="21">
        <f t="shared" ref="R14:V14" si="6">SUM(R5:R13)</f>
        <v>6419.7404999999999</v>
      </c>
      <c r="S14" s="21">
        <f t="shared" si="6"/>
        <v>4759.8139534883712</v>
      </c>
      <c r="T14" s="21">
        <f t="shared" si="6"/>
        <v>15678.535670135769</v>
      </c>
      <c r="U14" s="21">
        <f t="shared" si="6"/>
        <v>2610.6658133590304</v>
      </c>
      <c r="V14" s="21">
        <f t="shared" si="6"/>
        <v>58083.893291804365</v>
      </c>
      <c r="W14" s="416"/>
    </row>
    <row r="15" spans="2:24" x14ac:dyDescent="0.3">
      <c r="B15" s="52"/>
      <c r="C15" s="52"/>
      <c r="D15" s="52"/>
      <c r="E15" s="52"/>
      <c r="F15" s="52"/>
      <c r="G15" s="52"/>
      <c r="H15" s="52"/>
      <c r="I15" s="52"/>
      <c r="Q15" s="390"/>
      <c r="R15" s="390"/>
      <c r="S15" s="390"/>
      <c r="T15" s="390"/>
      <c r="U15" s="390"/>
      <c r="V15" s="390"/>
    </row>
    <row r="16" spans="2:24" x14ac:dyDescent="0.3">
      <c r="J16" s="9"/>
      <c r="Q16" s="212"/>
      <c r="R16" s="212"/>
      <c r="S16" s="212"/>
      <c r="T16" s="212"/>
      <c r="U16" s="212"/>
      <c r="V16" s="212"/>
    </row>
    <row r="17" spans="2:23" x14ac:dyDescent="0.3">
      <c r="B17" s="25" t="s">
        <v>623</v>
      </c>
      <c r="C17" s="600" t="s">
        <v>598</v>
      </c>
      <c r="D17" s="600"/>
      <c r="E17" s="600"/>
      <c r="F17" s="600"/>
      <c r="G17" s="600"/>
      <c r="H17" s="600"/>
      <c r="I17" s="25"/>
      <c r="J17" s="600" t="s">
        <v>599</v>
      </c>
      <c r="K17" s="600"/>
      <c r="L17" s="600"/>
      <c r="M17" s="600"/>
      <c r="N17" s="600"/>
      <c r="O17" s="600"/>
      <c r="Q17" s="601" t="s">
        <v>103</v>
      </c>
      <c r="R17" s="601"/>
      <c r="S17" s="601"/>
      <c r="T17" s="601"/>
      <c r="U17" s="601"/>
      <c r="V17" s="601"/>
    </row>
    <row r="18" spans="2:23" ht="28.95" x14ac:dyDescent="0.3">
      <c r="C18" s="518" t="s">
        <v>135</v>
      </c>
      <c r="D18" s="518" t="s">
        <v>49</v>
      </c>
      <c r="E18" s="13" t="s">
        <v>136</v>
      </c>
      <c r="F18" s="13" t="s">
        <v>137</v>
      </c>
      <c r="G18" s="518" t="s">
        <v>60</v>
      </c>
      <c r="H18" s="13" t="s">
        <v>138</v>
      </c>
      <c r="J18" s="518" t="s">
        <v>135</v>
      </c>
      <c r="K18" s="518" t="s">
        <v>49</v>
      </c>
      <c r="L18" s="13" t="s">
        <v>136</v>
      </c>
      <c r="M18" s="13" t="s">
        <v>137</v>
      </c>
      <c r="N18" s="518" t="s">
        <v>60</v>
      </c>
      <c r="O18" s="13" t="s">
        <v>138</v>
      </c>
      <c r="Q18" s="173" t="s">
        <v>135</v>
      </c>
      <c r="R18" s="173" t="s">
        <v>49</v>
      </c>
      <c r="S18" s="13" t="s">
        <v>136</v>
      </c>
      <c r="T18" s="13" t="s">
        <v>137</v>
      </c>
      <c r="U18" s="173" t="s">
        <v>60</v>
      </c>
      <c r="V18" s="13" t="s">
        <v>138</v>
      </c>
      <c r="W18" s="13" t="s">
        <v>55</v>
      </c>
    </row>
    <row r="19" spans="2:23" x14ac:dyDescent="0.3">
      <c r="B19" t="str">
        <f>STN_1</f>
        <v>RWN</v>
      </c>
      <c r="C19" s="6">
        <f>Q19</f>
        <v>92.375097674418583</v>
      </c>
      <c r="D19" s="6">
        <f t="shared" ref="D19:D27" si="7">R19</f>
        <v>137.46149185316364</v>
      </c>
      <c r="E19" s="6">
        <f t="shared" ref="E19:E27" si="8">S19</f>
        <v>145.05533023255813</v>
      </c>
      <c r="F19" s="6">
        <f t="shared" ref="F19:F27" si="9">T19</f>
        <v>333.58664643156413</v>
      </c>
      <c r="G19" s="6">
        <f t="shared" ref="G19:G27" si="10">U19</f>
        <v>25.427501982264111</v>
      </c>
      <c r="H19" s="139">
        <f t="shared" ref="H19:H27" si="11">SUM(C19:G19)</f>
        <v>733.90606817396849</v>
      </c>
      <c r="I19" s="14"/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139">
        <f t="shared" ref="O19:O27" si="12">SUM(J19:N19)</f>
        <v>0</v>
      </c>
      <c r="P19" s="14"/>
      <c r="Q19" s="6">
        <f>RWN_Det!K70</f>
        <v>92.375097674418583</v>
      </c>
      <c r="R19" s="6">
        <f>RWN_Det!L70</f>
        <v>137.46149185316364</v>
      </c>
      <c r="S19" s="6">
        <f>RWN_Det!M70</f>
        <v>145.05533023255813</v>
      </c>
      <c r="T19" s="6">
        <f>RWN_Det!N70</f>
        <v>333.58664643156413</v>
      </c>
      <c r="U19" s="6">
        <f>RWN_Det!O70</f>
        <v>25.427501982264111</v>
      </c>
      <c r="V19" s="6">
        <f t="shared" ref="V19:V27" si="13">SUM(Q19:U19)</f>
        <v>733.90606817396849</v>
      </c>
      <c r="W19" s="11">
        <f>V19-RWN_Det!P70</f>
        <v>0</v>
      </c>
    </row>
    <row r="20" spans="2:23" x14ac:dyDescent="0.3">
      <c r="B20" t="str">
        <f>STN_2</f>
        <v>ELM</v>
      </c>
      <c r="C20" s="6">
        <f t="shared" ref="C20:C27" si="14">Q20</f>
        <v>338.36129116279062</v>
      </c>
      <c r="D20" s="6">
        <f t="shared" si="7"/>
        <v>240.13216200117364</v>
      </c>
      <c r="E20" s="6">
        <f t="shared" si="8"/>
        <v>199.45107906976745</v>
      </c>
      <c r="F20" s="6">
        <f t="shared" si="9"/>
        <v>983.13404183119815</v>
      </c>
      <c r="G20" s="6">
        <f t="shared" si="10"/>
        <v>92.042799427033458</v>
      </c>
      <c r="H20" s="139">
        <f t="shared" si="11"/>
        <v>1853.1213734919634</v>
      </c>
      <c r="I20" s="14"/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139">
        <f t="shared" si="12"/>
        <v>0</v>
      </c>
      <c r="P20" s="14"/>
      <c r="Q20" s="6">
        <f>ELM_Det!K73</f>
        <v>338.36129116279062</v>
      </c>
      <c r="R20" s="6">
        <f>ELM_Det!L73</f>
        <v>240.13216200117364</v>
      </c>
      <c r="S20" s="6">
        <f>ELM_Det!M73</f>
        <v>199.45107906976745</v>
      </c>
      <c r="T20" s="6">
        <f>ELM_Det!N73</f>
        <v>983.13404183119815</v>
      </c>
      <c r="U20" s="6">
        <f>ELM_Det!O73</f>
        <v>92.042799427033458</v>
      </c>
      <c r="V20" s="6">
        <f t="shared" si="13"/>
        <v>1853.1213734919634</v>
      </c>
      <c r="W20" s="11">
        <f>V20-ELM_Det!P73</f>
        <v>0</v>
      </c>
    </row>
    <row r="21" spans="2:23" x14ac:dyDescent="0.3">
      <c r="B21" t="str">
        <f>STN_3</f>
        <v>FGY</v>
      </c>
      <c r="C21" s="6">
        <f t="shared" si="14"/>
        <v>205.27887627906975</v>
      </c>
      <c r="D21" s="6">
        <f t="shared" si="7"/>
        <v>211.30874278788289</v>
      </c>
      <c r="E21" s="6">
        <f t="shared" si="8"/>
        <v>217.58299534883719</v>
      </c>
      <c r="F21" s="6">
        <f t="shared" si="9"/>
        <v>501.26518772736677</v>
      </c>
      <c r="G21" s="6">
        <f t="shared" si="10"/>
        <v>45.961209040098481</v>
      </c>
      <c r="H21" s="139">
        <f t="shared" si="11"/>
        <v>1181.3970111832552</v>
      </c>
      <c r="I21" s="14"/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139">
        <f t="shared" si="12"/>
        <v>0</v>
      </c>
      <c r="P21" s="14"/>
      <c r="Q21" s="6">
        <f>FGY_Det!K71</f>
        <v>205.27887627906975</v>
      </c>
      <c r="R21" s="6">
        <f>FGY_Det!L71</f>
        <v>211.30874278788289</v>
      </c>
      <c r="S21" s="6">
        <f>FGY_Det!M71</f>
        <v>217.58299534883719</v>
      </c>
      <c r="T21" s="6">
        <f>FGY_Det!N71</f>
        <v>501.26518772736677</v>
      </c>
      <c r="U21" s="6">
        <f>FGY_Det!O71</f>
        <v>45.961209040098481</v>
      </c>
      <c r="V21" s="6">
        <f t="shared" si="13"/>
        <v>1181.3970111832552</v>
      </c>
      <c r="W21" s="11">
        <f>V21-FGY_Det!P71</f>
        <v>0</v>
      </c>
    </row>
    <row r="22" spans="2:23" x14ac:dyDescent="0.3">
      <c r="B22" t="str">
        <f>STN_4</f>
        <v>WOTS22</v>
      </c>
      <c r="C22" s="6">
        <f t="shared" si="14"/>
        <v>635.96667534883716</v>
      </c>
      <c r="D22" s="6">
        <f t="shared" si="7"/>
        <v>262.3225845992734</v>
      </c>
      <c r="E22" s="6">
        <f t="shared" si="8"/>
        <v>108.79149767441859</v>
      </c>
      <c r="F22" s="6">
        <f t="shared" si="9"/>
        <v>1940.8069626007389</v>
      </c>
      <c r="G22" s="6">
        <f t="shared" si="10"/>
        <v>192.71497888417798</v>
      </c>
      <c r="H22" s="139">
        <f t="shared" si="11"/>
        <v>3140.6026991074459</v>
      </c>
      <c r="I22" s="14"/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139">
        <f t="shared" si="12"/>
        <v>0</v>
      </c>
      <c r="P22" s="14"/>
      <c r="Q22" s="6">
        <f>WOTS22_Det!K70</f>
        <v>635.96667534883716</v>
      </c>
      <c r="R22" s="6">
        <f>WOTS22_Det!L70</f>
        <v>262.3225845992734</v>
      </c>
      <c r="S22" s="6">
        <f>WOTS22_Det!M70</f>
        <v>108.79149767441859</v>
      </c>
      <c r="T22" s="6">
        <f>WOTS22_Det!N70</f>
        <v>1940.8069626007389</v>
      </c>
      <c r="U22" s="6">
        <f>WOTS22_Det!O70</f>
        <v>192.71497888417798</v>
      </c>
      <c r="V22" s="6">
        <f t="shared" si="13"/>
        <v>3140.6026991074459</v>
      </c>
      <c r="W22" s="11">
        <f>V22-WOTS22_Det!P70</f>
        <v>0</v>
      </c>
    </row>
    <row r="23" spans="2:23" x14ac:dyDescent="0.3">
      <c r="B23" t="str">
        <f>STN_5</f>
        <v>MOE</v>
      </c>
      <c r="C23" s="6">
        <f t="shared" si="14"/>
        <v>529.65821395348837</v>
      </c>
      <c r="D23" s="6">
        <f t="shared" si="7"/>
        <v>253.83364710946145</v>
      </c>
      <c r="E23" s="6">
        <f t="shared" si="8"/>
        <v>163.1872465116279</v>
      </c>
      <c r="F23" s="6">
        <f t="shared" si="9"/>
        <v>1382.1722583199032</v>
      </c>
      <c r="G23" s="6">
        <f t="shared" si="10"/>
        <v>137.95023319690051</v>
      </c>
      <c r="H23" s="139">
        <f t="shared" si="11"/>
        <v>2466.8015990913818</v>
      </c>
      <c r="I23" s="14"/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139">
        <f t="shared" si="12"/>
        <v>0</v>
      </c>
      <c r="P23" s="14"/>
      <c r="Q23" s="6">
        <f>MOE_Det!K73</f>
        <v>529.65821395348837</v>
      </c>
      <c r="R23" s="6">
        <f>MOE_Det!L73</f>
        <v>253.83364710946145</v>
      </c>
      <c r="S23" s="6">
        <f>MOE_Det!M73</f>
        <v>163.1872465116279</v>
      </c>
      <c r="T23" s="6">
        <f>MOE_Det!N73</f>
        <v>1382.1722583199032</v>
      </c>
      <c r="U23" s="6">
        <f>MOE_Det!O73</f>
        <v>137.95023319690051</v>
      </c>
      <c r="V23" s="6">
        <f t="shared" si="13"/>
        <v>2466.8015990913818</v>
      </c>
      <c r="W23" s="11">
        <f>V23-MOE_Det!P73</f>
        <v>0</v>
      </c>
    </row>
    <row r="24" spans="2:23" x14ac:dyDescent="0.3">
      <c r="B24" t="str">
        <f>STN_6</f>
        <v>BGE</v>
      </c>
      <c r="C24" s="6">
        <f t="shared" si="14"/>
        <v>578.29855441860457</v>
      </c>
      <c r="D24" s="6">
        <f t="shared" si="7"/>
        <v>239.43922317367344</v>
      </c>
      <c r="E24" s="6">
        <f t="shared" si="8"/>
        <v>126.92341395348836</v>
      </c>
      <c r="F24" s="6">
        <f t="shared" si="9"/>
        <v>1517.1594225699716</v>
      </c>
      <c r="G24" s="6">
        <f t="shared" si="10"/>
        <v>154.73440036352602</v>
      </c>
      <c r="H24" s="139">
        <f t="shared" si="11"/>
        <v>2616.5550144792642</v>
      </c>
      <c r="I24" s="14"/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139">
        <f t="shared" si="12"/>
        <v>0</v>
      </c>
      <c r="P24" s="14"/>
      <c r="Q24" s="6">
        <f>BGE_Det!K75</f>
        <v>578.29855441860457</v>
      </c>
      <c r="R24" s="6">
        <f>BGE_Det!L75</f>
        <v>239.43922317367344</v>
      </c>
      <c r="S24" s="6">
        <f>BGE_Det!M75</f>
        <v>126.92341395348836</v>
      </c>
      <c r="T24" s="6">
        <f>BGE_Det!N75</f>
        <v>1517.1594225699716</v>
      </c>
      <c r="U24" s="6">
        <f>BGE_Det!O75</f>
        <v>154.73440036352602</v>
      </c>
      <c r="V24" s="6">
        <f t="shared" si="13"/>
        <v>2616.5550144792642</v>
      </c>
      <c r="W24" s="11">
        <f>V24-BGE_Det!P75</f>
        <v>0</v>
      </c>
    </row>
    <row r="25" spans="2:23" ht="15" x14ac:dyDescent="0.25">
      <c r="B25" t="str">
        <f>STN_7</f>
        <v>LDL</v>
      </c>
      <c r="C25" s="6">
        <f t="shared" si="14"/>
        <v>218.96334139534881</v>
      </c>
      <c r="D25" s="6">
        <f t="shared" si="7"/>
        <v>195.18129369478979</v>
      </c>
      <c r="E25" s="6">
        <f t="shared" si="8"/>
        <v>181.31916279069767</v>
      </c>
      <c r="F25" s="6">
        <f t="shared" si="9"/>
        <v>648.75528058481655</v>
      </c>
      <c r="G25" s="6">
        <f t="shared" si="10"/>
        <v>58.07553670664651</v>
      </c>
      <c r="H25" s="139">
        <f t="shared" si="11"/>
        <v>1302.2946151722992</v>
      </c>
      <c r="I25" s="14"/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139">
        <f t="shared" si="12"/>
        <v>0</v>
      </c>
      <c r="P25" s="14"/>
      <c r="Q25" s="6">
        <f>LDL_Det!K72</f>
        <v>218.96334139534881</v>
      </c>
      <c r="R25" s="6">
        <f>LDL_Det!L72</f>
        <v>195.18129369478979</v>
      </c>
      <c r="S25" s="6">
        <f>LDL_Det!M72</f>
        <v>181.31916279069767</v>
      </c>
      <c r="T25" s="6">
        <f>LDL_Det!N72</f>
        <v>648.75528058481655</v>
      </c>
      <c r="U25" s="6">
        <f>LDL_Det!O72</f>
        <v>58.07553670664651</v>
      </c>
      <c r="V25" s="6">
        <f t="shared" si="13"/>
        <v>1302.2946151722992</v>
      </c>
      <c r="W25" s="11">
        <f>V25-LDL_Det!P72</f>
        <v>0</v>
      </c>
    </row>
    <row r="26" spans="2:23" ht="15" x14ac:dyDescent="0.25">
      <c r="B26" t="str">
        <f>STN_8</f>
        <v>BDL</v>
      </c>
      <c r="C26" s="6">
        <f t="shared" si="14"/>
        <v>629.76800930232548</v>
      </c>
      <c r="D26" s="6">
        <f t="shared" si="7"/>
        <v>286.08745274946693</v>
      </c>
      <c r="E26" s="6">
        <f t="shared" si="8"/>
        <v>163.1872465116279</v>
      </c>
      <c r="F26" s="6">
        <f t="shared" si="9"/>
        <v>1732.0272843942578</v>
      </c>
      <c r="G26" s="6">
        <f t="shared" si="10"/>
        <v>174.76769866864177</v>
      </c>
      <c r="H26" s="139">
        <f t="shared" si="11"/>
        <v>2985.8376916263201</v>
      </c>
      <c r="I26" s="14"/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139">
        <f t="shared" si="12"/>
        <v>0</v>
      </c>
      <c r="P26" s="14"/>
      <c r="Q26" s="6">
        <f>BDL_Det!K71</f>
        <v>629.76800930232548</v>
      </c>
      <c r="R26" s="6">
        <f>BDL_Det!L71</f>
        <v>286.08745274946693</v>
      </c>
      <c r="S26" s="6">
        <f>BDL_Det!M71</f>
        <v>163.1872465116279</v>
      </c>
      <c r="T26" s="6">
        <f>BDL_Det!N71</f>
        <v>1732.0272843942578</v>
      </c>
      <c r="U26" s="6">
        <f>BDL_Det!O71</f>
        <v>174.76769866864177</v>
      </c>
      <c r="V26" s="6">
        <f t="shared" si="13"/>
        <v>2985.8376916263201</v>
      </c>
      <c r="W26" s="11">
        <f>V26-BDL_Det!P71</f>
        <v>0</v>
      </c>
    </row>
    <row r="27" spans="2:23" ht="15" x14ac:dyDescent="0.25">
      <c r="B27" t="str">
        <f>STN_9</f>
        <v>[spare]</v>
      </c>
      <c r="C27" s="6">
        <f t="shared" si="14"/>
        <v>0</v>
      </c>
      <c r="D27" s="6">
        <f t="shared" si="7"/>
        <v>0</v>
      </c>
      <c r="E27" s="6">
        <f t="shared" si="8"/>
        <v>0</v>
      </c>
      <c r="F27" s="6">
        <f t="shared" si="9"/>
        <v>0</v>
      </c>
      <c r="G27" s="6">
        <f t="shared" si="10"/>
        <v>0</v>
      </c>
      <c r="H27" s="139">
        <f t="shared" si="11"/>
        <v>0</v>
      </c>
      <c r="I27" s="14"/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139">
        <f t="shared" si="12"/>
        <v>0</v>
      </c>
      <c r="P27" s="14"/>
      <c r="Q27" s="6">
        <f>Spare!K70</f>
        <v>0</v>
      </c>
      <c r="R27" s="6">
        <f>Spare!L70</f>
        <v>0</v>
      </c>
      <c r="S27" s="6">
        <f>Spare!M70</f>
        <v>0</v>
      </c>
      <c r="T27" s="6">
        <f>Spare!N70</f>
        <v>0</v>
      </c>
      <c r="U27" s="6">
        <f>Spare!O70</f>
        <v>0</v>
      </c>
      <c r="V27" s="6">
        <f t="shared" si="13"/>
        <v>0</v>
      </c>
      <c r="W27" s="11">
        <f>V27-Spare!P70</f>
        <v>0</v>
      </c>
    </row>
    <row r="28" spans="2:23" x14ac:dyDescent="0.3">
      <c r="B28" t="s">
        <v>6</v>
      </c>
      <c r="C28" s="21">
        <f>SUM(C19:C27)</f>
        <v>3228.6700595348834</v>
      </c>
      <c r="D28" s="21">
        <f t="shared" ref="D28:H28" si="15">SUM(D19:D27)</f>
        <v>1825.766597968885</v>
      </c>
      <c r="E28" s="21">
        <f t="shared" si="15"/>
        <v>1305.4979720930232</v>
      </c>
      <c r="F28" s="21">
        <f t="shared" si="15"/>
        <v>9038.9070844598173</v>
      </c>
      <c r="G28" s="21">
        <f t="shared" si="15"/>
        <v>881.67435826928886</v>
      </c>
      <c r="H28" s="21">
        <f t="shared" si="15"/>
        <v>16280.5160723259</v>
      </c>
      <c r="I28" s="14"/>
      <c r="J28" s="21">
        <f>SUM(J19:J27)</f>
        <v>0</v>
      </c>
      <c r="K28" s="21">
        <f t="shared" ref="K28:O28" si="16">SUM(K19:K27)</f>
        <v>0</v>
      </c>
      <c r="L28" s="21">
        <f t="shared" si="16"/>
        <v>0</v>
      </c>
      <c r="M28" s="21">
        <f t="shared" si="16"/>
        <v>0</v>
      </c>
      <c r="N28" s="21">
        <f t="shared" si="16"/>
        <v>0</v>
      </c>
      <c r="O28" s="21">
        <f t="shared" si="16"/>
        <v>0</v>
      </c>
      <c r="P28" s="14"/>
      <c r="Q28" s="21">
        <f>SUM(Q19:Q27)</f>
        <v>3228.6700595348834</v>
      </c>
      <c r="R28" s="21">
        <f t="shared" ref="R28:V28" si="17">SUM(R19:R27)</f>
        <v>1825.766597968885</v>
      </c>
      <c r="S28" s="21">
        <f t="shared" si="17"/>
        <v>1305.4979720930232</v>
      </c>
      <c r="T28" s="21">
        <f t="shared" si="17"/>
        <v>9038.9070844598173</v>
      </c>
      <c r="U28" s="21">
        <f t="shared" si="17"/>
        <v>881.67435826928886</v>
      </c>
      <c r="V28" s="21">
        <f t="shared" si="17"/>
        <v>16280.5160723259</v>
      </c>
    </row>
    <row r="29" spans="2:23" x14ac:dyDescent="0.3">
      <c r="B29" s="52"/>
      <c r="C29" s="52"/>
      <c r="D29" s="52"/>
      <c r="E29" s="52"/>
      <c r="F29" s="52"/>
      <c r="G29" s="52"/>
      <c r="H29" s="52"/>
      <c r="I29" s="52"/>
      <c r="Q29" s="416"/>
      <c r="R29" s="416"/>
      <c r="S29" s="416"/>
      <c r="T29" s="416"/>
      <c r="U29" s="416"/>
      <c r="V29" s="416"/>
      <c r="W29" s="45"/>
    </row>
    <row r="30" spans="2:23" x14ac:dyDescent="0.3">
      <c r="Q30" s="212"/>
      <c r="R30" s="212"/>
      <c r="S30" s="212"/>
      <c r="T30" s="212"/>
      <c r="U30" s="212"/>
      <c r="V30" s="212"/>
      <c r="W30" s="212"/>
    </row>
    <row r="31" spans="2:23" x14ac:dyDescent="0.3">
      <c r="B31" s="25" t="s">
        <v>624</v>
      </c>
      <c r="C31" s="600" t="s">
        <v>598</v>
      </c>
      <c r="D31" s="600"/>
      <c r="E31" s="600"/>
      <c r="F31" s="600"/>
      <c r="G31" s="600"/>
      <c r="H31" s="600"/>
      <c r="I31" s="25"/>
      <c r="J31" s="600" t="s">
        <v>599</v>
      </c>
      <c r="K31" s="600"/>
      <c r="L31" s="600"/>
      <c r="M31" s="600"/>
      <c r="N31" s="600"/>
      <c r="O31" s="600"/>
      <c r="Q31" s="601" t="s">
        <v>103</v>
      </c>
      <c r="R31" s="601"/>
      <c r="S31" s="601"/>
      <c r="T31" s="601"/>
      <c r="U31" s="601"/>
      <c r="V31" s="601"/>
    </row>
    <row r="32" spans="2:23" ht="28.8" x14ac:dyDescent="0.3">
      <c r="C32" s="518" t="s">
        <v>135</v>
      </c>
      <c r="D32" s="518" t="s">
        <v>49</v>
      </c>
      <c r="E32" s="13" t="s">
        <v>136</v>
      </c>
      <c r="F32" s="13" t="s">
        <v>137</v>
      </c>
      <c r="G32" s="518" t="s">
        <v>60</v>
      </c>
      <c r="H32" s="13" t="s">
        <v>138</v>
      </c>
      <c r="J32" s="518" t="s">
        <v>135</v>
      </c>
      <c r="K32" s="518" t="s">
        <v>49</v>
      </c>
      <c r="L32" s="13" t="s">
        <v>136</v>
      </c>
      <c r="M32" s="13" t="s">
        <v>137</v>
      </c>
      <c r="N32" s="518" t="s">
        <v>60</v>
      </c>
      <c r="O32" s="13" t="s">
        <v>138</v>
      </c>
      <c r="Q32" s="173" t="s">
        <v>135</v>
      </c>
      <c r="R32" s="173" t="s">
        <v>49</v>
      </c>
      <c r="S32" s="13" t="s">
        <v>136</v>
      </c>
      <c r="T32" s="13" t="s">
        <v>137</v>
      </c>
      <c r="U32" s="173" t="s">
        <v>60</v>
      </c>
      <c r="V32" s="13" t="s">
        <v>138</v>
      </c>
      <c r="W32" s="13" t="s">
        <v>55</v>
      </c>
    </row>
    <row r="33" spans="2:23" x14ac:dyDescent="0.3">
      <c r="B33" t="str">
        <f>STN_1</f>
        <v>RWN</v>
      </c>
      <c r="C33" s="6">
        <f>Q33</f>
        <v>92.527872741419557</v>
      </c>
      <c r="D33" s="6">
        <f t="shared" ref="D33:D41" si="18">R33</f>
        <v>46.19520522350399</v>
      </c>
      <c r="E33" s="6">
        <f t="shared" ref="E33:E41" si="19">S33</f>
        <v>0</v>
      </c>
      <c r="F33" s="6">
        <f t="shared" ref="F33:F41" si="20">T33</f>
        <v>177.27235778576281</v>
      </c>
      <c r="G33" s="6">
        <f t="shared" ref="G33:G41" si="21">U33</f>
        <v>0</v>
      </c>
      <c r="H33" s="139">
        <f t="shared" ref="H33:H41" si="22">SUM(C33:G33)</f>
        <v>315.9954357506864</v>
      </c>
      <c r="I33" s="14"/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139">
        <f t="shared" ref="O33:O41" si="23">SUM(J33:N33)</f>
        <v>0</v>
      </c>
      <c r="P33" s="201"/>
      <c r="Q33" s="6">
        <f>RWN_Det!K72</f>
        <v>92.527872741419557</v>
      </c>
      <c r="R33" s="6">
        <f>RWN_Det!L72</f>
        <v>46.19520522350399</v>
      </c>
      <c r="S33" s="6">
        <f>RWN_Det!M72</f>
        <v>0</v>
      </c>
      <c r="T33" s="6">
        <f>RWN_Det!N72</f>
        <v>177.27235778576281</v>
      </c>
      <c r="U33" s="6">
        <f>RWN_Det!O72</f>
        <v>0</v>
      </c>
      <c r="V33" s="6">
        <f t="shared" ref="V33:V41" si="24">SUM(Q33:U33)</f>
        <v>315.9954357506864</v>
      </c>
      <c r="W33" s="19">
        <f>V33-RWN_Det!P72</f>
        <v>0</v>
      </c>
    </row>
    <row r="34" spans="2:23" x14ac:dyDescent="0.3">
      <c r="B34" t="str">
        <f>STN_2</f>
        <v>ELM</v>
      </c>
      <c r="C34" s="6">
        <f t="shared" ref="C34:C41" si="25">Q34</f>
        <v>142.70143753782313</v>
      </c>
      <c r="D34" s="6">
        <f t="shared" si="18"/>
        <v>71.244717915122351</v>
      </c>
      <c r="E34" s="6">
        <f t="shared" si="19"/>
        <v>0</v>
      </c>
      <c r="F34" s="6">
        <f t="shared" si="20"/>
        <v>273.39891799353563</v>
      </c>
      <c r="G34" s="6">
        <f t="shared" si="21"/>
        <v>0</v>
      </c>
      <c r="H34" s="139">
        <f t="shared" si="22"/>
        <v>487.34507344648114</v>
      </c>
      <c r="I34" s="14"/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139">
        <f t="shared" si="23"/>
        <v>0</v>
      </c>
      <c r="P34" s="201"/>
      <c r="Q34" s="6">
        <f>ELM_Det!K75</f>
        <v>142.70143753782313</v>
      </c>
      <c r="R34" s="6">
        <f>ELM_Det!L75</f>
        <v>71.244717915122351</v>
      </c>
      <c r="S34" s="6">
        <f>ELM_Det!M75</f>
        <v>0</v>
      </c>
      <c r="T34" s="6">
        <f>ELM_Det!N75</f>
        <v>273.39891799353563</v>
      </c>
      <c r="U34" s="6">
        <f>ELM_Det!O75</f>
        <v>0</v>
      </c>
      <c r="V34" s="6">
        <f t="shared" si="24"/>
        <v>487.34507344648114</v>
      </c>
      <c r="W34" s="19">
        <f>V34-ELM_Det!P75</f>
        <v>0</v>
      </c>
    </row>
    <row r="35" spans="2:23" x14ac:dyDescent="0.3">
      <c r="B35" t="str">
        <f>STN_3</f>
        <v>FGY</v>
      </c>
      <c r="C35" s="6">
        <f t="shared" si="25"/>
        <v>84.057011152416365</v>
      </c>
      <c r="D35" s="6">
        <f t="shared" si="18"/>
        <v>41.966066717126864</v>
      </c>
      <c r="E35" s="6">
        <f t="shared" si="19"/>
        <v>0</v>
      </c>
      <c r="F35" s="6">
        <f t="shared" si="20"/>
        <v>161.04319827016479</v>
      </c>
      <c r="G35" s="6">
        <f t="shared" si="21"/>
        <v>0</v>
      </c>
      <c r="H35" s="139">
        <f t="shared" si="22"/>
        <v>287.06627613970801</v>
      </c>
      <c r="I35" s="14"/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139">
        <f t="shared" si="23"/>
        <v>0</v>
      </c>
      <c r="P35" s="201"/>
      <c r="Q35" s="6">
        <f>FGY_Det!K73</f>
        <v>84.057011152416365</v>
      </c>
      <c r="R35" s="6">
        <f>FGY_Det!L73</f>
        <v>41.966066717126864</v>
      </c>
      <c r="S35" s="6">
        <f>FGY_Det!M73</f>
        <v>0</v>
      </c>
      <c r="T35" s="6">
        <f>FGY_Det!N73</f>
        <v>161.04319827016479</v>
      </c>
      <c r="U35" s="6">
        <f>FGY_Det!O73</f>
        <v>0</v>
      </c>
      <c r="V35" s="6">
        <f t="shared" si="24"/>
        <v>287.06627613970801</v>
      </c>
      <c r="W35" s="19">
        <f>V35-FGY_Det!P73</f>
        <v>0</v>
      </c>
    </row>
    <row r="36" spans="2:23" x14ac:dyDescent="0.3">
      <c r="B36" t="str">
        <f>STN_4</f>
        <v>WOTS22</v>
      </c>
      <c r="C36" s="6">
        <f t="shared" si="25"/>
        <v>597.52154439353342</v>
      </c>
      <c r="D36" s="6">
        <f t="shared" si="18"/>
        <v>298.31692387290963</v>
      </c>
      <c r="E36" s="6">
        <f t="shared" si="19"/>
        <v>0</v>
      </c>
      <c r="F36" s="6">
        <f t="shared" si="20"/>
        <v>1144.7799442925668</v>
      </c>
      <c r="G36" s="6">
        <f t="shared" si="21"/>
        <v>0</v>
      </c>
      <c r="H36" s="139">
        <f t="shared" si="22"/>
        <v>2040.6184125590098</v>
      </c>
      <c r="I36" s="14"/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139">
        <f t="shared" si="23"/>
        <v>0</v>
      </c>
      <c r="P36" s="201"/>
      <c r="Q36" s="6">
        <f>WOTS22_Det!K72</f>
        <v>597.52154439353342</v>
      </c>
      <c r="R36" s="6">
        <f>WOTS22_Det!L72</f>
        <v>298.31692387290963</v>
      </c>
      <c r="S36" s="6">
        <f>WOTS22_Det!M72</f>
        <v>0</v>
      </c>
      <c r="T36" s="6">
        <f>WOTS22_Det!N72</f>
        <v>1144.7799442925668</v>
      </c>
      <c r="U36" s="6">
        <f>WOTS22_Det!O72</f>
        <v>0</v>
      </c>
      <c r="V36" s="6">
        <f t="shared" si="24"/>
        <v>2040.6184125590098</v>
      </c>
      <c r="W36" s="19">
        <f>V36-WOTS22_Det!P72</f>
        <v>0</v>
      </c>
    </row>
    <row r="37" spans="2:23" x14ac:dyDescent="0.3">
      <c r="B37" t="str">
        <f>STN_5</f>
        <v>MOE</v>
      </c>
      <c r="C37" s="6">
        <f t="shared" si="25"/>
        <v>514.76774271634827</v>
      </c>
      <c r="D37" s="6">
        <f t="shared" si="18"/>
        <v>257.00149384907149</v>
      </c>
      <c r="E37" s="6">
        <f t="shared" si="19"/>
        <v>0</v>
      </c>
      <c r="F37" s="6">
        <f t="shared" si="20"/>
        <v>986.23353979403248</v>
      </c>
      <c r="G37" s="6">
        <f t="shared" si="21"/>
        <v>0</v>
      </c>
      <c r="H37" s="139">
        <f t="shared" si="22"/>
        <v>1758.0027763594521</v>
      </c>
      <c r="I37" s="14"/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139">
        <f t="shared" si="23"/>
        <v>0</v>
      </c>
      <c r="P37" s="201"/>
      <c r="Q37" s="6">
        <f>MOE_Det!K75</f>
        <v>514.76774271634827</v>
      </c>
      <c r="R37" s="6">
        <f>MOE_Det!L75</f>
        <v>257.00149384907149</v>
      </c>
      <c r="S37" s="6">
        <f>MOE_Det!M75</f>
        <v>0</v>
      </c>
      <c r="T37" s="6">
        <f>MOE_Det!N75</f>
        <v>986.23353979403248</v>
      </c>
      <c r="U37" s="6">
        <f>MOE_Det!O75</f>
        <v>0</v>
      </c>
      <c r="V37" s="6">
        <f t="shared" si="24"/>
        <v>1758.0027763594521</v>
      </c>
      <c r="W37" s="19">
        <f>V37-MOE_Det!P75</f>
        <v>0</v>
      </c>
    </row>
    <row r="38" spans="2:23" x14ac:dyDescent="0.3">
      <c r="B38" t="str">
        <f>STN_6</f>
        <v>BGE</v>
      </c>
      <c r="C38" s="6">
        <f t="shared" si="25"/>
        <v>170.72044125529527</v>
      </c>
      <c r="D38" s="6">
        <f t="shared" si="18"/>
        <v>85.233406820831306</v>
      </c>
      <c r="E38" s="6">
        <f t="shared" si="19"/>
        <v>0</v>
      </c>
      <c r="F38" s="6">
        <f t="shared" si="20"/>
        <v>327.07998408359055</v>
      </c>
      <c r="G38" s="6">
        <f t="shared" si="21"/>
        <v>0</v>
      </c>
      <c r="H38" s="139">
        <f t="shared" si="22"/>
        <v>583.03383215971712</v>
      </c>
      <c r="I38" s="14"/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139">
        <f t="shared" si="23"/>
        <v>0</v>
      </c>
      <c r="P38" s="201"/>
      <c r="Q38" s="6">
        <f>BGE_Det!K77</f>
        <v>170.72044125529527</v>
      </c>
      <c r="R38" s="6">
        <f>BGE_Det!L77</f>
        <v>85.233406820831306</v>
      </c>
      <c r="S38" s="6">
        <f>BGE_Det!M77</f>
        <v>0</v>
      </c>
      <c r="T38" s="6">
        <f>BGE_Det!N77</f>
        <v>327.07998408359055</v>
      </c>
      <c r="U38" s="6">
        <f>BGE_Det!O77</f>
        <v>0</v>
      </c>
      <c r="V38" s="6">
        <f t="shared" si="24"/>
        <v>583.03383215971712</v>
      </c>
      <c r="W38" s="19">
        <f>V38-BGE_Det!P77</f>
        <v>0</v>
      </c>
    </row>
    <row r="39" spans="2:23" x14ac:dyDescent="0.3">
      <c r="B39" t="str">
        <f>STN_7</f>
        <v>LDL</v>
      </c>
      <c r="C39" s="6">
        <f t="shared" si="25"/>
        <v>145.95946122590129</v>
      </c>
      <c r="D39" s="6">
        <f t="shared" si="18"/>
        <v>72.871309648344322</v>
      </c>
      <c r="E39" s="6">
        <f t="shared" si="19"/>
        <v>0</v>
      </c>
      <c r="F39" s="6">
        <f t="shared" si="20"/>
        <v>279.64090242261176</v>
      </c>
      <c r="G39" s="6">
        <f t="shared" si="21"/>
        <v>0</v>
      </c>
      <c r="H39" s="139">
        <f t="shared" si="22"/>
        <v>498.47167329685738</v>
      </c>
      <c r="I39" s="14"/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139">
        <f t="shared" si="23"/>
        <v>0</v>
      </c>
      <c r="P39" s="201"/>
      <c r="Q39" s="6">
        <f>LDL_Det!K74</f>
        <v>145.95946122590129</v>
      </c>
      <c r="R39" s="6">
        <f>LDL_Det!L74</f>
        <v>72.871309648344322</v>
      </c>
      <c r="S39" s="6">
        <f>LDL_Det!M74</f>
        <v>0</v>
      </c>
      <c r="T39" s="6">
        <f>LDL_Det!N74</f>
        <v>279.64090242261176</v>
      </c>
      <c r="U39" s="6">
        <f>LDL_Det!O74</f>
        <v>0</v>
      </c>
      <c r="V39" s="6">
        <f t="shared" si="24"/>
        <v>498.47167329685738</v>
      </c>
      <c r="W39" s="19">
        <f>V39-LDL_Det!P74</f>
        <v>0</v>
      </c>
    </row>
    <row r="40" spans="2:23" x14ac:dyDescent="0.3">
      <c r="B40" t="str">
        <f>STN_8</f>
        <v>BDL</v>
      </c>
      <c r="C40" s="6">
        <f t="shared" si="25"/>
        <v>530.40625641912345</v>
      </c>
      <c r="D40" s="6">
        <f t="shared" si="18"/>
        <v>264.80913416853696</v>
      </c>
      <c r="E40" s="6">
        <f t="shared" si="19"/>
        <v>0</v>
      </c>
      <c r="F40" s="6">
        <f t="shared" si="20"/>
        <v>1016.1950650535981</v>
      </c>
      <c r="G40" s="6">
        <f t="shared" si="21"/>
        <v>0</v>
      </c>
      <c r="H40" s="139">
        <f t="shared" si="22"/>
        <v>1811.4104556412585</v>
      </c>
      <c r="I40" s="14"/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139">
        <f t="shared" si="23"/>
        <v>0</v>
      </c>
      <c r="P40" s="201"/>
      <c r="Q40" s="6">
        <f>BDL_Det!K73</f>
        <v>530.40625641912345</v>
      </c>
      <c r="R40" s="6">
        <f>BDL_Det!L73</f>
        <v>264.80913416853696</v>
      </c>
      <c r="S40" s="6">
        <f>BDL_Det!M73</f>
        <v>0</v>
      </c>
      <c r="T40" s="6">
        <f>BDL_Det!N73</f>
        <v>1016.1950650535981</v>
      </c>
      <c r="U40" s="6">
        <f>BDL_Det!O73</f>
        <v>0</v>
      </c>
      <c r="V40" s="6">
        <f t="shared" si="24"/>
        <v>1811.4104556412585</v>
      </c>
      <c r="W40" s="19">
        <f>V40-BDL_Det!P73</f>
        <v>0</v>
      </c>
    </row>
    <row r="41" spans="2:23" x14ac:dyDescent="0.3">
      <c r="B41" t="str">
        <f>STN_9</f>
        <v>[spare]</v>
      </c>
      <c r="C41" s="6">
        <f t="shared" si="25"/>
        <v>0</v>
      </c>
      <c r="D41" s="6">
        <f t="shared" si="18"/>
        <v>0</v>
      </c>
      <c r="E41" s="6">
        <f t="shared" si="19"/>
        <v>0</v>
      </c>
      <c r="F41" s="6">
        <f t="shared" si="20"/>
        <v>0</v>
      </c>
      <c r="G41" s="6">
        <f t="shared" si="21"/>
        <v>0</v>
      </c>
      <c r="H41" s="139">
        <f t="shared" si="22"/>
        <v>0</v>
      </c>
      <c r="I41" s="14"/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139">
        <f t="shared" si="23"/>
        <v>0</v>
      </c>
      <c r="P41" s="201"/>
      <c r="Q41" s="6">
        <f>Spare!K72</f>
        <v>0</v>
      </c>
      <c r="R41" s="6">
        <f>Spare!L72</f>
        <v>0</v>
      </c>
      <c r="S41" s="6">
        <f>Spare!M72</f>
        <v>0</v>
      </c>
      <c r="T41" s="6">
        <f>Spare!N72</f>
        <v>0</v>
      </c>
      <c r="U41" s="6">
        <f>Spare!O72</f>
        <v>0</v>
      </c>
      <c r="V41" s="6">
        <f t="shared" si="24"/>
        <v>0</v>
      </c>
      <c r="W41" s="19">
        <f>V41-Spare!P72</f>
        <v>0</v>
      </c>
    </row>
    <row r="42" spans="2:23" x14ac:dyDescent="0.3">
      <c r="B42" t="s">
        <v>6</v>
      </c>
      <c r="C42" s="21">
        <f>SUM(C33:C41)</f>
        <v>2278.6617674418608</v>
      </c>
      <c r="D42" s="21">
        <f t="shared" ref="D42:H42" si="26">SUM(D33:D41)</f>
        <v>1137.638258215447</v>
      </c>
      <c r="E42" s="21">
        <f t="shared" si="26"/>
        <v>0</v>
      </c>
      <c r="F42" s="21">
        <f t="shared" si="26"/>
        <v>4365.6439096958629</v>
      </c>
      <c r="G42" s="21">
        <f t="shared" si="26"/>
        <v>0</v>
      </c>
      <c r="H42" s="21">
        <f t="shared" si="26"/>
        <v>7781.9439353531707</v>
      </c>
      <c r="I42" s="14"/>
      <c r="J42" s="21">
        <f>SUM(J33:J41)</f>
        <v>0</v>
      </c>
      <c r="K42" s="21">
        <f t="shared" ref="K42:O42" si="27">SUM(K33:K41)</f>
        <v>0</v>
      </c>
      <c r="L42" s="21">
        <f t="shared" si="27"/>
        <v>0</v>
      </c>
      <c r="M42" s="21">
        <f t="shared" si="27"/>
        <v>0</v>
      </c>
      <c r="N42" s="21">
        <f t="shared" si="27"/>
        <v>0</v>
      </c>
      <c r="O42" s="21">
        <f t="shared" si="27"/>
        <v>0</v>
      </c>
      <c r="P42" s="201"/>
      <c r="Q42" s="21">
        <f>SUM(Q33:Q41)</f>
        <v>2278.6617674418608</v>
      </c>
      <c r="R42" s="21">
        <f t="shared" ref="R42" si="28">SUM(R33:R41)</f>
        <v>1137.638258215447</v>
      </c>
      <c r="S42" s="21">
        <f t="shared" ref="S42" si="29">SUM(S33:S41)</f>
        <v>0</v>
      </c>
      <c r="T42" s="21">
        <f t="shared" ref="T42" si="30">SUM(T33:T41)</f>
        <v>4365.6439096958629</v>
      </c>
      <c r="U42" s="21">
        <f t="shared" ref="U42" si="31">SUM(U33:U41)</f>
        <v>0</v>
      </c>
      <c r="V42" s="21">
        <f t="shared" ref="V42" si="32">SUM(V33:V41)</f>
        <v>7781.9439353531707</v>
      </c>
      <c r="W42" s="416"/>
    </row>
    <row r="43" spans="2:23" x14ac:dyDescent="0.3">
      <c r="B43" s="52"/>
      <c r="C43" s="52"/>
      <c r="D43" s="52"/>
      <c r="E43" s="52"/>
      <c r="F43" s="52"/>
      <c r="G43" s="52"/>
      <c r="H43" s="52"/>
      <c r="I43" s="52"/>
      <c r="Q43" s="415"/>
      <c r="R43" s="415"/>
      <c r="S43" s="415"/>
      <c r="T43" s="415"/>
      <c r="U43" s="415"/>
      <c r="V43" s="415"/>
    </row>
    <row r="44" spans="2:23" x14ac:dyDescent="0.3">
      <c r="B44" s="25" t="s">
        <v>625</v>
      </c>
      <c r="C44" s="600" t="s">
        <v>598</v>
      </c>
      <c r="D44" s="600"/>
      <c r="E44" s="600"/>
      <c r="F44" s="600"/>
      <c r="G44" s="600"/>
      <c r="H44" s="600"/>
      <c r="I44" s="25"/>
      <c r="J44" s="600" t="s">
        <v>599</v>
      </c>
      <c r="K44" s="600"/>
      <c r="L44" s="600"/>
      <c r="M44" s="600"/>
      <c r="N44" s="600"/>
      <c r="O44" s="600"/>
      <c r="Q44" s="601" t="s">
        <v>103</v>
      </c>
      <c r="R44" s="601"/>
      <c r="S44" s="601"/>
      <c r="T44" s="601"/>
      <c r="U44" s="601"/>
      <c r="V44" s="601"/>
    </row>
    <row r="45" spans="2:23" ht="28.8" x14ac:dyDescent="0.3">
      <c r="C45" s="518" t="s">
        <v>135</v>
      </c>
      <c r="D45" s="518" t="s">
        <v>49</v>
      </c>
      <c r="E45" s="13" t="s">
        <v>136</v>
      </c>
      <c r="F45" s="13" t="s">
        <v>137</v>
      </c>
      <c r="G45" s="518" t="s">
        <v>60</v>
      </c>
      <c r="H45" s="13" t="s">
        <v>138</v>
      </c>
      <c r="J45" s="518" t="s">
        <v>135</v>
      </c>
      <c r="K45" s="518" t="s">
        <v>49</v>
      </c>
      <c r="L45" s="13" t="s">
        <v>136</v>
      </c>
      <c r="M45" s="13" t="s">
        <v>137</v>
      </c>
      <c r="N45" s="518" t="s">
        <v>60</v>
      </c>
      <c r="O45" s="13" t="s">
        <v>138</v>
      </c>
      <c r="Q45" s="461" t="s">
        <v>135</v>
      </c>
      <c r="R45" s="461" t="s">
        <v>49</v>
      </c>
      <c r="S45" s="13" t="s">
        <v>136</v>
      </c>
      <c r="T45" s="13" t="s">
        <v>137</v>
      </c>
      <c r="U45" s="461" t="s">
        <v>60</v>
      </c>
      <c r="V45" s="13" t="s">
        <v>138</v>
      </c>
      <c r="W45" s="13" t="s">
        <v>55</v>
      </c>
    </row>
    <row r="46" spans="2:23" x14ac:dyDescent="0.3">
      <c r="B46" t="str">
        <f>STN_1</f>
        <v>RWN</v>
      </c>
      <c r="C46" s="6">
        <f>Q46</f>
        <v>154.40411233885823</v>
      </c>
      <c r="D46" s="6">
        <f t="shared" ref="D46:D54" si="33">R46</f>
        <v>268.65959780621563</v>
      </c>
      <c r="E46" s="6">
        <f t="shared" ref="E46:E54" si="34">S46</f>
        <v>0</v>
      </c>
      <c r="F46" s="6">
        <f t="shared" ref="F46:F54" si="35">T46</f>
        <v>312.08104943609578</v>
      </c>
      <c r="G46" s="6">
        <f t="shared" ref="G46:G54" si="36">U46</f>
        <v>0</v>
      </c>
      <c r="H46" s="139">
        <f t="shared" ref="H46:H54" si="37">SUM(C46:G46)</f>
        <v>735.14475958116964</v>
      </c>
      <c r="I46" s="14"/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139">
        <f t="shared" ref="O46:O54" si="38">SUM(J46:N46)</f>
        <v>0</v>
      </c>
      <c r="Q46" s="481">
        <f>SUM(RWN_Det!K73:K76)</f>
        <v>154.40411233885823</v>
      </c>
      <c r="R46" s="481">
        <f>SUM(RWN_Det!L73:L76)</f>
        <v>268.65959780621563</v>
      </c>
      <c r="S46" s="481">
        <f>SUM(RWN_Det!M73:M76)</f>
        <v>0</v>
      </c>
      <c r="T46" s="481">
        <f>SUM(RWN_Det!N73:N76)</f>
        <v>312.08104943609578</v>
      </c>
      <c r="U46" s="481">
        <f>SUM(RWN_Det!O73:O76)</f>
        <v>0</v>
      </c>
      <c r="V46" s="6">
        <f>SUM(Q46:U46)</f>
        <v>735.14475958116964</v>
      </c>
      <c r="W46" s="19">
        <f>V46-SUM(RWN_Det!P73:P76)</f>
        <v>0</v>
      </c>
    </row>
    <row r="47" spans="2:23" x14ac:dyDescent="0.3">
      <c r="B47" t="str">
        <f>STN_2</f>
        <v>ELM</v>
      </c>
      <c r="C47" s="6">
        <f t="shared" ref="C47:C54" si="39">Q47</f>
        <v>328.59793554327814</v>
      </c>
      <c r="D47" s="6">
        <f t="shared" si="33"/>
        <v>603.50786106032899</v>
      </c>
      <c r="E47" s="6">
        <f t="shared" si="34"/>
        <v>0</v>
      </c>
      <c r="F47" s="6">
        <f t="shared" si="35"/>
        <v>670.51172449244928</v>
      </c>
      <c r="G47" s="6">
        <f t="shared" si="36"/>
        <v>0</v>
      </c>
      <c r="H47" s="139">
        <f t="shared" si="37"/>
        <v>1602.6175210960564</v>
      </c>
      <c r="I47" s="14"/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139">
        <f t="shared" si="38"/>
        <v>0</v>
      </c>
      <c r="Q47" s="481">
        <f>SUM(ELM_Det!K76:K79)</f>
        <v>328.59793554327814</v>
      </c>
      <c r="R47" s="481">
        <f>SUM(ELM_Det!L76:L79)</f>
        <v>603.50786106032899</v>
      </c>
      <c r="S47" s="481">
        <f>SUM(ELM_Det!M76:M79)</f>
        <v>0</v>
      </c>
      <c r="T47" s="481">
        <f>SUM(ELM_Det!N76:N79)</f>
        <v>670.51172449244928</v>
      </c>
      <c r="U47" s="481">
        <f>SUM(ELM_Det!O76:O79)</f>
        <v>0</v>
      </c>
      <c r="V47" s="6">
        <f t="shared" ref="V47:V54" si="40">SUM(Q47:U47)</f>
        <v>1602.6175210960564</v>
      </c>
      <c r="W47" s="19">
        <f>V47-SUM(ELM_Det!P76:P79)</f>
        <v>0</v>
      </c>
    </row>
    <row r="48" spans="2:23" x14ac:dyDescent="0.3">
      <c r="B48" t="str">
        <f>STN_3</f>
        <v>FGY</v>
      </c>
      <c r="C48" s="6">
        <f t="shared" si="39"/>
        <v>489.96932965009205</v>
      </c>
      <c r="D48" s="6">
        <f t="shared" si="33"/>
        <v>912.38829981718447</v>
      </c>
      <c r="E48" s="6">
        <f t="shared" si="34"/>
        <v>0</v>
      </c>
      <c r="F48" s="6">
        <f t="shared" si="35"/>
        <v>1019.2089539882136</v>
      </c>
      <c r="G48" s="6">
        <f t="shared" si="36"/>
        <v>0</v>
      </c>
      <c r="H48" s="139">
        <f t="shared" si="37"/>
        <v>2421.5665834554902</v>
      </c>
      <c r="I48" s="14"/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139">
        <f t="shared" si="38"/>
        <v>0</v>
      </c>
      <c r="Q48" s="481">
        <f>SUM(FGY_Det!K74:K77)</f>
        <v>489.96932965009205</v>
      </c>
      <c r="R48" s="481">
        <f>SUM(FGY_Det!L74:L77)</f>
        <v>912.38829981718447</v>
      </c>
      <c r="S48" s="481">
        <f>SUM(FGY_Det!M74:M77)</f>
        <v>0</v>
      </c>
      <c r="T48" s="481">
        <f>SUM(FGY_Det!N74:N77)</f>
        <v>1019.2089539882136</v>
      </c>
      <c r="U48" s="481">
        <f>SUM(FGY_Det!O74:O77)</f>
        <v>0</v>
      </c>
      <c r="V48" s="6">
        <f t="shared" si="40"/>
        <v>2421.5665834554902</v>
      </c>
      <c r="W48" s="19">
        <f>V48-SUM(FGY_Det!P74:P77)</f>
        <v>0</v>
      </c>
    </row>
    <row r="49" spans="2:24" x14ac:dyDescent="0.3">
      <c r="B49" t="str">
        <f>STN_4</f>
        <v>WOTS22</v>
      </c>
      <c r="C49" s="6">
        <f t="shared" si="39"/>
        <v>392.52358011049728</v>
      </c>
      <c r="D49" s="6">
        <f t="shared" si="33"/>
        <v>714.1151736745885</v>
      </c>
      <c r="E49" s="6">
        <f t="shared" si="34"/>
        <v>0</v>
      </c>
      <c r="F49" s="6">
        <f t="shared" si="35"/>
        <v>816.16116459373848</v>
      </c>
      <c r="G49" s="6">
        <f t="shared" si="36"/>
        <v>0</v>
      </c>
      <c r="H49" s="139">
        <f t="shared" si="37"/>
        <v>1922.7999183788243</v>
      </c>
      <c r="I49" s="14"/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139">
        <f t="shared" si="38"/>
        <v>0</v>
      </c>
      <c r="Q49" s="481">
        <f>SUM(WOTS22_Det!K73:K76)</f>
        <v>392.52358011049728</v>
      </c>
      <c r="R49" s="481">
        <f>SUM(WOTS22_Det!L73:L76)</f>
        <v>714.1151736745885</v>
      </c>
      <c r="S49" s="481">
        <f>SUM(WOTS22_Det!M73:M76)</f>
        <v>0</v>
      </c>
      <c r="T49" s="481">
        <f>SUM(WOTS22_Det!N73:N76)</f>
        <v>816.16116459373848</v>
      </c>
      <c r="U49" s="481">
        <f>SUM(WOTS22_Det!O73:O76)</f>
        <v>0</v>
      </c>
      <c r="V49" s="6">
        <f t="shared" si="40"/>
        <v>1922.7999183788243</v>
      </c>
      <c r="W49" s="19">
        <f>V49-SUM(WOTS22_Det!P73:P76)</f>
        <v>0</v>
      </c>
    </row>
    <row r="50" spans="2:24" x14ac:dyDescent="0.3">
      <c r="B50" t="str">
        <f>STN_5</f>
        <v>MOE</v>
      </c>
      <c r="C50" s="6">
        <f t="shared" si="39"/>
        <v>219.10520810313079</v>
      </c>
      <c r="D50" s="6">
        <f t="shared" si="33"/>
        <v>324.59780621572202</v>
      </c>
      <c r="E50" s="6">
        <f t="shared" si="34"/>
        <v>0</v>
      </c>
      <c r="F50" s="6">
        <f t="shared" si="35"/>
        <v>417.15023908066303</v>
      </c>
      <c r="G50" s="6">
        <f t="shared" si="36"/>
        <v>0</v>
      </c>
      <c r="H50" s="139">
        <f t="shared" si="37"/>
        <v>960.85325339951589</v>
      </c>
      <c r="I50" s="14"/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139">
        <f t="shared" si="38"/>
        <v>0</v>
      </c>
      <c r="Q50" s="481">
        <f>SUM(MOE_Det!K76:K80)</f>
        <v>219.10520810313079</v>
      </c>
      <c r="R50" s="481">
        <f>SUM(MOE_Det!L76:L80)</f>
        <v>324.59780621572202</v>
      </c>
      <c r="S50" s="481">
        <f>SUM(MOE_Det!M76:M80)</f>
        <v>0</v>
      </c>
      <c r="T50" s="481">
        <f>SUM(MOE_Det!N76:N80)</f>
        <v>417.15023908066303</v>
      </c>
      <c r="U50" s="481">
        <f>SUM(MOE_Det!O76:O80)</f>
        <v>0</v>
      </c>
      <c r="V50" s="6">
        <f t="shared" si="40"/>
        <v>960.85325339951589</v>
      </c>
      <c r="W50" s="19">
        <f>V50-SUM(MOE_Det!P76:P80)</f>
        <v>0</v>
      </c>
      <c r="X50" s="45"/>
    </row>
    <row r="51" spans="2:24" x14ac:dyDescent="0.3">
      <c r="B51" t="str">
        <f>STN_6</f>
        <v>BGE</v>
      </c>
      <c r="C51" s="6">
        <f t="shared" si="39"/>
        <v>448.26576058931869</v>
      </c>
      <c r="D51" s="6">
        <f t="shared" si="33"/>
        <v>326.55027422303465</v>
      </c>
      <c r="E51" s="6">
        <f t="shared" si="34"/>
        <v>0</v>
      </c>
      <c r="F51" s="6">
        <f t="shared" si="35"/>
        <v>755.45128355211773</v>
      </c>
      <c r="G51" s="6">
        <f t="shared" si="36"/>
        <v>0</v>
      </c>
      <c r="H51" s="139">
        <f t="shared" si="37"/>
        <v>1530.2673183644711</v>
      </c>
      <c r="I51" s="14"/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139">
        <f t="shared" si="38"/>
        <v>0</v>
      </c>
      <c r="Q51" s="481">
        <f>SUM(BGE_Det!K78:K81)</f>
        <v>448.26576058931869</v>
      </c>
      <c r="R51" s="481">
        <f>SUM(BGE_Det!L78:L81)</f>
        <v>326.55027422303465</v>
      </c>
      <c r="S51" s="481">
        <f>SUM(BGE_Det!M78:M81)</f>
        <v>0</v>
      </c>
      <c r="T51" s="481">
        <f>SUM(BGE_Det!N78:N81)</f>
        <v>755.45128355211773</v>
      </c>
      <c r="U51" s="481">
        <f>SUM(BGE_Det!O78:O81)</f>
        <v>0</v>
      </c>
      <c r="V51" s="6">
        <f t="shared" si="40"/>
        <v>1530.2673183644711</v>
      </c>
      <c r="W51" s="19">
        <f>V51-SUM(BGE_Det!P78:P81)</f>
        <v>0</v>
      </c>
    </row>
    <row r="52" spans="2:24" x14ac:dyDescent="0.3">
      <c r="B52" t="str">
        <f>STN_7</f>
        <v>LDL</v>
      </c>
      <c r="C52" s="6">
        <f t="shared" si="39"/>
        <v>312.40180294659308</v>
      </c>
      <c r="D52" s="6">
        <f t="shared" si="33"/>
        <v>452.77733089579522</v>
      </c>
      <c r="E52" s="6">
        <f t="shared" si="34"/>
        <v>0</v>
      </c>
      <c r="F52" s="6">
        <f t="shared" si="35"/>
        <v>602.8443806618784</v>
      </c>
      <c r="G52" s="6">
        <f t="shared" si="36"/>
        <v>0</v>
      </c>
      <c r="H52" s="139">
        <f t="shared" si="37"/>
        <v>1368.0235145042666</v>
      </c>
      <c r="I52" s="14"/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139">
        <f t="shared" si="38"/>
        <v>0</v>
      </c>
      <c r="Q52" s="481">
        <f>SUM(LDL_Det!K75:K78)</f>
        <v>312.40180294659308</v>
      </c>
      <c r="R52" s="481">
        <f>SUM(LDL_Det!L75:L78)</f>
        <v>452.77733089579522</v>
      </c>
      <c r="S52" s="481">
        <f>SUM(LDL_Det!M75:M78)</f>
        <v>0</v>
      </c>
      <c r="T52" s="481">
        <f>SUM(LDL_Det!N75:N78)</f>
        <v>602.8443806618784</v>
      </c>
      <c r="U52" s="481">
        <f>SUM(LDL_Det!O75:O78)</f>
        <v>0</v>
      </c>
      <c r="V52" s="6">
        <f t="shared" si="40"/>
        <v>1368.0235145042666</v>
      </c>
      <c r="W52" s="19">
        <f>V52-SUM(LDL_Det!P75:P78)</f>
        <v>0</v>
      </c>
    </row>
    <row r="53" spans="2:24" x14ac:dyDescent="0.3">
      <c r="B53" t="str">
        <f>STN_8</f>
        <v>BDL</v>
      </c>
      <c r="C53" s="6">
        <f t="shared" si="39"/>
        <v>269.63812338858196</v>
      </c>
      <c r="D53" s="6">
        <f t="shared" si="33"/>
        <v>595.99085923217535</v>
      </c>
      <c r="E53" s="6">
        <f t="shared" si="34"/>
        <v>0</v>
      </c>
      <c r="F53" s="6">
        <f t="shared" si="35"/>
        <v>593.94366583535907</v>
      </c>
      <c r="G53" s="6">
        <f t="shared" si="36"/>
        <v>0</v>
      </c>
      <c r="H53" s="139">
        <f t="shared" si="37"/>
        <v>1459.5726484561164</v>
      </c>
      <c r="I53" s="14"/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139">
        <f t="shared" si="38"/>
        <v>0</v>
      </c>
      <c r="Q53" s="481">
        <f>SUM(BDL_Det!K74:K77)</f>
        <v>269.63812338858196</v>
      </c>
      <c r="R53" s="481">
        <f>SUM(BDL_Det!L74:L77)</f>
        <v>595.99085923217535</v>
      </c>
      <c r="S53" s="481">
        <f>SUM(BDL_Det!M74:M77)</f>
        <v>0</v>
      </c>
      <c r="T53" s="481">
        <f>SUM(BDL_Det!N74:N77)</f>
        <v>593.94366583535907</v>
      </c>
      <c r="U53" s="481">
        <f>SUM(BDL_Det!O74:O77)</f>
        <v>0</v>
      </c>
      <c r="V53" s="6">
        <f t="shared" si="40"/>
        <v>1459.5726484561164</v>
      </c>
      <c r="W53" s="19">
        <f>V53-SUM(BDL_Det!P74:P77)</f>
        <v>0</v>
      </c>
    </row>
    <row r="54" spans="2:24" x14ac:dyDescent="0.3">
      <c r="B54" t="str">
        <f>STN_9</f>
        <v>[spare]</v>
      </c>
      <c r="C54" s="6">
        <f t="shared" si="39"/>
        <v>0</v>
      </c>
      <c r="D54" s="6">
        <f t="shared" si="33"/>
        <v>0</v>
      </c>
      <c r="E54" s="6">
        <f t="shared" si="34"/>
        <v>0</v>
      </c>
      <c r="F54" s="6">
        <f t="shared" si="35"/>
        <v>0</v>
      </c>
      <c r="G54" s="6">
        <f t="shared" si="36"/>
        <v>0</v>
      </c>
      <c r="H54" s="139">
        <f t="shared" si="37"/>
        <v>0</v>
      </c>
      <c r="I54" s="14"/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139">
        <f t="shared" si="38"/>
        <v>0</v>
      </c>
      <c r="Q54" s="481">
        <f>Spare!K73</f>
        <v>0</v>
      </c>
      <c r="R54" s="481">
        <f>Spare!L73</f>
        <v>0</v>
      </c>
      <c r="S54" s="481">
        <f>Spare!M73</f>
        <v>0</v>
      </c>
      <c r="T54" s="481">
        <f>Spare!N73</f>
        <v>0</v>
      </c>
      <c r="U54" s="481">
        <f>Spare!O73</f>
        <v>0</v>
      </c>
      <c r="V54" s="6">
        <f t="shared" si="40"/>
        <v>0</v>
      </c>
      <c r="W54" s="19">
        <f>V54-Spare!P73</f>
        <v>0</v>
      </c>
    </row>
    <row r="55" spans="2:24" x14ac:dyDescent="0.3">
      <c r="B55" t="s">
        <v>6</v>
      </c>
      <c r="C55" s="12">
        <f>SUM(C46:C54)</f>
        <v>2614.9058526703498</v>
      </c>
      <c r="D55" s="12">
        <f t="shared" ref="D55:H55" si="41">SUM(D46:D54)</f>
        <v>4198.587202925044</v>
      </c>
      <c r="E55" s="12">
        <f t="shared" si="41"/>
        <v>0</v>
      </c>
      <c r="F55" s="12">
        <f t="shared" si="41"/>
        <v>5187.3524616405157</v>
      </c>
      <c r="G55" s="12">
        <f t="shared" si="41"/>
        <v>0</v>
      </c>
      <c r="H55" s="12">
        <f t="shared" si="41"/>
        <v>12000.84551723591</v>
      </c>
      <c r="J55" s="12">
        <f>SUM(J46:J54)</f>
        <v>0</v>
      </c>
      <c r="K55" s="12">
        <f t="shared" ref="K55:O55" si="42">SUM(K46:K54)</f>
        <v>0</v>
      </c>
      <c r="L55" s="12">
        <f t="shared" si="42"/>
        <v>0</v>
      </c>
      <c r="M55" s="12">
        <f t="shared" si="42"/>
        <v>0</v>
      </c>
      <c r="N55" s="12">
        <f t="shared" si="42"/>
        <v>0</v>
      </c>
      <c r="O55" s="12">
        <f t="shared" si="42"/>
        <v>0</v>
      </c>
      <c r="Q55" s="21">
        <f>SUM(Q46:Q54)</f>
        <v>2614.9058526703498</v>
      </c>
      <c r="R55" s="21">
        <f t="shared" ref="R55:V55" si="43">SUM(R46:R54)</f>
        <v>4198.587202925044</v>
      </c>
      <c r="S55" s="21">
        <f t="shared" si="43"/>
        <v>0</v>
      </c>
      <c r="T55" s="21">
        <f t="shared" si="43"/>
        <v>5187.3524616405157</v>
      </c>
      <c r="U55" s="21">
        <f t="shared" si="43"/>
        <v>0</v>
      </c>
      <c r="V55" s="21">
        <f t="shared" si="43"/>
        <v>12000.84551723591</v>
      </c>
    </row>
    <row r="56" spans="2:24" x14ac:dyDescent="0.3">
      <c r="Q56" s="212"/>
      <c r="R56" s="212"/>
      <c r="S56" s="212"/>
      <c r="T56" s="212"/>
      <c r="U56" s="212"/>
      <c r="V56" s="212"/>
    </row>
    <row r="57" spans="2:24" x14ac:dyDescent="0.3">
      <c r="B57" s="25" t="s">
        <v>626</v>
      </c>
      <c r="C57" s="600" t="s">
        <v>598</v>
      </c>
      <c r="D57" s="600"/>
      <c r="E57" s="600"/>
      <c r="F57" s="600"/>
      <c r="G57" s="600"/>
      <c r="H57" s="600"/>
      <c r="I57" s="25"/>
      <c r="J57" s="600" t="s">
        <v>599</v>
      </c>
      <c r="K57" s="600"/>
      <c r="L57" s="600"/>
      <c r="M57" s="600"/>
      <c r="N57" s="600"/>
      <c r="O57" s="600"/>
      <c r="Q57" s="601" t="s">
        <v>103</v>
      </c>
      <c r="R57" s="601"/>
      <c r="S57" s="601"/>
      <c r="T57" s="601"/>
      <c r="U57" s="601"/>
      <c r="V57" s="601"/>
    </row>
    <row r="58" spans="2:24" ht="28.8" x14ac:dyDescent="0.3">
      <c r="C58" s="518" t="s">
        <v>135</v>
      </c>
      <c r="D58" s="518" t="s">
        <v>49</v>
      </c>
      <c r="E58" s="13" t="s">
        <v>136</v>
      </c>
      <c r="F58" s="13" t="s">
        <v>137</v>
      </c>
      <c r="G58" s="518" t="s">
        <v>60</v>
      </c>
      <c r="H58" s="13" t="s">
        <v>138</v>
      </c>
      <c r="J58" s="518" t="s">
        <v>135</v>
      </c>
      <c r="K58" s="518" t="s">
        <v>49</v>
      </c>
      <c r="L58" s="13" t="s">
        <v>136</v>
      </c>
      <c r="M58" s="13" t="s">
        <v>137</v>
      </c>
      <c r="N58" s="518" t="s">
        <v>60</v>
      </c>
      <c r="O58" s="13" t="s">
        <v>138</v>
      </c>
      <c r="Q58" s="173" t="s">
        <v>135</v>
      </c>
      <c r="R58" s="173" t="s">
        <v>49</v>
      </c>
      <c r="S58" s="13" t="s">
        <v>136</v>
      </c>
      <c r="T58" s="13" t="s">
        <v>137</v>
      </c>
      <c r="U58" s="173" t="s">
        <v>60</v>
      </c>
      <c r="V58" s="13" t="s">
        <v>138</v>
      </c>
      <c r="W58" s="13" t="s">
        <v>55</v>
      </c>
    </row>
    <row r="59" spans="2:24" x14ac:dyDescent="0.3">
      <c r="B59" t="str">
        <f>STN_1</f>
        <v>RWN</v>
      </c>
      <c r="C59" s="6">
        <f>Q59</f>
        <v>21.323700104130506</v>
      </c>
      <c r="D59" s="6">
        <f t="shared" ref="D59:D67" si="44">R59</f>
        <v>6.8797885572139581</v>
      </c>
      <c r="E59" s="6">
        <f t="shared" ref="E59:E67" si="45">S59</f>
        <v>4.3901735508503981</v>
      </c>
      <c r="F59" s="6">
        <f t="shared" ref="F59:F67" si="46">T59</f>
        <v>23.832370704616444</v>
      </c>
      <c r="G59" s="6">
        <f t="shared" ref="G59:G67" si="47">U59</f>
        <v>6.2716765012148539</v>
      </c>
      <c r="H59" s="139">
        <f t="shared" ref="H59:H67" si="48">SUM(C59:G59)</f>
        <v>62.697709418026164</v>
      </c>
      <c r="I59" s="14"/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139">
        <f t="shared" ref="O59:O67" si="49">SUM(J59:N59)</f>
        <v>0</v>
      </c>
      <c r="Q59" s="6">
        <f>RWN_Det!K79</f>
        <v>21.323700104130506</v>
      </c>
      <c r="R59" s="6">
        <f>RWN_Det!L79</f>
        <v>6.8797885572139581</v>
      </c>
      <c r="S59" s="6">
        <f>RWN_Det!M79</f>
        <v>4.3901735508503981</v>
      </c>
      <c r="T59" s="6">
        <f>RWN_Det!N79</f>
        <v>23.832370704616444</v>
      </c>
      <c r="U59" s="6">
        <f>RWN_Det!O79</f>
        <v>6.2716765012148539</v>
      </c>
      <c r="V59" s="14">
        <f>SUM(Q59:U59)</f>
        <v>62.697709418026164</v>
      </c>
      <c r="W59" s="11">
        <f>V59-RWN_Det!P79</f>
        <v>0</v>
      </c>
    </row>
    <row r="60" spans="2:24" x14ac:dyDescent="0.3">
      <c r="B60" t="str">
        <f>STN_2</f>
        <v>ELM</v>
      </c>
      <c r="C60" s="6">
        <f t="shared" ref="C60:C67" si="50">Q60</f>
        <v>127.94220062478303</v>
      </c>
      <c r="D60" s="6">
        <f t="shared" si="44"/>
        <v>41.278731343283752</v>
      </c>
      <c r="E60" s="6">
        <f t="shared" si="45"/>
        <v>26.341041305102387</v>
      </c>
      <c r="F60" s="6">
        <f t="shared" si="46"/>
        <v>142.99422422769868</v>
      </c>
      <c r="G60" s="6">
        <f t="shared" si="47"/>
        <v>37.63005900728912</v>
      </c>
      <c r="H60" s="139">
        <f t="shared" si="48"/>
        <v>376.18625650815693</v>
      </c>
      <c r="I60" s="14"/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139">
        <f t="shared" si="49"/>
        <v>0</v>
      </c>
      <c r="Q60" s="6">
        <f>ELM_Det!K82</f>
        <v>127.94220062478303</v>
      </c>
      <c r="R60" s="6">
        <f>ELM_Det!L82</f>
        <v>41.278731343283752</v>
      </c>
      <c r="S60" s="6">
        <f>ELM_Det!M82</f>
        <v>26.341041305102387</v>
      </c>
      <c r="T60" s="6">
        <f>ELM_Det!N82</f>
        <v>142.99422422769868</v>
      </c>
      <c r="U60" s="6">
        <f>ELM_Det!O82</f>
        <v>37.63005900728912</v>
      </c>
      <c r="V60" s="14">
        <f t="shared" ref="V60:V67" si="51">SUM(Q60:U60)</f>
        <v>376.18625650815693</v>
      </c>
      <c r="W60" s="11">
        <f>V60-ELM_Det!P82</f>
        <v>0</v>
      </c>
    </row>
    <row r="61" spans="2:24" x14ac:dyDescent="0.3">
      <c r="B61" t="str">
        <f>STN_3</f>
        <v>FGY</v>
      </c>
      <c r="C61" s="6">
        <f t="shared" si="50"/>
        <v>0</v>
      </c>
      <c r="D61" s="6">
        <f t="shared" si="44"/>
        <v>0</v>
      </c>
      <c r="E61" s="6">
        <f t="shared" si="45"/>
        <v>0</v>
      </c>
      <c r="F61" s="6">
        <f t="shared" si="46"/>
        <v>0</v>
      </c>
      <c r="G61" s="6">
        <f t="shared" si="47"/>
        <v>0</v>
      </c>
      <c r="H61" s="139">
        <f t="shared" si="48"/>
        <v>0</v>
      </c>
      <c r="I61" s="14"/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139">
        <f t="shared" si="49"/>
        <v>0</v>
      </c>
      <c r="Q61" s="6">
        <f>FGY_Det!K80</f>
        <v>0</v>
      </c>
      <c r="R61" s="6">
        <f>FGY_Det!L80</f>
        <v>0</v>
      </c>
      <c r="S61" s="6">
        <f>FGY_Det!M80</f>
        <v>0</v>
      </c>
      <c r="T61" s="6">
        <f>FGY_Det!N80</f>
        <v>0</v>
      </c>
      <c r="U61" s="6">
        <f>FGY_Det!O80</f>
        <v>0</v>
      </c>
      <c r="V61" s="14">
        <f t="shared" si="51"/>
        <v>0</v>
      </c>
      <c r="W61" s="19">
        <f>V61-FGY_Det!P80</f>
        <v>0</v>
      </c>
    </row>
    <row r="62" spans="2:24" x14ac:dyDescent="0.3">
      <c r="B62" t="str">
        <f>STN_4</f>
        <v>WOTS22</v>
      </c>
      <c r="C62" s="6">
        <f t="shared" si="50"/>
        <v>319.85550156195757</v>
      </c>
      <c r="D62" s="6">
        <f t="shared" si="44"/>
        <v>103.19682835820937</v>
      </c>
      <c r="E62" s="6">
        <f t="shared" si="45"/>
        <v>65.852603262755977</v>
      </c>
      <c r="F62" s="6">
        <f t="shared" si="46"/>
        <v>357.48556056924667</v>
      </c>
      <c r="G62" s="6">
        <f t="shared" si="47"/>
        <v>94.075147518222806</v>
      </c>
      <c r="H62" s="139">
        <f t="shared" si="48"/>
        <v>940.46564127039233</v>
      </c>
      <c r="I62" s="14"/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139">
        <f t="shared" si="49"/>
        <v>0</v>
      </c>
      <c r="Q62" s="6">
        <f>WOTS22_Det!K79</f>
        <v>319.85550156195757</v>
      </c>
      <c r="R62" s="6">
        <f>WOTS22_Det!L79</f>
        <v>103.19682835820937</v>
      </c>
      <c r="S62" s="6">
        <f>WOTS22_Det!M79</f>
        <v>65.852603262755977</v>
      </c>
      <c r="T62" s="6">
        <f>WOTS22_Det!N79</f>
        <v>357.48556056924667</v>
      </c>
      <c r="U62" s="6">
        <f>WOTS22_Det!O79</f>
        <v>94.075147518222806</v>
      </c>
      <c r="V62" s="14">
        <f t="shared" si="51"/>
        <v>940.46564127039233</v>
      </c>
      <c r="W62" s="19">
        <f>V62-WOTS22_Det!P79</f>
        <v>0</v>
      </c>
    </row>
    <row r="63" spans="2:24" x14ac:dyDescent="0.3">
      <c r="B63" t="str">
        <f>STN_5</f>
        <v>MOE</v>
      </c>
      <c r="C63" s="6">
        <f t="shared" si="50"/>
        <v>234.56070114543556</v>
      </c>
      <c r="D63" s="6">
        <f t="shared" si="44"/>
        <v>75.677674129353548</v>
      </c>
      <c r="E63" s="6">
        <f t="shared" si="45"/>
        <v>48.291909059354381</v>
      </c>
      <c r="F63" s="6">
        <f t="shared" si="46"/>
        <v>262.15607775078087</v>
      </c>
      <c r="G63" s="6">
        <f t="shared" si="47"/>
        <v>68.988441513363398</v>
      </c>
      <c r="H63" s="139">
        <f t="shared" si="48"/>
        <v>689.67480359828778</v>
      </c>
      <c r="I63" s="14"/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139">
        <f t="shared" si="49"/>
        <v>0</v>
      </c>
      <c r="Q63" s="6">
        <f>MOE_Det!K83</f>
        <v>234.56070114543556</v>
      </c>
      <c r="R63" s="6">
        <f>MOE_Det!L83</f>
        <v>75.677674129353548</v>
      </c>
      <c r="S63" s="6">
        <f>MOE_Det!M83</f>
        <v>48.291909059354381</v>
      </c>
      <c r="T63" s="6">
        <f>MOE_Det!N83</f>
        <v>262.15607775078087</v>
      </c>
      <c r="U63" s="6">
        <f>MOE_Det!O83</f>
        <v>68.988441513363398</v>
      </c>
      <c r="V63" s="14">
        <f t="shared" si="51"/>
        <v>689.67480359828778</v>
      </c>
      <c r="W63" s="19">
        <f>V63-MOE_Det!P83</f>
        <v>0</v>
      </c>
    </row>
    <row r="64" spans="2:24" x14ac:dyDescent="0.3">
      <c r="B64" t="str">
        <f>STN_6</f>
        <v>BGE</v>
      </c>
      <c r="C64" s="6">
        <f t="shared" si="50"/>
        <v>42.647400208261011</v>
      </c>
      <c r="D64" s="6">
        <f t="shared" si="44"/>
        <v>13.759577114427916</v>
      </c>
      <c r="E64" s="6">
        <f t="shared" si="45"/>
        <v>8.7803471017007961</v>
      </c>
      <c r="F64" s="6">
        <f t="shared" si="46"/>
        <v>47.664741409232889</v>
      </c>
      <c r="G64" s="6">
        <f t="shared" si="47"/>
        <v>12.543353002429708</v>
      </c>
      <c r="H64" s="139">
        <f t="shared" si="48"/>
        <v>125.39541883605233</v>
      </c>
      <c r="I64" s="14"/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139">
        <f t="shared" si="49"/>
        <v>0</v>
      </c>
      <c r="Q64" s="6">
        <f>BGE_Det!K84</f>
        <v>42.647400208261011</v>
      </c>
      <c r="R64" s="6">
        <f>BGE_Det!L84</f>
        <v>13.759577114427916</v>
      </c>
      <c r="S64" s="6">
        <f>BGE_Det!M84</f>
        <v>8.7803471017007961</v>
      </c>
      <c r="T64" s="6">
        <f>BGE_Det!N84</f>
        <v>47.664741409232889</v>
      </c>
      <c r="U64" s="6">
        <f>BGE_Det!O84</f>
        <v>12.543353002429708</v>
      </c>
      <c r="V64" s="14">
        <f t="shared" si="51"/>
        <v>125.39541883605233</v>
      </c>
      <c r="W64" s="11">
        <f>V64-BGE_Det!P84</f>
        <v>0</v>
      </c>
    </row>
    <row r="65" spans="2:23" x14ac:dyDescent="0.3">
      <c r="B65" t="str">
        <f>STN_7</f>
        <v>LDL</v>
      </c>
      <c r="C65" s="6">
        <f t="shared" si="50"/>
        <v>63.971100312391513</v>
      </c>
      <c r="D65" s="6">
        <f t="shared" si="44"/>
        <v>20.696532454009017</v>
      </c>
      <c r="E65" s="6">
        <f t="shared" si="45"/>
        <v>13.170520652551193</v>
      </c>
      <c r="F65" s="6">
        <f t="shared" si="46"/>
        <v>71.49711211384934</v>
      </c>
      <c r="G65" s="6">
        <f t="shared" si="47"/>
        <v>18.81502950364456</v>
      </c>
      <c r="H65" s="139">
        <f t="shared" si="48"/>
        <v>188.15029503644561</v>
      </c>
      <c r="I65" s="14"/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139">
        <f t="shared" si="49"/>
        <v>0</v>
      </c>
      <c r="Q65" s="6">
        <f>LDL_Det!K81</f>
        <v>63.971100312391513</v>
      </c>
      <c r="R65" s="6">
        <f>LDL_Det!L81</f>
        <v>20.696532454009017</v>
      </c>
      <c r="S65" s="6">
        <f>LDL_Det!M81</f>
        <v>13.170520652551193</v>
      </c>
      <c r="T65" s="6">
        <f>LDL_Det!N81</f>
        <v>71.49711211384934</v>
      </c>
      <c r="U65" s="6">
        <f>LDL_Det!O81</f>
        <v>18.81502950364456</v>
      </c>
      <c r="V65" s="14">
        <f t="shared" si="51"/>
        <v>188.15029503644561</v>
      </c>
      <c r="W65" s="19">
        <f>V65-LDL_Det!P81</f>
        <v>0</v>
      </c>
    </row>
    <row r="66" spans="2:23" x14ac:dyDescent="0.3">
      <c r="B66" t="str">
        <f>STN_8</f>
        <v>BDL</v>
      </c>
      <c r="C66" s="6">
        <f t="shared" si="50"/>
        <v>405.1503019784796</v>
      </c>
      <c r="D66" s="6">
        <f t="shared" si="44"/>
        <v>130.71598258706524</v>
      </c>
      <c r="E66" s="6">
        <f t="shared" si="45"/>
        <v>83.413297466157559</v>
      </c>
      <c r="F66" s="6">
        <f t="shared" si="46"/>
        <v>452.81504338771242</v>
      </c>
      <c r="G66" s="6">
        <f t="shared" si="47"/>
        <v>119.16185352308223</v>
      </c>
      <c r="H66" s="139">
        <f t="shared" si="48"/>
        <v>1191.2564789424973</v>
      </c>
      <c r="I66" s="14"/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139">
        <f t="shared" si="49"/>
        <v>0</v>
      </c>
      <c r="Q66" s="6">
        <f>BDL_Det!K80</f>
        <v>405.1503019784796</v>
      </c>
      <c r="R66" s="6">
        <f>BDL_Det!L80</f>
        <v>130.71598258706524</v>
      </c>
      <c r="S66" s="6">
        <f>BDL_Det!M80</f>
        <v>83.413297466157559</v>
      </c>
      <c r="T66" s="6">
        <f>BDL_Det!N80</f>
        <v>452.81504338771242</v>
      </c>
      <c r="U66" s="6">
        <f>BDL_Det!O80</f>
        <v>119.16185352308223</v>
      </c>
      <c r="V66" s="14">
        <f t="shared" si="51"/>
        <v>1191.2564789424973</v>
      </c>
      <c r="W66" s="19">
        <f>V66-BDL_Det!P80</f>
        <v>0</v>
      </c>
    </row>
    <row r="67" spans="2:23" x14ac:dyDescent="0.3">
      <c r="B67" t="str">
        <f>STN_9</f>
        <v>[spare]</v>
      </c>
      <c r="C67" s="6">
        <f t="shared" si="50"/>
        <v>0</v>
      </c>
      <c r="D67" s="6">
        <f t="shared" si="44"/>
        <v>0</v>
      </c>
      <c r="E67" s="6">
        <f t="shared" si="45"/>
        <v>0</v>
      </c>
      <c r="F67" s="6">
        <f t="shared" si="46"/>
        <v>0</v>
      </c>
      <c r="G67" s="6">
        <f t="shared" si="47"/>
        <v>0</v>
      </c>
      <c r="H67" s="139">
        <f t="shared" si="48"/>
        <v>0</v>
      </c>
      <c r="I67" s="14"/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139">
        <f t="shared" si="49"/>
        <v>0</v>
      </c>
      <c r="Q67" s="6">
        <f>Spare!K79</f>
        <v>0</v>
      </c>
      <c r="R67" s="6">
        <f>Spare!L79</f>
        <v>0</v>
      </c>
      <c r="S67" s="6">
        <f>Spare!M79</f>
        <v>0</v>
      </c>
      <c r="T67" s="6">
        <f>Spare!N79</f>
        <v>0</v>
      </c>
      <c r="U67" s="6">
        <f>Spare!O79</f>
        <v>0</v>
      </c>
      <c r="V67" s="14">
        <f t="shared" si="51"/>
        <v>0</v>
      </c>
      <c r="W67" s="19">
        <f>V67-Spare!P79</f>
        <v>0</v>
      </c>
    </row>
    <row r="68" spans="2:23" x14ac:dyDescent="0.3">
      <c r="B68" t="s">
        <v>6</v>
      </c>
      <c r="C68" s="12">
        <f>SUM(C59:C67)</f>
        <v>1215.4509059354389</v>
      </c>
      <c r="D68" s="12">
        <f t="shared" ref="D68:H68" si="52">SUM(D59:D67)</f>
        <v>392.20511454356279</v>
      </c>
      <c r="E68" s="12">
        <f t="shared" si="52"/>
        <v>250.23989239847268</v>
      </c>
      <c r="F68" s="12">
        <f t="shared" si="52"/>
        <v>1358.4451301631375</v>
      </c>
      <c r="G68" s="12">
        <f t="shared" si="52"/>
        <v>357.48556056924667</v>
      </c>
      <c r="H68" s="12">
        <f t="shared" si="52"/>
        <v>3573.8266036098585</v>
      </c>
      <c r="J68" s="12">
        <f>SUM(J59:J67)</f>
        <v>0</v>
      </c>
      <c r="K68" s="12">
        <f t="shared" ref="K68:O68" si="53">SUM(K59:K67)</f>
        <v>0</v>
      </c>
      <c r="L68" s="12">
        <f t="shared" si="53"/>
        <v>0</v>
      </c>
      <c r="M68" s="12">
        <f t="shared" si="53"/>
        <v>0</v>
      </c>
      <c r="N68" s="12">
        <f t="shared" si="53"/>
        <v>0</v>
      </c>
      <c r="O68" s="12">
        <f t="shared" si="53"/>
        <v>0</v>
      </c>
      <c r="Q68" s="12">
        <f>SUM(Q59:Q67)</f>
        <v>1215.4509059354389</v>
      </c>
      <c r="R68" s="12">
        <f t="shared" ref="R68" si="54">SUM(R59:R67)</f>
        <v>392.20511454356279</v>
      </c>
      <c r="S68" s="12">
        <f t="shared" ref="S68" si="55">SUM(S59:S67)</f>
        <v>250.23989239847268</v>
      </c>
      <c r="T68" s="12">
        <f t="shared" ref="T68" si="56">SUM(T59:T67)</f>
        <v>1358.4451301631375</v>
      </c>
      <c r="U68" s="12">
        <f t="shared" ref="U68" si="57">SUM(U59:U67)</f>
        <v>357.48556056924667</v>
      </c>
      <c r="V68" s="12">
        <f t="shared" ref="V68" si="58">SUM(V59:V67)</f>
        <v>3573.8266036098585</v>
      </c>
      <c r="W68" s="416"/>
    </row>
    <row r="69" spans="2:23" x14ac:dyDescent="0.3">
      <c r="B69" s="52"/>
      <c r="C69" s="52"/>
      <c r="D69" s="52"/>
      <c r="E69" s="52"/>
      <c r="F69" s="52"/>
      <c r="G69" s="52"/>
      <c r="H69" s="52"/>
      <c r="I69" s="52"/>
      <c r="K69" s="19"/>
      <c r="Q69" s="169"/>
      <c r="R69" s="169"/>
      <c r="S69" s="169"/>
      <c r="T69" s="169"/>
      <c r="U69" s="169"/>
      <c r="V69" s="169"/>
    </row>
    <row r="71" spans="2:23" x14ac:dyDescent="0.3">
      <c r="B71" s="25" t="s">
        <v>627</v>
      </c>
      <c r="C71" s="600" t="s">
        <v>598</v>
      </c>
      <c r="D71" s="600"/>
      <c r="E71" s="600"/>
      <c r="F71" s="600"/>
      <c r="G71" s="600"/>
      <c r="H71" s="600"/>
      <c r="I71" s="25"/>
      <c r="J71" s="600" t="s">
        <v>599</v>
      </c>
      <c r="K71" s="600"/>
      <c r="L71" s="600"/>
      <c r="M71" s="600"/>
      <c r="N71" s="600"/>
      <c r="O71" s="600"/>
      <c r="Q71" s="601" t="s">
        <v>103</v>
      </c>
      <c r="R71" s="601"/>
      <c r="S71" s="601"/>
      <c r="T71" s="601"/>
      <c r="U71" s="601"/>
      <c r="V71" s="601"/>
    </row>
    <row r="72" spans="2:23" ht="28.8" x14ac:dyDescent="0.3">
      <c r="C72" s="518" t="s">
        <v>135</v>
      </c>
      <c r="D72" s="518" t="s">
        <v>49</v>
      </c>
      <c r="E72" s="13" t="s">
        <v>136</v>
      </c>
      <c r="F72" s="13" t="s">
        <v>137</v>
      </c>
      <c r="G72" s="518" t="s">
        <v>60</v>
      </c>
      <c r="H72" s="13" t="s">
        <v>138</v>
      </c>
      <c r="J72" s="518" t="s">
        <v>135</v>
      </c>
      <c r="K72" s="518" t="s">
        <v>49</v>
      </c>
      <c r="L72" s="13" t="s">
        <v>136</v>
      </c>
      <c r="M72" s="13" t="s">
        <v>137</v>
      </c>
      <c r="N72" s="518" t="s">
        <v>60</v>
      </c>
      <c r="O72" s="13" t="s">
        <v>138</v>
      </c>
      <c r="Q72" s="173" t="s">
        <v>135</v>
      </c>
      <c r="R72" s="173" t="s">
        <v>49</v>
      </c>
      <c r="S72" s="13" t="s">
        <v>136</v>
      </c>
      <c r="T72" s="13" t="s">
        <v>137</v>
      </c>
      <c r="U72" s="173" t="s">
        <v>60</v>
      </c>
      <c r="V72" s="13" t="s">
        <v>138</v>
      </c>
      <c r="W72" s="13" t="s">
        <v>55</v>
      </c>
    </row>
    <row r="73" spans="2:23" x14ac:dyDescent="0.3">
      <c r="B73" t="str">
        <f>STN_1</f>
        <v>RWN</v>
      </c>
      <c r="C73" s="6">
        <f>Q73</f>
        <v>134.68634083624181</v>
      </c>
      <c r="D73" s="6">
        <f t="shared" ref="D73:D81" si="59">R73</f>
        <v>38.408452571184185</v>
      </c>
      <c r="E73" s="6">
        <f t="shared" ref="E73:E81" si="60">S73</f>
        <v>0</v>
      </c>
      <c r="F73" s="6">
        <f t="shared" ref="F73:F81" si="61">T73</f>
        <v>63.477812202332117</v>
      </c>
      <c r="G73" s="6">
        <f t="shared" ref="G73:G81" si="62">U73</f>
        <v>0.13964529822345173</v>
      </c>
      <c r="H73" s="139">
        <f t="shared" ref="H73:H81" si="63">SUM(C73:G73)</f>
        <v>236.71225090798157</v>
      </c>
      <c r="I73" s="14"/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139">
        <f t="shared" ref="O73:O81" si="64">SUM(J73:N73)</f>
        <v>0</v>
      </c>
      <c r="Q73" s="38">
        <f>RWN_Det!K78</f>
        <v>134.68634083624181</v>
      </c>
      <c r="R73" s="38">
        <f>RWN_Det!L78</f>
        <v>38.408452571184185</v>
      </c>
      <c r="S73" s="38">
        <f>RWN_Det!M78</f>
        <v>0</v>
      </c>
      <c r="T73" s="38">
        <f>RWN_Det!N78</f>
        <v>63.477812202332117</v>
      </c>
      <c r="U73" s="38">
        <f>RWN_Det!O78</f>
        <v>0.13964529822345173</v>
      </c>
      <c r="V73" s="14">
        <f t="shared" ref="V73:V81" si="65">SUM(Q73:U73)</f>
        <v>236.71225090798157</v>
      </c>
      <c r="W73" s="19">
        <f>V73-RWN_Det!P78</f>
        <v>0</v>
      </c>
    </row>
    <row r="74" spans="2:23" x14ac:dyDescent="0.3">
      <c r="B74" t="str">
        <f>STN_2</f>
        <v>ELM</v>
      </c>
      <c r="C74" s="6">
        <f t="shared" ref="C74:C81" si="66">Q74</f>
        <v>67.343170418120906</v>
      </c>
      <c r="D74" s="6">
        <f t="shared" si="59"/>
        <v>19.204226285592092</v>
      </c>
      <c r="E74" s="6">
        <f t="shared" si="60"/>
        <v>0</v>
      </c>
      <c r="F74" s="6">
        <f t="shared" si="61"/>
        <v>31.738906101166059</v>
      </c>
      <c r="G74" s="6">
        <f t="shared" si="62"/>
        <v>6.9822649111725865E-2</v>
      </c>
      <c r="H74" s="139">
        <f t="shared" si="63"/>
        <v>118.35612545399078</v>
      </c>
      <c r="I74" s="14"/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139">
        <f t="shared" si="64"/>
        <v>0</v>
      </c>
      <c r="Q74" s="38">
        <f>ELM_Det!K81</f>
        <v>67.343170418120906</v>
      </c>
      <c r="R74" s="38">
        <f>ELM_Det!L81</f>
        <v>19.204226285592092</v>
      </c>
      <c r="S74" s="38">
        <f>ELM_Det!M81</f>
        <v>0</v>
      </c>
      <c r="T74" s="38">
        <f>ELM_Det!N81</f>
        <v>31.738906101166059</v>
      </c>
      <c r="U74" s="38">
        <f>ELM_Det!O81</f>
        <v>6.9822649111725865E-2</v>
      </c>
      <c r="V74" s="14">
        <f t="shared" si="65"/>
        <v>118.35612545399078</v>
      </c>
      <c r="W74" s="11">
        <f>V74-ELM_Det!P81</f>
        <v>0</v>
      </c>
    </row>
    <row r="75" spans="2:23" x14ac:dyDescent="0.3">
      <c r="B75" t="str">
        <f>STN_3</f>
        <v>FGY</v>
      </c>
      <c r="C75" s="6">
        <f t="shared" si="66"/>
        <v>67.343170418120906</v>
      </c>
      <c r="D75" s="6">
        <f t="shared" si="59"/>
        <v>19.204226285592092</v>
      </c>
      <c r="E75" s="6">
        <f t="shared" si="60"/>
        <v>0</v>
      </c>
      <c r="F75" s="6">
        <f t="shared" si="61"/>
        <v>31.738906101166059</v>
      </c>
      <c r="G75" s="6">
        <f t="shared" si="62"/>
        <v>6.9822649111725865E-2</v>
      </c>
      <c r="H75" s="139">
        <f t="shared" si="63"/>
        <v>118.35612545399078</v>
      </c>
      <c r="I75" s="14"/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139">
        <f t="shared" si="64"/>
        <v>0</v>
      </c>
      <c r="Q75" s="38">
        <f>FGY_Det!K79</f>
        <v>67.343170418120906</v>
      </c>
      <c r="R75" s="38">
        <f>FGY_Det!L79</f>
        <v>19.204226285592092</v>
      </c>
      <c r="S75" s="38">
        <f>FGY_Det!M79</f>
        <v>0</v>
      </c>
      <c r="T75" s="38">
        <f>FGY_Det!N79</f>
        <v>31.738906101166059</v>
      </c>
      <c r="U75" s="38">
        <f>FGY_Det!O79</f>
        <v>6.9822649111725865E-2</v>
      </c>
      <c r="V75" s="14">
        <f t="shared" si="65"/>
        <v>118.35612545399078</v>
      </c>
      <c r="W75" s="19">
        <f>V75-FGY_Det!P79</f>
        <v>0</v>
      </c>
    </row>
    <row r="76" spans="2:23" x14ac:dyDescent="0.3">
      <c r="B76" t="str">
        <f>STN_4</f>
        <v>WOTS22</v>
      </c>
      <c r="C76" s="6">
        <f t="shared" si="66"/>
        <v>44.895446945413937</v>
      </c>
      <c r="D76" s="6">
        <f t="shared" si="59"/>
        <v>12.802817523728059</v>
      </c>
      <c r="E76" s="6">
        <f t="shared" si="60"/>
        <v>0</v>
      </c>
      <c r="F76" s="6">
        <f t="shared" si="61"/>
        <v>21.159270734110706</v>
      </c>
      <c r="G76" s="6">
        <f t="shared" si="62"/>
        <v>4.6548432741150579E-2</v>
      </c>
      <c r="H76" s="139">
        <f t="shared" si="63"/>
        <v>78.904083635993842</v>
      </c>
      <c r="I76" s="14"/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139">
        <f t="shared" si="64"/>
        <v>0</v>
      </c>
      <c r="Q76" s="38">
        <f>WOTS22_Det!K78</f>
        <v>44.895446945413937</v>
      </c>
      <c r="R76" s="38">
        <f>WOTS22_Det!L78</f>
        <v>12.802817523728059</v>
      </c>
      <c r="S76" s="38">
        <f>WOTS22_Det!M78</f>
        <v>0</v>
      </c>
      <c r="T76" s="38">
        <f>WOTS22_Det!N78</f>
        <v>21.159270734110706</v>
      </c>
      <c r="U76" s="38">
        <f>WOTS22_Det!O78</f>
        <v>4.6548432741150579E-2</v>
      </c>
      <c r="V76" s="14">
        <f t="shared" si="65"/>
        <v>78.904083635993842</v>
      </c>
      <c r="W76" s="19">
        <f>V76-WOTS22_Det!P78</f>
        <v>0</v>
      </c>
    </row>
    <row r="77" spans="2:23" x14ac:dyDescent="0.3">
      <c r="B77" t="str">
        <f>STN_5</f>
        <v>MOE</v>
      </c>
      <c r="C77" s="6">
        <f t="shared" si="66"/>
        <v>269.37268167248362</v>
      </c>
      <c r="D77" s="6">
        <f t="shared" si="59"/>
        <v>76.81690514236837</v>
      </c>
      <c r="E77" s="6">
        <f t="shared" si="60"/>
        <v>0</v>
      </c>
      <c r="F77" s="6">
        <f t="shared" si="61"/>
        <v>126.95562440466423</v>
      </c>
      <c r="G77" s="6">
        <f t="shared" si="62"/>
        <v>0.27929059644690346</v>
      </c>
      <c r="H77" s="139">
        <f t="shared" si="63"/>
        <v>473.42450181596314</v>
      </c>
      <c r="I77" s="14"/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139">
        <f t="shared" si="64"/>
        <v>0</v>
      </c>
      <c r="Q77" s="38">
        <f>MOE_Det!K82</f>
        <v>269.37268167248362</v>
      </c>
      <c r="R77" s="38">
        <f>MOE_Det!L82</f>
        <v>76.81690514236837</v>
      </c>
      <c r="S77" s="38">
        <f>MOE_Det!M82</f>
        <v>0</v>
      </c>
      <c r="T77" s="38">
        <f>MOE_Det!N82</f>
        <v>126.95562440466423</v>
      </c>
      <c r="U77" s="38">
        <f>MOE_Det!O82</f>
        <v>0.27929059644690346</v>
      </c>
      <c r="V77" s="14">
        <f t="shared" si="65"/>
        <v>473.42450181596314</v>
      </c>
      <c r="W77" s="19">
        <f>V77-MOE_Det!P82</f>
        <v>0</v>
      </c>
    </row>
    <row r="78" spans="2:23" x14ac:dyDescent="0.3">
      <c r="B78" t="str">
        <f>STN_6</f>
        <v>BGE</v>
      </c>
      <c r="C78" s="6">
        <f t="shared" si="66"/>
        <v>89.790893890827874</v>
      </c>
      <c r="D78" s="6">
        <f t="shared" si="59"/>
        <v>25.605635047456119</v>
      </c>
      <c r="E78" s="6">
        <f t="shared" si="60"/>
        <v>0</v>
      </c>
      <c r="F78" s="6">
        <f t="shared" si="61"/>
        <v>42.318541468221412</v>
      </c>
      <c r="G78" s="6">
        <f t="shared" si="62"/>
        <v>9.3096865482301158E-2</v>
      </c>
      <c r="H78" s="139">
        <f t="shared" si="63"/>
        <v>157.80816727198768</v>
      </c>
      <c r="I78" s="14"/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139">
        <f t="shared" si="64"/>
        <v>0</v>
      </c>
      <c r="Q78" s="38">
        <f>BGE_Det!K83</f>
        <v>89.790893890827874</v>
      </c>
      <c r="R78" s="38">
        <f>BGE_Det!L83</f>
        <v>25.605635047456119</v>
      </c>
      <c r="S78" s="38">
        <f>BGE_Det!M83</f>
        <v>0</v>
      </c>
      <c r="T78" s="38">
        <f>BGE_Det!N83</f>
        <v>42.318541468221412</v>
      </c>
      <c r="U78" s="38">
        <f>BGE_Det!O83</f>
        <v>9.3096865482301158E-2</v>
      </c>
      <c r="V78" s="14">
        <f t="shared" si="65"/>
        <v>157.80816727198768</v>
      </c>
      <c r="W78" s="19">
        <f>V78-BGE_Det!P83</f>
        <v>0</v>
      </c>
    </row>
    <row r="79" spans="2:23" x14ac:dyDescent="0.3">
      <c r="B79" t="str">
        <f>STN_7</f>
        <v>LDL</v>
      </c>
      <c r="C79" s="6">
        <f t="shared" si="66"/>
        <v>157.13406430894878</v>
      </c>
      <c r="D79" s="6">
        <f t="shared" si="59"/>
        <v>44.933975398930215</v>
      </c>
      <c r="E79" s="6">
        <f t="shared" si="60"/>
        <v>0</v>
      </c>
      <c r="F79" s="6">
        <f t="shared" si="61"/>
        <v>74.057447569387477</v>
      </c>
      <c r="G79" s="6">
        <f t="shared" si="62"/>
        <v>0.16291951459402704</v>
      </c>
      <c r="H79" s="139">
        <f t="shared" si="63"/>
        <v>276.2884067918605</v>
      </c>
      <c r="I79" s="14"/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139">
        <f t="shared" si="64"/>
        <v>0</v>
      </c>
      <c r="Q79" s="38">
        <f>LDL_Det!K80</f>
        <v>157.13406430894878</v>
      </c>
      <c r="R79" s="38">
        <f>LDL_Det!L80</f>
        <v>44.933975398930215</v>
      </c>
      <c r="S79" s="38">
        <f>LDL_Det!M80</f>
        <v>0</v>
      </c>
      <c r="T79" s="38">
        <f>LDL_Det!N80</f>
        <v>74.057447569387477</v>
      </c>
      <c r="U79" s="38">
        <f>LDL_Det!O80</f>
        <v>0.16291951459402704</v>
      </c>
      <c r="V79" s="14">
        <f t="shared" si="65"/>
        <v>276.2884067918605</v>
      </c>
      <c r="W79" s="19">
        <f>V79-LDL_Det!P80</f>
        <v>0</v>
      </c>
    </row>
    <row r="80" spans="2:23" x14ac:dyDescent="0.3">
      <c r="B80" t="str">
        <f>STN_8</f>
        <v>BDL</v>
      </c>
      <c r="C80" s="6">
        <f t="shared" si="66"/>
        <v>112.23861736353484</v>
      </c>
      <c r="D80" s="6">
        <f t="shared" si="59"/>
        <v>32.007043809320159</v>
      </c>
      <c r="E80" s="6">
        <f t="shared" si="60"/>
        <v>0</v>
      </c>
      <c r="F80" s="6">
        <f t="shared" si="61"/>
        <v>52.898176835276765</v>
      </c>
      <c r="G80" s="6">
        <f t="shared" si="62"/>
        <v>0.11637108185287645</v>
      </c>
      <c r="H80" s="139">
        <f t="shared" si="63"/>
        <v>197.26020908998464</v>
      </c>
      <c r="I80" s="14"/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139">
        <f t="shared" si="64"/>
        <v>0</v>
      </c>
      <c r="Q80" s="38">
        <f>BDL_Det!K79</f>
        <v>112.23861736353484</v>
      </c>
      <c r="R80" s="38">
        <f>BDL_Det!L79</f>
        <v>32.007043809320159</v>
      </c>
      <c r="S80" s="38">
        <f>BDL_Det!M79</f>
        <v>0</v>
      </c>
      <c r="T80" s="38">
        <f>BDL_Det!N79</f>
        <v>52.898176835276765</v>
      </c>
      <c r="U80" s="38">
        <f>BDL_Det!O79</f>
        <v>0.11637108185287645</v>
      </c>
      <c r="V80" s="14">
        <f t="shared" si="65"/>
        <v>197.26020908998464</v>
      </c>
      <c r="W80" s="19">
        <f>V80-BDL_Det!P79</f>
        <v>0</v>
      </c>
    </row>
    <row r="81" spans="2:23" x14ac:dyDescent="0.3">
      <c r="B81" t="str">
        <f>STN_9</f>
        <v>[spare]</v>
      </c>
      <c r="C81" s="6">
        <f t="shared" si="66"/>
        <v>0</v>
      </c>
      <c r="D81" s="6">
        <f t="shared" si="59"/>
        <v>0</v>
      </c>
      <c r="E81" s="6">
        <f t="shared" si="60"/>
        <v>0</v>
      </c>
      <c r="F81" s="6">
        <f t="shared" si="61"/>
        <v>0</v>
      </c>
      <c r="G81" s="6">
        <f t="shared" si="62"/>
        <v>0</v>
      </c>
      <c r="H81" s="139">
        <f t="shared" si="63"/>
        <v>0</v>
      </c>
      <c r="I81" s="14"/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139">
        <f t="shared" si="64"/>
        <v>0</v>
      </c>
      <c r="Q81" s="38">
        <f>Spare!K78</f>
        <v>0</v>
      </c>
      <c r="R81" s="38">
        <f>Spare!L78</f>
        <v>0</v>
      </c>
      <c r="S81" s="38">
        <f>Spare!M78</f>
        <v>0</v>
      </c>
      <c r="T81" s="38">
        <f>Spare!N78</f>
        <v>0</v>
      </c>
      <c r="U81" s="38">
        <f>Spare!O78</f>
        <v>0</v>
      </c>
      <c r="V81" s="14">
        <f t="shared" si="65"/>
        <v>0</v>
      </c>
      <c r="W81" s="19">
        <f>V81-Spare!P78</f>
        <v>0</v>
      </c>
    </row>
    <row r="82" spans="2:23" x14ac:dyDescent="0.3">
      <c r="B82" t="s">
        <v>6</v>
      </c>
      <c r="C82" s="12">
        <f>SUM(C73:C81)</f>
        <v>942.80438585369257</v>
      </c>
      <c r="D82" s="12">
        <f t="shared" ref="D82:H82" si="67">SUM(D73:D81)</f>
        <v>268.98328206417131</v>
      </c>
      <c r="E82" s="12">
        <f t="shared" si="67"/>
        <v>0</v>
      </c>
      <c r="F82" s="12">
        <f t="shared" si="67"/>
        <v>444.34468541632486</v>
      </c>
      <c r="G82" s="12">
        <f t="shared" si="67"/>
        <v>0.97751708756416211</v>
      </c>
      <c r="H82" s="12">
        <f t="shared" si="67"/>
        <v>1657.1098704217529</v>
      </c>
      <c r="J82" s="12">
        <f>SUM(J73:J81)</f>
        <v>0</v>
      </c>
      <c r="K82" s="12">
        <f t="shared" ref="K82:O82" si="68">SUM(K73:K81)</f>
        <v>0</v>
      </c>
      <c r="L82" s="12">
        <f t="shared" si="68"/>
        <v>0</v>
      </c>
      <c r="M82" s="12">
        <f t="shared" si="68"/>
        <v>0</v>
      </c>
      <c r="N82" s="12">
        <f t="shared" si="68"/>
        <v>0</v>
      </c>
      <c r="O82" s="12">
        <f t="shared" si="68"/>
        <v>0</v>
      </c>
      <c r="Q82" s="21">
        <f>SUM(Q73:Q81)</f>
        <v>942.80438585369257</v>
      </c>
      <c r="R82" s="21">
        <f t="shared" ref="R82" si="69">SUM(R73:R81)</f>
        <v>268.98328206417131</v>
      </c>
      <c r="S82" s="21">
        <f t="shared" ref="S82" si="70">SUM(S73:S81)</f>
        <v>0</v>
      </c>
      <c r="T82" s="21">
        <f t="shared" ref="T82" si="71">SUM(T73:T81)</f>
        <v>444.34468541632486</v>
      </c>
      <c r="U82" s="21">
        <f t="shared" ref="U82" si="72">SUM(U73:U81)</f>
        <v>0.97751708756416211</v>
      </c>
      <c r="V82" s="21">
        <f t="shared" ref="V82" si="73">SUM(V73:V81)</f>
        <v>1657.1098704217529</v>
      </c>
      <c r="W82" s="415"/>
    </row>
    <row r="83" spans="2:23" x14ac:dyDescent="0.3">
      <c r="B83" s="178"/>
      <c r="C83" s="178"/>
      <c r="D83" s="178"/>
      <c r="E83" s="178"/>
      <c r="F83" s="178"/>
      <c r="G83" s="178"/>
      <c r="H83" s="178"/>
      <c r="I83" s="178"/>
      <c r="Q83" s="45"/>
      <c r="R83" s="45"/>
    </row>
    <row r="85" spans="2:23" x14ac:dyDescent="0.3">
      <c r="B85" s="25" t="s">
        <v>628</v>
      </c>
      <c r="C85" s="600" t="s">
        <v>598</v>
      </c>
      <c r="D85" s="600"/>
      <c r="E85" s="600"/>
      <c r="F85" s="600"/>
      <c r="G85" s="600"/>
      <c r="H85" s="600"/>
      <c r="I85" s="25"/>
      <c r="J85" s="600" t="s">
        <v>599</v>
      </c>
      <c r="K85" s="600"/>
      <c r="L85" s="600"/>
      <c r="M85" s="600"/>
      <c r="N85" s="600"/>
      <c r="O85" s="600"/>
      <c r="Q85" s="601" t="s">
        <v>103</v>
      </c>
      <c r="R85" s="601"/>
      <c r="S85" s="601"/>
      <c r="T85" s="601"/>
      <c r="U85" s="601"/>
      <c r="V85" s="601"/>
    </row>
    <row r="86" spans="2:23" ht="28.8" x14ac:dyDescent="0.3">
      <c r="C86" s="518" t="s">
        <v>135</v>
      </c>
      <c r="D86" s="518" t="s">
        <v>49</v>
      </c>
      <c r="E86" s="13" t="s">
        <v>136</v>
      </c>
      <c r="F86" s="13" t="s">
        <v>137</v>
      </c>
      <c r="G86" s="518" t="s">
        <v>60</v>
      </c>
      <c r="H86" s="13" t="s">
        <v>138</v>
      </c>
      <c r="J86" s="518" t="s">
        <v>135</v>
      </c>
      <c r="K86" s="518" t="s">
        <v>49</v>
      </c>
      <c r="L86" s="13" t="s">
        <v>136</v>
      </c>
      <c r="M86" s="13" t="s">
        <v>137</v>
      </c>
      <c r="N86" s="518" t="s">
        <v>60</v>
      </c>
      <c r="O86" s="13" t="s">
        <v>138</v>
      </c>
      <c r="P86" s="288"/>
      <c r="Q86" s="173" t="s">
        <v>135</v>
      </c>
      <c r="R86" s="173" t="s">
        <v>49</v>
      </c>
      <c r="S86" s="13" t="s">
        <v>136</v>
      </c>
      <c r="T86" s="13" t="s">
        <v>137</v>
      </c>
      <c r="U86" s="173" t="s">
        <v>60</v>
      </c>
      <c r="V86" s="13" t="s">
        <v>138</v>
      </c>
      <c r="W86" s="13" t="s">
        <v>55</v>
      </c>
    </row>
    <row r="87" spans="2:23" x14ac:dyDescent="0.3">
      <c r="B87" t="str">
        <f>STN_1</f>
        <v>RWN</v>
      </c>
      <c r="C87" s="5">
        <f>Q87</f>
        <v>0</v>
      </c>
      <c r="D87" s="5">
        <f t="shared" ref="D87:D95" si="74">R87</f>
        <v>0</v>
      </c>
      <c r="E87" s="5">
        <f t="shared" ref="E87:E95" si="75">S87</f>
        <v>0</v>
      </c>
      <c r="F87" s="5">
        <f t="shared" ref="F87:F95" si="76">T87</f>
        <v>0</v>
      </c>
      <c r="G87" s="5">
        <f t="shared" ref="G87:G95" si="77">U87</f>
        <v>0</v>
      </c>
      <c r="H87" s="54">
        <f t="shared" ref="H87:H95" si="78">SUM(C87:G87)</f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4">
        <f t="shared" ref="O87:O95" si="79">SUM(J87:N87)</f>
        <v>0</v>
      </c>
      <c r="P87" s="6"/>
      <c r="Q87" s="38">
        <f>RWN_Det!K80+RWN_Det!K81</f>
        <v>0</v>
      </c>
      <c r="R87" s="38">
        <f>RWN_Det!L80+RWN_Det!L81</f>
        <v>0</v>
      </c>
      <c r="S87" s="38">
        <f>RWN_Det!M80+RWN_Det!M81</f>
        <v>0</v>
      </c>
      <c r="T87" s="38">
        <f>RWN_Det!N80+RWN_Det!N81</f>
        <v>0</v>
      </c>
      <c r="U87" s="38">
        <f>RWN_Det!O80+RWN_Det!O81</f>
        <v>0</v>
      </c>
      <c r="V87" s="6">
        <f t="shared" ref="V87:V95" si="80">SUM(Q87:U87)</f>
        <v>0</v>
      </c>
      <c r="W87" s="19">
        <f>V87-SUM(RWN_Det!P80:P81)</f>
        <v>0</v>
      </c>
    </row>
    <row r="88" spans="2:23" x14ac:dyDescent="0.3">
      <c r="B88" t="str">
        <f>STN_2</f>
        <v>ELM</v>
      </c>
      <c r="C88" s="5">
        <f t="shared" ref="C88:C95" si="81">Q88</f>
        <v>0</v>
      </c>
      <c r="D88" s="5">
        <f t="shared" si="74"/>
        <v>0</v>
      </c>
      <c r="E88" s="5">
        <f t="shared" si="75"/>
        <v>0</v>
      </c>
      <c r="F88" s="5">
        <f t="shared" si="76"/>
        <v>0</v>
      </c>
      <c r="G88" s="5">
        <f t="shared" si="77"/>
        <v>0</v>
      </c>
      <c r="H88" s="54">
        <f t="shared" si="78"/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4">
        <f t="shared" si="79"/>
        <v>0</v>
      </c>
      <c r="P88" s="6"/>
      <c r="Q88" s="38">
        <f>ELM_Det!K83+ELM_Det!K84</f>
        <v>0</v>
      </c>
      <c r="R88" s="38">
        <f>ELM_Det!L83+ELM_Det!L84</f>
        <v>0</v>
      </c>
      <c r="S88" s="38">
        <f>ELM_Det!M83+ELM_Det!M84</f>
        <v>0</v>
      </c>
      <c r="T88" s="38">
        <f>ELM_Det!N83+ELM_Det!N84</f>
        <v>0</v>
      </c>
      <c r="U88" s="38">
        <f>ELM_Det!O83+ELM_Det!O84</f>
        <v>0</v>
      </c>
      <c r="V88" s="6">
        <f t="shared" si="80"/>
        <v>0</v>
      </c>
      <c r="W88" s="19">
        <f>V88-SUM(ELM_Det!P83:P84)</f>
        <v>0</v>
      </c>
    </row>
    <row r="89" spans="2:23" x14ac:dyDescent="0.3">
      <c r="B89" t="str">
        <f>STN_3</f>
        <v>FGY</v>
      </c>
      <c r="C89" s="5">
        <f t="shared" si="81"/>
        <v>0</v>
      </c>
      <c r="D89" s="5">
        <f t="shared" si="74"/>
        <v>0</v>
      </c>
      <c r="E89" s="5">
        <f t="shared" si="75"/>
        <v>0</v>
      </c>
      <c r="F89" s="5">
        <f t="shared" si="76"/>
        <v>0</v>
      </c>
      <c r="G89" s="5">
        <f t="shared" si="77"/>
        <v>0</v>
      </c>
      <c r="H89" s="54">
        <f t="shared" si="78"/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4">
        <f t="shared" si="79"/>
        <v>0</v>
      </c>
      <c r="Q89" s="38">
        <f>FGY_Det!K81+FGY_Det!K82</f>
        <v>0</v>
      </c>
      <c r="R89" s="38">
        <f>FGY_Det!L81+FGY_Det!L82</f>
        <v>0</v>
      </c>
      <c r="S89" s="38">
        <f>FGY_Det!M81+FGY_Det!M82</f>
        <v>0</v>
      </c>
      <c r="T89" s="38">
        <f>FGY_Det!N81+FGY_Det!N82</f>
        <v>0</v>
      </c>
      <c r="U89" s="38">
        <f>FGY_Det!O81+FGY_Det!O82</f>
        <v>0</v>
      </c>
      <c r="V89" s="6">
        <f t="shared" si="80"/>
        <v>0</v>
      </c>
      <c r="W89" s="19">
        <f>V89-SUM(FGY_Det!P81:P82)</f>
        <v>0</v>
      </c>
    </row>
    <row r="90" spans="2:23" x14ac:dyDescent="0.3">
      <c r="B90" t="str">
        <f>STN_4</f>
        <v>WOTS22</v>
      </c>
      <c r="C90" s="5">
        <f t="shared" si="81"/>
        <v>0</v>
      </c>
      <c r="D90" s="5">
        <f t="shared" si="74"/>
        <v>0</v>
      </c>
      <c r="E90" s="5">
        <f t="shared" si="75"/>
        <v>0</v>
      </c>
      <c r="F90" s="5">
        <f t="shared" si="76"/>
        <v>0</v>
      </c>
      <c r="G90" s="5">
        <f t="shared" si="77"/>
        <v>0</v>
      </c>
      <c r="H90" s="54">
        <f t="shared" si="78"/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4">
        <f t="shared" si="79"/>
        <v>0</v>
      </c>
      <c r="Q90" s="38">
        <f>WOTS22_Det!K80+WOTS22_Det!K81</f>
        <v>0</v>
      </c>
      <c r="R90" s="38">
        <f>WOTS22_Det!L80+WOTS22_Det!L81</f>
        <v>0</v>
      </c>
      <c r="S90" s="38">
        <f>WOTS22_Det!M80+WOTS22_Det!M81</f>
        <v>0</v>
      </c>
      <c r="T90" s="38">
        <f>WOTS22_Det!N80+WOTS22_Det!N81</f>
        <v>0</v>
      </c>
      <c r="U90" s="38">
        <f>WOTS22_Det!O80+WOTS22_Det!O81</f>
        <v>0</v>
      </c>
      <c r="V90" s="6">
        <f t="shared" si="80"/>
        <v>0</v>
      </c>
      <c r="W90" s="19">
        <f>V90-SUM(WOTS22_Det!P80:P81)</f>
        <v>0</v>
      </c>
    </row>
    <row r="91" spans="2:23" x14ac:dyDescent="0.3">
      <c r="B91" t="str">
        <f>STN_5</f>
        <v>MOE</v>
      </c>
      <c r="C91" s="5">
        <f t="shared" si="81"/>
        <v>0</v>
      </c>
      <c r="D91" s="5">
        <f t="shared" si="74"/>
        <v>0</v>
      </c>
      <c r="E91" s="5">
        <f t="shared" si="75"/>
        <v>0</v>
      </c>
      <c r="F91" s="5">
        <f t="shared" si="76"/>
        <v>0</v>
      </c>
      <c r="G91" s="5">
        <f t="shared" si="77"/>
        <v>0</v>
      </c>
      <c r="H91" s="54">
        <f t="shared" si="78"/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4">
        <f t="shared" si="79"/>
        <v>0</v>
      </c>
      <c r="Q91" s="38">
        <f>MOE_Det!K84+MOE_Det!K85</f>
        <v>0</v>
      </c>
      <c r="R91" s="38">
        <f>MOE_Det!L84+MOE_Det!L85</f>
        <v>0</v>
      </c>
      <c r="S91" s="38">
        <f>MOE_Det!M84+MOE_Det!M85</f>
        <v>0</v>
      </c>
      <c r="T91" s="38">
        <f>MOE_Det!N84+MOE_Det!N85</f>
        <v>0</v>
      </c>
      <c r="U91" s="38">
        <f>MOE_Det!O84+MOE_Det!O85</f>
        <v>0</v>
      </c>
      <c r="V91" s="6">
        <f t="shared" si="80"/>
        <v>0</v>
      </c>
      <c r="W91" s="19">
        <f>V91-SUM(MOE_Det!P84:P85)</f>
        <v>0</v>
      </c>
    </row>
    <row r="92" spans="2:23" x14ac:dyDescent="0.3">
      <c r="B92" t="str">
        <f>STN_6</f>
        <v>BGE</v>
      </c>
      <c r="C92" s="5">
        <f t="shared" si="81"/>
        <v>0</v>
      </c>
      <c r="D92" s="5">
        <f t="shared" si="74"/>
        <v>0</v>
      </c>
      <c r="E92" s="5">
        <f t="shared" si="75"/>
        <v>0</v>
      </c>
      <c r="F92" s="5">
        <f t="shared" si="76"/>
        <v>0</v>
      </c>
      <c r="G92" s="5">
        <f t="shared" si="77"/>
        <v>0</v>
      </c>
      <c r="H92" s="54">
        <f t="shared" si="78"/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4">
        <f t="shared" si="79"/>
        <v>0</v>
      </c>
      <c r="Q92" s="38">
        <f>BGE_Det!K85+BGE_Det!K86</f>
        <v>0</v>
      </c>
      <c r="R92" s="38">
        <f>BGE_Det!L85+BGE_Det!L86</f>
        <v>0</v>
      </c>
      <c r="S92" s="38">
        <f>BGE_Det!M85+BGE_Det!M86</f>
        <v>0</v>
      </c>
      <c r="T92" s="38">
        <f>BGE_Det!N85+BGE_Det!N86</f>
        <v>0</v>
      </c>
      <c r="U92" s="38">
        <f>BGE_Det!O85+BGE_Det!O86</f>
        <v>0</v>
      </c>
      <c r="V92" s="6">
        <f t="shared" si="80"/>
        <v>0</v>
      </c>
      <c r="W92" s="19">
        <f>V92-SUM(BGE_Det!P85:P86)</f>
        <v>0</v>
      </c>
    </row>
    <row r="93" spans="2:23" x14ac:dyDescent="0.3">
      <c r="B93" t="str">
        <f>STN_7</f>
        <v>LDL</v>
      </c>
      <c r="C93" s="5">
        <f t="shared" si="81"/>
        <v>0</v>
      </c>
      <c r="D93" s="5">
        <f t="shared" si="74"/>
        <v>0</v>
      </c>
      <c r="E93" s="5">
        <f t="shared" si="75"/>
        <v>0</v>
      </c>
      <c r="F93" s="5">
        <f t="shared" si="76"/>
        <v>0</v>
      </c>
      <c r="G93" s="5">
        <f t="shared" si="77"/>
        <v>0</v>
      </c>
      <c r="H93" s="54">
        <f t="shared" si="78"/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4">
        <f t="shared" si="79"/>
        <v>0</v>
      </c>
      <c r="Q93" s="38">
        <f>LDL_Det!K82+LDL_Det!K83</f>
        <v>0</v>
      </c>
      <c r="R93" s="38">
        <f>LDL_Det!L82+LDL_Det!L83</f>
        <v>0</v>
      </c>
      <c r="S93" s="38">
        <f>LDL_Det!M82+LDL_Det!M83</f>
        <v>0</v>
      </c>
      <c r="T93" s="38">
        <f>LDL_Det!N82+LDL_Det!N83</f>
        <v>0</v>
      </c>
      <c r="U93" s="38">
        <f>LDL_Det!O82+LDL_Det!O83</f>
        <v>0</v>
      </c>
      <c r="V93" s="6">
        <f t="shared" si="80"/>
        <v>0</v>
      </c>
      <c r="W93" s="19">
        <f>V93-SUM(LDL_Det!P82:P83)</f>
        <v>0</v>
      </c>
    </row>
    <row r="94" spans="2:23" x14ac:dyDescent="0.3">
      <c r="B94" t="str">
        <f>STN_8</f>
        <v>BDL</v>
      </c>
      <c r="C94" s="5">
        <f t="shared" si="81"/>
        <v>0</v>
      </c>
      <c r="D94" s="5">
        <f t="shared" si="74"/>
        <v>0</v>
      </c>
      <c r="E94" s="5">
        <f t="shared" si="75"/>
        <v>0</v>
      </c>
      <c r="F94" s="5">
        <f t="shared" si="76"/>
        <v>0</v>
      </c>
      <c r="G94" s="5">
        <f t="shared" si="77"/>
        <v>0</v>
      </c>
      <c r="H94" s="54">
        <f t="shared" si="78"/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4">
        <f t="shared" si="79"/>
        <v>0</v>
      </c>
      <c r="Q94" s="38">
        <f>BDL_Det!K81+BDL_Det!K82</f>
        <v>0</v>
      </c>
      <c r="R94" s="38">
        <f>BDL_Det!L81+BDL_Det!L82</f>
        <v>0</v>
      </c>
      <c r="S94" s="38">
        <f>BDL_Det!M81+BDL_Det!M82</f>
        <v>0</v>
      </c>
      <c r="T94" s="38">
        <f>BDL_Det!N81+BDL_Det!N82</f>
        <v>0</v>
      </c>
      <c r="U94" s="38">
        <f>BDL_Det!O81+BDL_Det!O82</f>
        <v>0</v>
      </c>
      <c r="V94" s="6">
        <f t="shared" si="80"/>
        <v>0</v>
      </c>
      <c r="W94" s="19">
        <f>V94-SUM(BDL_Det!P81:P82)</f>
        <v>0</v>
      </c>
    </row>
    <row r="95" spans="2:23" x14ac:dyDescent="0.3">
      <c r="B95" t="str">
        <f>STN_9</f>
        <v>[spare]</v>
      </c>
      <c r="C95" s="5">
        <f t="shared" si="81"/>
        <v>0</v>
      </c>
      <c r="D95" s="5">
        <f t="shared" si="74"/>
        <v>0</v>
      </c>
      <c r="E95" s="5">
        <f t="shared" si="75"/>
        <v>0</v>
      </c>
      <c r="F95" s="5">
        <f t="shared" si="76"/>
        <v>0</v>
      </c>
      <c r="G95" s="5">
        <f t="shared" si="77"/>
        <v>0</v>
      </c>
      <c r="H95" s="54">
        <f t="shared" si="78"/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4">
        <f t="shared" si="79"/>
        <v>0</v>
      </c>
      <c r="Q95" s="38">
        <f>Spare!K80+Spare!K81</f>
        <v>0</v>
      </c>
      <c r="R95" s="38">
        <f>Spare!L80+Spare!L81</f>
        <v>0</v>
      </c>
      <c r="S95" s="38">
        <f>Spare!M80+Spare!M81</f>
        <v>0</v>
      </c>
      <c r="T95" s="38">
        <f>Spare!N80+Spare!N81</f>
        <v>0</v>
      </c>
      <c r="U95" s="38">
        <f>Spare!O80+Spare!O81</f>
        <v>0</v>
      </c>
      <c r="V95" s="6">
        <f t="shared" si="80"/>
        <v>0</v>
      </c>
      <c r="W95" s="19">
        <f>V95-SUM(Spare!P80:P81)</f>
        <v>0</v>
      </c>
    </row>
    <row r="96" spans="2:23" x14ac:dyDescent="0.3">
      <c r="B96" t="s">
        <v>6</v>
      </c>
      <c r="C96" s="12">
        <f>SUM(C87:C95)</f>
        <v>0</v>
      </c>
      <c r="D96" s="12">
        <f t="shared" ref="D96:H96" si="82">SUM(D87:D95)</f>
        <v>0</v>
      </c>
      <c r="E96" s="12">
        <f t="shared" si="82"/>
        <v>0</v>
      </c>
      <c r="F96" s="12">
        <f t="shared" si="82"/>
        <v>0</v>
      </c>
      <c r="G96" s="12">
        <f t="shared" si="82"/>
        <v>0</v>
      </c>
      <c r="H96" s="12">
        <f t="shared" si="82"/>
        <v>0</v>
      </c>
      <c r="J96" s="12">
        <f>SUM(J87:J95)</f>
        <v>0</v>
      </c>
      <c r="K96" s="12">
        <f t="shared" ref="K96:O96" si="83">SUM(K87:K95)</f>
        <v>0</v>
      </c>
      <c r="L96" s="12">
        <f t="shared" si="83"/>
        <v>0</v>
      </c>
      <c r="M96" s="12">
        <f t="shared" si="83"/>
        <v>0</v>
      </c>
      <c r="N96" s="12">
        <f t="shared" si="83"/>
        <v>0</v>
      </c>
      <c r="O96" s="12">
        <f t="shared" si="83"/>
        <v>0</v>
      </c>
      <c r="Q96" s="21">
        <f>SUM(Q87:Q95)</f>
        <v>0</v>
      </c>
      <c r="R96" s="21">
        <f t="shared" ref="R96" si="84">SUM(R87:R95)</f>
        <v>0</v>
      </c>
      <c r="S96" s="21">
        <f t="shared" ref="S96" si="85">SUM(S87:S95)</f>
        <v>0</v>
      </c>
      <c r="T96" s="21">
        <f t="shared" ref="T96" si="86">SUM(T87:T95)</f>
        <v>0</v>
      </c>
      <c r="U96" s="21">
        <f t="shared" ref="U96" si="87">SUM(U87:U95)</f>
        <v>0</v>
      </c>
      <c r="V96" s="21">
        <f t="shared" ref="V96" si="88">SUM(V87:V95)</f>
        <v>0</v>
      </c>
      <c r="W96" s="415"/>
    </row>
    <row r="97" spans="2:23" x14ac:dyDescent="0.3">
      <c r="B97" s="52"/>
      <c r="C97" s="52"/>
      <c r="D97" s="52"/>
      <c r="E97" s="52"/>
      <c r="F97" s="52"/>
      <c r="G97" s="52"/>
      <c r="H97" s="52"/>
      <c r="I97" s="52"/>
      <c r="Q97" s="45"/>
      <c r="R97" s="45"/>
      <c r="S97" s="45"/>
      <c r="T97" s="45"/>
      <c r="U97" s="45"/>
      <c r="V97" s="45"/>
    </row>
    <row r="98" spans="2:23" x14ac:dyDescent="0.3">
      <c r="Q98" s="212"/>
      <c r="R98" s="212"/>
      <c r="S98" s="212"/>
      <c r="T98" s="212"/>
      <c r="U98" s="212"/>
      <c r="V98" s="212"/>
    </row>
    <row r="99" spans="2:23" x14ac:dyDescent="0.3">
      <c r="B99" s="25" t="s">
        <v>629</v>
      </c>
      <c r="C99" s="600" t="s">
        <v>598</v>
      </c>
      <c r="D99" s="600"/>
      <c r="E99" s="600"/>
      <c r="F99" s="600"/>
      <c r="G99" s="600"/>
      <c r="H99" s="600"/>
      <c r="I99" s="25"/>
      <c r="J99" s="600" t="s">
        <v>599</v>
      </c>
      <c r="K99" s="600"/>
      <c r="L99" s="600"/>
      <c r="M99" s="600"/>
      <c r="N99" s="600"/>
      <c r="O99" s="600"/>
      <c r="Q99" s="601" t="s">
        <v>103</v>
      </c>
      <c r="R99" s="601"/>
      <c r="S99" s="601"/>
      <c r="T99" s="601"/>
      <c r="U99" s="601"/>
      <c r="V99" s="601"/>
    </row>
    <row r="100" spans="2:23" ht="28.8" x14ac:dyDescent="0.3">
      <c r="C100" s="518" t="s">
        <v>135</v>
      </c>
      <c r="D100" s="518" t="s">
        <v>49</v>
      </c>
      <c r="E100" s="13" t="s">
        <v>136</v>
      </c>
      <c r="F100" s="13" t="s">
        <v>137</v>
      </c>
      <c r="G100" s="518" t="s">
        <v>60</v>
      </c>
      <c r="H100" s="13" t="s">
        <v>138</v>
      </c>
      <c r="J100" s="518" t="s">
        <v>135</v>
      </c>
      <c r="K100" s="518" t="s">
        <v>49</v>
      </c>
      <c r="L100" s="13" t="s">
        <v>136</v>
      </c>
      <c r="M100" s="13" t="s">
        <v>137</v>
      </c>
      <c r="N100" s="518" t="s">
        <v>60</v>
      </c>
      <c r="O100" s="13" t="s">
        <v>138</v>
      </c>
      <c r="Q100" s="173" t="s">
        <v>135</v>
      </c>
      <c r="R100" s="173" t="s">
        <v>49</v>
      </c>
      <c r="S100" s="13" t="s">
        <v>136</v>
      </c>
      <c r="T100" s="13" t="s">
        <v>137</v>
      </c>
      <c r="U100" s="173" t="s">
        <v>60</v>
      </c>
      <c r="V100" s="13" t="s">
        <v>138</v>
      </c>
      <c r="W100" s="13" t="s">
        <v>55</v>
      </c>
    </row>
    <row r="101" spans="2:23" x14ac:dyDescent="0.3">
      <c r="B101" t="str">
        <f>STN_1</f>
        <v>RWN</v>
      </c>
      <c r="C101" s="6">
        <f>Q101</f>
        <v>0</v>
      </c>
      <c r="D101" s="6">
        <f t="shared" ref="D101:D109" si="89">R101</f>
        <v>0</v>
      </c>
      <c r="E101" s="6">
        <f t="shared" ref="E101:E109" si="90">S101</f>
        <v>0</v>
      </c>
      <c r="F101" s="6">
        <f t="shared" ref="F101:F109" si="91">T101</f>
        <v>0</v>
      </c>
      <c r="G101" s="6">
        <f t="shared" ref="G101:G109" si="92">U101</f>
        <v>0</v>
      </c>
      <c r="H101" s="139">
        <f t="shared" ref="H101:H109" si="93">SUM(C101:G101)</f>
        <v>0</v>
      </c>
      <c r="I101" s="14"/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139">
        <f t="shared" ref="O101:O109" si="94">SUM(J101:N101)</f>
        <v>0</v>
      </c>
      <c r="Q101" s="6">
        <f>SUM(RWN_Det!K83:K86)</f>
        <v>0</v>
      </c>
      <c r="R101" s="6">
        <f>SUM(RWN_Det!L83:L86)</f>
        <v>0</v>
      </c>
      <c r="S101" s="6">
        <f>SUM(RWN_Det!M83:M86)</f>
        <v>0</v>
      </c>
      <c r="T101" s="6">
        <f>SUM(RWN_Det!N83:N86)</f>
        <v>0</v>
      </c>
      <c r="U101" s="6">
        <f>SUM(RWN_Det!O83:O86)</f>
        <v>0</v>
      </c>
      <c r="V101" s="6">
        <f t="shared" ref="V101:V109" si="95">SUM(Q101:U101)</f>
        <v>0</v>
      </c>
      <c r="W101" s="19">
        <f>V101-SUM(RWN_Det!P83:P86)</f>
        <v>0</v>
      </c>
    </row>
    <row r="102" spans="2:23" x14ac:dyDescent="0.3">
      <c r="B102" t="str">
        <f>STN_2</f>
        <v>ELM</v>
      </c>
      <c r="C102" s="6">
        <f t="shared" ref="C102:C109" si="96">Q102</f>
        <v>570.43113790976997</v>
      </c>
      <c r="D102" s="6">
        <f t="shared" si="89"/>
        <v>103.10851875340462</v>
      </c>
      <c r="E102" s="6">
        <f t="shared" si="90"/>
        <v>16.49060773480663</v>
      </c>
      <c r="F102" s="6">
        <f t="shared" si="91"/>
        <v>218.45366172238016</v>
      </c>
      <c r="G102" s="6">
        <f t="shared" si="92"/>
        <v>62.238253255223583</v>
      </c>
      <c r="H102" s="139">
        <f t="shared" si="93"/>
        <v>970.72217937558503</v>
      </c>
      <c r="I102" s="14"/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139">
        <f t="shared" si="94"/>
        <v>0</v>
      </c>
      <c r="Q102" s="6">
        <f>SUM(ELM_Det!K86:K89)</f>
        <v>570.43113790976997</v>
      </c>
      <c r="R102" s="6">
        <f>SUM(ELM_Det!L86:L89)</f>
        <v>103.10851875340462</v>
      </c>
      <c r="S102" s="6">
        <f>SUM(ELM_Det!M86:M89)</f>
        <v>16.49060773480663</v>
      </c>
      <c r="T102" s="6">
        <f>SUM(ELM_Det!N86:N89)</f>
        <v>218.45366172238016</v>
      </c>
      <c r="U102" s="6">
        <f>SUM(ELM_Det!O86:O89)</f>
        <v>62.238253255223583</v>
      </c>
      <c r="V102" s="6">
        <f t="shared" si="95"/>
        <v>970.72217937558503</v>
      </c>
      <c r="W102" s="19">
        <f>V102-SUM(ELM_Det!P86:P89)</f>
        <v>0</v>
      </c>
    </row>
    <row r="103" spans="2:23" x14ac:dyDescent="0.3">
      <c r="B103" t="str">
        <f>STN_3</f>
        <v>FGY</v>
      </c>
      <c r="C103" s="6">
        <f t="shared" si="96"/>
        <v>570.43113790976997</v>
      </c>
      <c r="D103" s="6">
        <f t="shared" si="89"/>
        <v>103.10851875340462</v>
      </c>
      <c r="E103" s="6">
        <f t="shared" si="90"/>
        <v>16.49060773480663</v>
      </c>
      <c r="F103" s="6">
        <f t="shared" si="91"/>
        <v>218.45366172238016</v>
      </c>
      <c r="G103" s="6">
        <f t="shared" si="92"/>
        <v>62.238253255223583</v>
      </c>
      <c r="H103" s="139">
        <f t="shared" si="93"/>
        <v>970.72217937558503</v>
      </c>
      <c r="I103" s="14"/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139">
        <f t="shared" si="94"/>
        <v>0</v>
      </c>
      <c r="Q103" s="6">
        <f>SUM(FGY_Det!K84:K87)</f>
        <v>570.43113790976997</v>
      </c>
      <c r="R103" s="6">
        <f>SUM(FGY_Det!L84:L87)</f>
        <v>103.10851875340462</v>
      </c>
      <c r="S103" s="6">
        <f>SUM(FGY_Det!M84:M87)</f>
        <v>16.49060773480663</v>
      </c>
      <c r="T103" s="6">
        <f>SUM(FGY_Det!N84:N87)</f>
        <v>218.45366172238016</v>
      </c>
      <c r="U103" s="6">
        <f>SUM(FGY_Det!O84:O87)</f>
        <v>62.238253255223583</v>
      </c>
      <c r="V103" s="6">
        <f t="shared" si="95"/>
        <v>970.72217937558503</v>
      </c>
      <c r="W103" s="19">
        <f>V103-SUM(FGY_Det!P84:P87)</f>
        <v>0</v>
      </c>
    </row>
    <row r="104" spans="2:23" x14ac:dyDescent="0.3">
      <c r="B104" t="str">
        <f>STN_4</f>
        <v>WOTS22</v>
      </c>
      <c r="C104" s="6">
        <f t="shared" si="96"/>
        <v>2451.6695017035458</v>
      </c>
      <c r="D104" s="6">
        <f t="shared" si="89"/>
        <v>386.17141593135534</v>
      </c>
      <c r="E104" s="6">
        <f t="shared" si="90"/>
        <v>0</v>
      </c>
      <c r="F104" s="6">
        <f t="shared" si="91"/>
        <v>644.6660986671493</v>
      </c>
      <c r="G104" s="6">
        <f t="shared" si="92"/>
        <v>193.40121102749913</v>
      </c>
      <c r="H104" s="139">
        <f t="shared" si="93"/>
        <v>3675.9082273295498</v>
      </c>
      <c r="I104" s="14"/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139">
        <f t="shared" si="94"/>
        <v>0</v>
      </c>
      <c r="Q104" s="6">
        <f>SUM(WOTS22_Det!K83:K86)</f>
        <v>2451.6695017035458</v>
      </c>
      <c r="R104" s="6">
        <f>SUM(WOTS22_Det!L83:L86)</f>
        <v>386.17141593135534</v>
      </c>
      <c r="S104" s="6">
        <f>SUM(WOTS22_Det!M83:M86)</f>
        <v>0</v>
      </c>
      <c r="T104" s="6">
        <f>SUM(WOTS22_Det!N83:N86)</f>
        <v>644.6660986671493</v>
      </c>
      <c r="U104" s="6">
        <f>SUM(WOTS22_Det!O83:O86)</f>
        <v>193.40121102749913</v>
      </c>
      <c r="V104" s="6">
        <f t="shared" si="95"/>
        <v>3675.9082273295498</v>
      </c>
      <c r="W104" s="19">
        <f>V104-SUM(WOTS22_Det!P83:P86)</f>
        <v>0</v>
      </c>
    </row>
    <row r="105" spans="2:23" x14ac:dyDescent="0.3">
      <c r="B105" t="str">
        <f>STN_5</f>
        <v>MOE</v>
      </c>
      <c r="C105" s="6">
        <f t="shared" si="96"/>
        <v>1472.3315837466523</v>
      </c>
      <c r="D105" s="6">
        <f t="shared" si="89"/>
        <v>229.36178893505803</v>
      </c>
      <c r="E105" s="6">
        <f t="shared" si="90"/>
        <v>5.4968692449355441</v>
      </c>
      <c r="F105" s="6">
        <f t="shared" si="91"/>
        <v>719.41725358109795</v>
      </c>
      <c r="G105" s="6">
        <f t="shared" si="92"/>
        <v>113.63848607109981</v>
      </c>
      <c r="H105" s="139">
        <f t="shared" si="93"/>
        <v>2540.2459815788434</v>
      </c>
      <c r="I105" s="14"/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139">
        <f t="shared" si="94"/>
        <v>0</v>
      </c>
      <c r="Q105" s="6">
        <f>SUM(MOE_Det!K87:K90)</f>
        <v>1472.3315837466523</v>
      </c>
      <c r="R105" s="6">
        <f>SUM(MOE_Det!L87:L90)</f>
        <v>229.36178893505803</v>
      </c>
      <c r="S105" s="6">
        <f>SUM(MOE_Det!M87:M90)</f>
        <v>5.4968692449355441</v>
      </c>
      <c r="T105" s="6">
        <f>SUM(MOE_Det!N87:N90)</f>
        <v>719.41725358109795</v>
      </c>
      <c r="U105" s="6">
        <f>SUM(MOE_Det!O87:O90)</f>
        <v>113.63848607109981</v>
      </c>
      <c r="V105" s="6">
        <f t="shared" si="95"/>
        <v>2540.2459815788434</v>
      </c>
      <c r="W105" s="19">
        <f>V105-SUM(MOE_Det!P87:P90)</f>
        <v>0</v>
      </c>
    </row>
    <row r="106" spans="2:23" x14ac:dyDescent="0.3">
      <c r="B106" t="str">
        <f>STN_6</f>
        <v>BGE</v>
      </c>
      <c r="C106" s="6">
        <f t="shared" si="96"/>
        <v>1448.2872399278506</v>
      </c>
      <c r="D106" s="6">
        <f t="shared" si="89"/>
        <v>242.74559975464638</v>
      </c>
      <c r="E106" s="6">
        <f t="shared" si="90"/>
        <v>5.4968692449355441</v>
      </c>
      <c r="F106" s="6">
        <f t="shared" si="91"/>
        <v>715.03636563051077</v>
      </c>
      <c r="G106" s="6">
        <f t="shared" si="92"/>
        <v>113.35003317658189</v>
      </c>
      <c r="H106" s="139">
        <f t="shared" si="93"/>
        <v>2524.9161077345252</v>
      </c>
      <c r="I106" s="14"/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139">
        <f t="shared" si="94"/>
        <v>0</v>
      </c>
      <c r="Q106" s="6">
        <f>SUM(BGE_Det!K88:K91)</f>
        <v>1448.2872399278506</v>
      </c>
      <c r="R106" s="6">
        <f>SUM(BGE_Det!L88:L91)</f>
        <v>242.74559975464638</v>
      </c>
      <c r="S106" s="6">
        <f>SUM(BGE_Det!M88:M91)</f>
        <v>5.4968692449355441</v>
      </c>
      <c r="T106" s="6">
        <f>SUM(BGE_Det!N88:N91)</f>
        <v>715.03636563051077</v>
      </c>
      <c r="U106" s="6">
        <f>SUM(BGE_Det!O88:O91)</f>
        <v>113.35003317658189</v>
      </c>
      <c r="V106" s="6">
        <f t="shared" si="95"/>
        <v>2524.9161077345252</v>
      </c>
      <c r="W106" s="19">
        <f>V106-SUM(BGE_Det!P88:P91)</f>
        <v>0</v>
      </c>
    </row>
    <row r="107" spans="2:23" x14ac:dyDescent="0.3">
      <c r="B107" t="str">
        <f>STN_7</f>
        <v>LDL</v>
      </c>
      <c r="C107" s="6">
        <f t="shared" si="96"/>
        <v>2402.255961419582</v>
      </c>
      <c r="D107" s="6">
        <f t="shared" si="89"/>
        <v>388.58942093814397</v>
      </c>
      <c r="E107" s="6">
        <f t="shared" si="90"/>
        <v>0</v>
      </c>
      <c r="F107" s="6">
        <f t="shared" si="91"/>
        <v>943.06265776772034</v>
      </c>
      <c r="G107" s="6">
        <f t="shared" si="92"/>
        <v>182.85784723767361</v>
      </c>
      <c r="H107" s="139">
        <f t="shared" si="93"/>
        <v>3916.7658873631199</v>
      </c>
      <c r="I107" s="14"/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139">
        <f t="shared" si="94"/>
        <v>0</v>
      </c>
      <c r="Q107" s="6">
        <f>SUM(LDL_Det!K85:K88)</f>
        <v>2402.255961419582</v>
      </c>
      <c r="R107" s="6">
        <f>SUM(LDL_Det!L85:L88)</f>
        <v>388.58942093814397</v>
      </c>
      <c r="S107" s="6">
        <f>SUM(LDL_Det!M85:M88)</f>
        <v>0</v>
      </c>
      <c r="T107" s="6">
        <f>SUM(LDL_Det!N85:N88)</f>
        <v>943.06265776772034</v>
      </c>
      <c r="U107" s="6">
        <f>SUM(LDL_Det!O85:O88)</f>
        <v>182.85784723767361</v>
      </c>
      <c r="V107" s="6">
        <f t="shared" si="95"/>
        <v>3916.7658873631199</v>
      </c>
      <c r="W107" s="19">
        <f>V107-SUM(LDL_Det!P85:P88)</f>
        <v>0</v>
      </c>
    </row>
    <row r="108" spans="2:23" x14ac:dyDescent="0.3">
      <c r="B108" t="str">
        <f>STN_8</f>
        <v>BDL</v>
      </c>
      <c r="C108" s="6">
        <f t="shared" si="96"/>
        <v>0</v>
      </c>
      <c r="D108" s="6">
        <f t="shared" si="89"/>
        <v>0</v>
      </c>
      <c r="E108" s="6">
        <f t="shared" si="90"/>
        <v>0</v>
      </c>
      <c r="F108" s="6">
        <f t="shared" si="91"/>
        <v>0</v>
      </c>
      <c r="G108" s="6">
        <f t="shared" si="92"/>
        <v>0</v>
      </c>
      <c r="H108" s="139">
        <f t="shared" si="93"/>
        <v>0</v>
      </c>
      <c r="I108" s="14"/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139">
        <f t="shared" si="94"/>
        <v>0</v>
      </c>
      <c r="Q108" s="6">
        <f>SUM(BDL_Det!K84:K87)</f>
        <v>0</v>
      </c>
      <c r="R108" s="6">
        <f>SUM(BDL_Det!L84:L87)</f>
        <v>0</v>
      </c>
      <c r="S108" s="6">
        <f>SUM(BDL_Det!M84:M87)</f>
        <v>0</v>
      </c>
      <c r="T108" s="6">
        <f>SUM(BDL_Det!N84:N87)</f>
        <v>0</v>
      </c>
      <c r="U108" s="6">
        <f>SUM(BDL_Det!O84:O87)</f>
        <v>0</v>
      </c>
      <c r="V108" s="6">
        <f t="shared" si="95"/>
        <v>0</v>
      </c>
      <c r="W108" s="19">
        <f>V108-SUM(BDL_Det!P84:P87)</f>
        <v>0</v>
      </c>
    </row>
    <row r="109" spans="2:23" x14ac:dyDescent="0.3">
      <c r="B109" t="str">
        <f>STN_9</f>
        <v>[spare]</v>
      </c>
      <c r="C109" s="6">
        <f t="shared" si="96"/>
        <v>0</v>
      </c>
      <c r="D109" s="6">
        <f t="shared" si="89"/>
        <v>0</v>
      </c>
      <c r="E109" s="6">
        <f t="shared" si="90"/>
        <v>0</v>
      </c>
      <c r="F109" s="6">
        <f t="shared" si="91"/>
        <v>0</v>
      </c>
      <c r="G109" s="6">
        <f t="shared" si="92"/>
        <v>0</v>
      </c>
      <c r="H109" s="139">
        <f t="shared" si="93"/>
        <v>0</v>
      </c>
      <c r="I109" s="14"/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139">
        <f t="shared" si="94"/>
        <v>0</v>
      </c>
      <c r="Q109" s="6">
        <f>SUM(Spare!K83:K86)</f>
        <v>0</v>
      </c>
      <c r="R109" s="6">
        <f>SUM(Spare!L83:L86)</f>
        <v>0</v>
      </c>
      <c r="S109" s="6">
        <f>SUM(Spare!M83:M86)</f>
        <v>0</v>
      </c>
      <c r="T109" s="6">
        <f>SUM(Spare!N83:N86)</f>
        <v>0</v>
      </c>
      <c r="U109" s="6">
        <f>SUM(Spare!O83:O86)</f>
        <v>0</v>
      </c>
      <c r="V109" s="6">
        <f t="shared" si="95"/>
        <v>0</v>
      </c>
      <c r="W109" s="19">
        <f>V109-SUM(Spare!P83:P86)</f>
        <v>0</v>
      </c>
    </row>
    <row r="110" spans="2:23" x14ac:dyDescent="0.3">
      <c r="B110" t="s">
        <v>6</v>
      </c>
      <c r="C110" s="21">
        <f>SUM(C101:C109)</f>
        <v>8915.4065626171705</v>
      </c>
      <c r="D110" s="21">
        <f t="shared" ref="D110:H110" si="97">SUM(D101:D109)</f>
        <v>1453.0852630660129</v>
      </c>
      <c r="E110" s="21">
        <f t="shared" si="97"/>
        <v>43.974953959484353</v>
      </c>
      <c r="F110" s="21">
        <f t="shared" si="97"/>
        <v>3459.0896990912388</v>
      </c>
      <c r="G110" s="21">
        <f t="shared" si="97"/>
        <v>727.72408402330154</v>
      </c>
      <c r="H110" s="21">
        <f t="shared" si="97"/>
        <v>14599.280562757209</v>
      </c>
      <c r="J110" s="12">
        <f>SUM(J101:J109)</f>
        <v>0</v>
      </c>
      <c r="K110" s="12">
        <f t="shared" ref="K110:O110" si="98">SUM(K101:K109)</f>
        <v>0</v>
      </c>
      <c r="L110" s="12">
        <f t="shared" si="98"/>
        <v>0</v>
      </c>
      <c r="M110" s="12">
        <f t="shared" si="98"/>
        <v>0</v>
      </c>
      <c r="N110" s="12">
        <f t="shared" si="98"/>
        <v>0</v>
      </c>
      <c r="O110" s="12">
        <f t="shared" si="98"/>
        <v>0</v>
      </c>
      <c r="Q110" s="21">
        <f>SUM(Q101:Q109)</f>
        <v>8915.4065626171705</v>
      </c>
      <c r="R110" s="21">
        <f t="shared" ref="R110" si="99">SUM(R101:R109)</f>
        <v>1453.0852630660129</v>
      </c>
      <c r="S110" s="21">
        <f t="shared" ref="S110" si="100">SUM(S101:S109)</f>
        <v>43.974953959484353</v>
      </c>
      <c r="T110" s="21">
        <f t="shared" ref="T110" si="101">SUM(T101:T109)</f>
        <v>3459.0896990912388</v>
      </c>
      <c r="U110" s="21">
        <f t="shared" ref="U110" si="102">SUM(U101:U109)</f>
        <v>727.72408402330154</v>
      </c>
      <c r="V110" s="21">
        <f t="shared" ref="V110" si="103">SUM(V101:V109)</f>
        <v>14599.280562757209</v>
      </c>
      <c r="W110" s="415"/>
    </row>
    <row r="111" spans="2:23" x14ac:dyDescent="0.3">
      <c r="Q111" s="170"/>
      <c r="R111" s="170"/>
      <c r="S111" s="170"/>
      <c r="T111" s="170"/>
      <c r="U111" s="170"/>
      <c r="V111" s="170"/>
    </row>
    <row r="112" spans="2:23" x14ac:dyDescent="0.3">
      <c r="Q112" s="397"/>
      <c r="R112" s="397"/>
      <c r="S112" s="397"/>
      <c r="T112" s="397"/>
      <c r="U112" s="397"/>
    </row>
    <row r="113" spans="2:23" x14ac:dyDescent="0.3">
      <c r="B113" s="25" t="s">
        <v>630</v>
      </c>
      <c r="C113" s="600" t="s">
        <v>598</v>
      </c>
      <c r="D113" s="600"/>
      <c r="E113" s="600"/>
      <c r="F113" s="600"/>
      <c r="G113" s="600"/>
      <c r="H113" s="600"/>
      <c r="I113" s="25"/>
      <c r="J113" s="600" t="s">
        <v>599</v>
      </c>
      <c r="K113" s="600"/>
      <c r="L113" s="600"/>
      <c r="M113" s="600"/>
      <c r="N113" s="600"/>
      <c r="O113" s="600"/>
      <c r="Q113" s="601" t="s">
        <v>103</v>
      </c>
      <c r="R113" s="601"/>
      <c r="S113" s="601"/>
      <c r="T113" s="601"/>
      <c r="U113" s="601"/>
      <c r="V113" s="601"/>
    </row>
    <row r="114" spans="2:23" ht="28.8" x14ac:dyDescent="0.3">
      <c r="C114" s="518" t="s">
        <v>135</v>
      </c>
      <c r="D114" s="518" t="s">
        <v>49</v>
      </c>
      <c r="E114" s="13" t="s">
        <v>136</v>
      </c>
      <c r="F114" s="13" t="s">
        <v>137</v>
      </c>
      <c r="G114" s="518" t="s">
        <v>60</v>
      </c>
      <c r="H114" s="13" t="s">
        <v>138</v>
      </c>
      <c r="J114" s="518" t="s">
        <v>135</v>
      </c>
      <c r="K114" s="518" t="s">
        <v>49</v>
      </c>
      <c r="L114" s="13" t="s">
        <v>136</v>
      </c>
      <c r="M114" s="13" t="s">
        <v>137</v>
      </c>
      <c r="N114" s="518" t="s">
        <v>60</v>
      </c>
      <c r="O114" s="13" t="s">
        <v>138</v>
      </c>
      <c r="Q114" s="173" t="s">
        <v>135</v>
      </c>
      <c r="R114" s="173" t="s">
        <v>49</v>
      </c>
      <c r="S114" s="13" t="s">
        <v>136</v>
      </c>
      <c r="T114" s="13" t="s">
        <v>137</v>
      </c>
      <c r="U114" s="173" t="s">
        <v>60</v>
      </c>
      <c r="V114" s="13" t="s">
        <v>138</v>
      </c>
    </row>
    <row r="115" spans="2:23" x14ac:dyDescent="0.3">
      <c r="B115" t="s">
        <v>121</v>
      </c>
      <c r="C115" s="14">
        <v>8920.0159220930218</v>
      </c>
      <c r="D115" s="14">
        <v>1587.2678023255814</v>
      </c>
      <c r="E115" s="14">
        <v>557.79069767441854</v>
      </c>
      <c r="F115" s="14">
        <v>2521.0949581395344</v>
      </c>
      <c r="G115" s="14">
        <v>1133.4990735174417</v>
      </c>
      <c r="H115" s="139">
        <f t="shared" ref="H115:H126" si="104">SUM(C115:G115)</f>
        <v>14719.668453749997</v>
      </c>
      <c r="J115" s="201">
        <v>0</v>
      </c>
      <c r="K115" s="201">
        <v>0</v>
      </c>
      <c r="L115" s="201">
        <v>0</v>
      </c>
      <c r="M115" s="201">
        <v>0</v>
      </c>
      <c r="N115" s="201">
        <v>0</v>
      </c>
      <c r="O115" s="14">
        <f t="shared" ref="O115:O123" si="105">SUM(J115:N115)</f>
        <v>0</v>
      </c>
      <c r="Q115" s="38">
        <v>8920.0159220930218</v>
      </c>
      <c r="R115" s="38">
        <v>1587.2678023255814</v>
      </c>
      <c r="S115" s="38">
        <v>557.79069767441854</v>
      </c>
      <c r="T115" s="38">
        <v>2521.0949581395344</v>
      </c>
      <c r="U115" s="38">
        <v>1133.4990735174417</v>
      </c>
      <c r="V115" s="6">
        <f>SUM(Q115:U115)</f>
        <v>14719.668453749997</v>
      </c>
      <c r="W115" s="186"/>
    </row>
    <row r="116" spans="2:23" x14ac:dyDescent="0.3">
      <c r="B116" t="s">
        <v>550</v>
      </c>
      <c r="C116" s="14">
        <v>310.18047882136284</v>
      </c>
      <c r="D116" s="14">
        <v>0</v>
      </c>
      <c r="E116" s="14">
        <v>0</v>
      </c>
      <c r="F116" s="14">
        <v>0</v>
      </c>
      <c r="G116" s="14">
        <v>0</v>
      </c>
      <c r="H116" s="139">
        <f t="shared" si="104"/>
        <v>310.18047882136284</v>
      </c>
      <c r="J116" s="201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f t="shared" si="105"/>
        <v>0</v>
      </c>
      <c r="Q116" s="38">
        <v>310.18047882136284</v>
      </c>
      <c r="R116" s="38"/>
      <c r="S116" s="38"/>
      <c r="T116" s="38"/>
      <c r="U116" s="38"/>
      <c r="V116" s="6">
        <f>SUM(Q116:U116)</f>
        <v>310.18047882136284</v>
      </c>
      <c r="W116" s="186"/>
    </row>
    <row r="117" spans="2:23" x14ac:dyDescent="0.3">
      <c r="B117" t="s">
        <v>551</v>
      </c>
      <c r="C117" s="14">
        <v>0</v>
      </c>
      <c r="D117" s="14">
        <v>0</v>
      </c>
      <c r="E117" s="14">
        <v>0</v>
      </c>
      <c r="F117" s="14">
        <f>SUM(Other_Capex!D26:H26)</f>
        <v>381.14898710865566</v>
      </c>
      <c r="G117" s="14">
        <v>0</v>
      </c>
      <c r="H117" s="139">
        <f t="shared" si="104"/>
        <v>381.14898710865566</v>
      </c>
      <c r="J117" s="201">
        <v>0</v>
      </c>
      <c r="K117" s="14">
        <v>0</v>
      </c>
      <c r="L117" s="14">
        <v>0</v>
      </c>
      <c r="M117" s="14">
        <f>Other_Capex!O26</f>
        <v>0</v>
      </c>
      <c r="N117" s="14">
        <v>0</v>
      </c>
      <c r="O117" s="14">
        <f t="shared" si="105"/>
        <v>0</v>
      </c>
      <c r="Q117" s="38"/>
      <c r="R117" s="38"/>
      <c r="S117" s="38"/>
      <c r="T117" s="38">
        <f>Other_Capex!L26</f>
        <v>381.14898710865566</v>
      </c>
      <c r="U117" s="38"/>
      <c r="V117" s="6">
        <f>SUM(Q117:U117)</f>
        <v>381.14898710865566</v>
      </c>
      <c r="W117" s="186"/>
    </row>
    <row r="118" spans="2:23" x14ac:dyDescent="0.3">
      <c r="B118" t="s">
        <v>106</v>
      </c>
      <c r="C118" s="14">
        <f>SUMPRODUCT(Unit_Rates!I110:I112,Other_Capex!$N$14:$N$16)</f>
        <v>2043.0311441860463</v>
      </c>
      <c r="D118" s="14">
        <f>SUMPRODUCT(Unit_Rates!J110:J112,Other_Capex!$N$14:$N$16)</f>
        <v>0</v>
      </c>
      <c r="E118" s="14">
        <f>SUMPRODUCT(Unit_Rates!K110:K112,Other_Capex!$N$14:$N$16)</f>
        <v>0</v>
      </c>
      <c r="F118" s="14">
        <f>SUMPRODUCT(Unit_Rates!L110:L112,Other_Capex!$N$14:$N$16)</f>
        <v>0</v>
      </c>
      <c r="G118" s="14">
        <f>SUMPRODUCT(Unit_Rates!M110:M112,Other_Capex!$N$14:$N$16)</f>
        <v>0</v>
      </c>
      <c r="H118" s="139">
        <f t="shared" si="104"/>
        <v>2043.0311441860463</v>
      </c>
      <c r="J118" s="14">
        <f>SUMPRODUCT(Unit_Rates!I110:I112,Other_Capex!$O$14:$O$16)</f>
        <v>0</v>
      </c>
      <c r="K118" s="14">
        <f>SUMPRODUCT(Unit_Rates!J110:J112,Other_Capex!$O$14:$O$16)</f>
        <v>0</v>
      </c>
      <c r="L118" s="14">
        <f>SUMPRODUCT(Unit_Rates!K110:K112,Other_Capex!$O$14:$O$16)</f>
        <v>0</v>
      </c>
      <c r="M118" s="14">
        <f>SUMPRODUCT(Unit_Rates!L110:L112,Other_Capex!$O$14:$O$16)</f>
        <v>0</v>
      </c>
      <c r="N118" s="14">
        <f>SUMPRODUCT(Unit_Rates!M110:M112,Other_Capex!$O$14:$O$16)</f>
        <v>0</v>
      </c>
      <c r="O118" s="14">
        <f t="shared" si="105"/>
        <v>0</v>
      </c>
      <c r="Q118" s="38">
        <f>Unit_Rates!I110*Other_Capex!$L$14+Unit_Rates!I111*Other_Capex!$L$15+Unit_Rates!I112*Other_Capex!$L$16</f>
        <v>2043.0311441860463</v>
      </c>
      <c r="R118" s="38">
        <f>Unit_Rates!J110*Other_Capex!$L$14+Unit_Rates!J111*Other_Capex!$L$15+Unit_Rates!J112*Other_Capex!$L$16</f>
        <v>0</v>
      </c>
      <c r="S118" s="38">
        <f>Unit_Rates!K110*Other_Capex!$L$14+Unit_Rates!K111*Other_Capex!$L$15+Unit_Rates!K112*Other_Capex!$L$16</f>
        <v>0</v>
      </c>
      <c r="T118" s="38">
        <f>Unit_Rates!L110*Other_Capex!$L$14+Unit_Rates!L111*Other_Capex!$L$15+Unit_Rates!L112*Other_Capex!$L$16</f>
        <v>0</v>
      </c>
      <c r="U118" s="38">
        <f>Unit_Rates!M110*Other_Capex!$L$14+Unit_Rates!M111*Other_Capex!$L$15+Unit_Rates!M112*Other_Capex!$L$16</f>
        <v>0</v>
      </c>
      <c r="V118" s="6">
        <f t="shared" ref="V118:V123" si="106">SUM(Q118:U118)</f>
        <v>2043.0311441860463</v>
      </c>
      <c r="W118" s="186"/>
    </row>
    <row r="119" spans="2:23" x14ac:dyDescent="0.3">
      <c r="B119" s="472" t="s">
        <v>552</v>
      </c>
      <c r="C119" s="519"/>
      <c r="D119" s="519"/>
      <c r="E119" s="519">
        <f>Other_Capex!N35+Other_Capex!N36</f>
        <v>471.7000920810313</v>
      </c>
      <c r="F119" s="519"/>
      <c r="G119" s="519"/>
      <c r="H119" s="139">
        <f t="shared" si="104"/>
        <v>471.7000920810313</v>
      </c>
      <c r="I119" s="472"/>
      <c r="J119" s="14"/>
      <c r="K119" s="14"/>
      <c r="L119" s="14">
        <f>Other_Capex!O35+Other_Capex!O36</f>
        <v>0</v>
      </c>
      <c r="M119" s="14"/>
      <c r="N119" s="14"/>
      <c r="O119" s="14">
        <f t="shared" si="105"/>
        <v>0</v>
      </c>
      <c r="Q119" s="38"/>
      <c r="R119" s="38"/>
      <c r="S119" s="38">
        <f>Other_Capex!L35+Other_Capex!L36</f>
        <v>471.7000920810313</v>
      </c>
      <c r="T119" s="38"/>
      <c r="U119" s="38"/>
      <c r="V119" s="6">
        <f>SUM(Q119:U119)</f>
        <v>471.7000920810313</v>
      </c>
      <c r="W119" s="187"/>
    </row>
    <row r="120" spans="2:23" x14ac:dyDescent="0.3">
      <c r="B120" s="472" t="s">
        <v>547</v>
      </c>
      <c r="C120" s="519">
        <f>Other_Capex!N39</f>
        <v>269.4447513812155</v>
      </c>
      <c r="D120" s="519">
        <f>Other_Capex!N40</f>
        <v>179.62983425414365</v>
      </c>
      <c r="E120" s="519">
        <v>0</v>
      </c>
      <c r="F120" s="519">
        <f>Other_Capex!N41</f>
        <v>449.0745856353592</v>
      </c>
      <c r="G120" s="519">
        <v>0</v>
      </c>
      <c r="H120" s="139">
        <f t="shared" si="104"/>
        <v>898.1491712707184</v>
      </c>
      <c r="I120" s="472"/>
      <c r="J120" s="14">
        <f>Other_Capex!O39</f>
        <v>0</v>
      </c>
      <c r="K120" s="14">
        <f>Other_Capex!O40</f>
        <v>0</v>
      </c>
      <c r="L120" s="14">
        <v>0</v>
      </c>
      <c r="M120" s="14">
        <f>Other_Capex!O41</f>
        <v>0</v>
      </c>
      <c r="N120" s="14">
        <v>0</v>
      </c>
      <c r="O120" s="14">
        <f t="shared" si="105"/>
        <v>0</v>
      </c>
      <c r="Q120" s="38">
        <f>Other_Capex!L39</f>
        <v>269.4447513812155</v>
      </c>
      <c r="R120" s="38">
        <f>Other_Capex!L40</f>
        <v>179.62983425414365</v>
      </c>
      <c r="S120" s="38"/>
      <c r="T120" s="38">
        <f>Other_Capex!L41</f>
        <v>449.0745856353592</v>
      </c>
      <c r="U120" s="38"/>
      <c r="V120" s="6">
        <f>SUM(Q120:U120)</f>
        <v>898.1491712707184</v>
      </c>
      <c r="W120" s="509"/>
    </row>
    <row r="121" spans="2:23" x14ac:dyDescent="0.3">
      <c r="B121" t="s">
        <v>123</v>
      </c>
      <c r="C121" s="6">
        <v>0</v>
      </c>
      <c r="D121" s="6">
        <f>Other_Capex!N29</f>
        <v>0</v>
      </c>
      <c r="E121" s="6">
        <v>0</v>
      </c>
      <c r="F121" s="6">
        <f>Other_Capex!N30</f>
        <v>0</v>
      </c>
      <c r="G121" s="6">
        <v>0</v>
      </c>
      <c r="H121" s="139">
        <f t="shared" si="104"/>
        <v>0</v>
      </c>
      <c r="J121" s="14"/>
      <c r="K121" s="14">
        <f>Other_Capex!O29</f>
        <v>0</v>
      </c>
      <c r="L121" s="14"/>
      <c r="M121" s="14">
        <f>Other_Capex!O30</f>
        <v>0</v>
      </c>
      <c r="N121" s="14"/>
      <c r="O121" s="14">
        <f t="shared" si="105"/>
        <v>0</v>
      </c>
      <c r="Q121" s="38">
        <v>0</v>
      </c>
      <c r="R121" s="38">
        <f>Other_Capex!L29</f>
        <v>0</v>
      </c>
      <c r="S121" s="38">
        <v>0</v>
      </c>
      <c r="T121" s="38">
        <f>Other_Capex!L30</f>
        <v>0</v>
      </c>
      <c r="U121" s="38">
        <v>0</v>
      </c>
      <c r="V121" s="6">
        <f t="shared" si="106"/>
        <v>0</v>
      </c>
      <c r="W121" s="187"/>
    </row>
    <row r="122" spans="2:23" x14ac:dyDescent="0.3">
      <c r="B122" t="s">
        <v>548</v>
      </c>
      <c r="C122" s="6">
        <v>0</v>
      </c>
      <c r="D122" s="6">
        <f>Other_Capex!N31</f>
        <v>246.996614437788</v>
      </c>
      <c r="E122" s="6">
        <v>0</v>
      </c>
      <c r="F122" s="6">
        <v>0</v>
      </c>
      <c r="G122" s="6">
        <v>0</v>
      </c>
      <c r="H122" s="139">
        <f t="shared" si="104"/>
        <v>246.996614437788</v>
      </c>
      <c r="J122" s="14"/>
      <c r="K122" s="14">
        <f>Other_Capex!O31</f>
        <v>0</v>
      </c>
      <c r="L122" s="14"/>
      <c r="M122" s="14"/>
      <c r="N122" s="14"/>
      <c r="O122" s="14">
        <f t="shared" si="105"/>
        <v>0</v>
      </c>
      <c r="Q122" s="38"/>
      <c r="R122" s="38">
        <f>Other_Capex!L31</f>
        <v>246.996614437788</v>
      </c>
      <c r="S122" s="38"/>
      <c r="T122" s="38"/>
      <c r="U122" s="38"/>
      <c r="V122" s="6">
        <f t="shared" si="106"/>
        <v>246.996614437788</v>
      </c>
      <c r="W122" s="187"/>
    </row>
    <row r="123" spans="2:23" x14ac:dyDescent="0.3">
      <c r="B123" s="45" t="s">
        <v>456</v>
      </c>
      <c r="C123" s="201">
        <f>SUMPRODUCT(Unit_Rates!I69:I70,Other_Capex!$N$19:$N$20)</f>
        <v>0</v>
      </c>
      <c r="D123" s="201">
        <f>SUMPRODUCT(Unit_Rates!J69:J70,Other_Capex!$N$19:$N$20)+Other_Capex!N44</f>
        <v>0</v>
      </c>
      <c r="E123" s="201">
        <f>SUMPRODUCT(Unit_Rates!K69:K70,Other_Capex!$N$19:$N$20)</f>
        <v>0</v>
      </c>
      <c r="F123" s="201">
        <f>SUMPRODUCT(Unit_Rates!L69:L70,Other_Capex!$N$19:$N$20)</f>
        <v>0</v>
      </c>
      <c r="G123" s="201">
        <f>SUMPRODUCT(Unit_Rates!M69:M70,Other_Capex!$N$19:$N$20)</f>
        <v>0</v>
      </c>
      <c r="H123" s="139">
        <f t="shared" si="104"/>
        <v>0</v>
      </c>
      <c r="I123" s="45"/>
      <c r="J123" s="201">
        <f>SUMPRODUCT(Unit_Rates!I69:I70,Other_Capex!$O$19:$O$20)</f>
        <v>0</v>
      </c>
      <c r="K123" s="201">
        <f>SUMPRODUCT(Unit_Rates!J69:J70,Other_Capex!$O$19:$O$20)+Other_Capex!O44</f>
        <v>0</v>
      </c>
      <c r="L123" s="201">
        <f>SUMPRODUCT(Unit_Rates!K69:K70,Other_Capex!$O$19:$O$20)</f>
        <v>0</v>
      </c>
      <c r="M123" s="201">
        <f>SUMPRODUCT(Unit_Rates!L69:L70,Other_Capex!$O$19:$O$20)</f>
        <v>0</v>
      </c>
      <c r="N123" s="201">
        <f>SUMPRODUCT(Unit_Rates!M69:M70,Other_Capex!$O$19:$O$20)</f>
        <v>0</v>
      </c>
      <c r="O123" s="14">
        <f t="shared" si="105"/>
        <v>0</v>
      </c>
      <c r="Q123" s="38">
        <f>Unit_Rates!E69*Other_Capex!L19+Unit_Rates!E70*Other_Capex!L20</f>
        <v>0</v>
      </c>
      <c r="R123" s="38">
        <f>Other_Capex!L44</f>
        <v>0</v>
      </c>
      <c r="S123" s="38"/>
      <c r="T123" s="38"/>
      <c r="U123" s="38"/>
      <c r="V123" s="38">
        <f t="shared" si="106"/>
        <v>0</v>
      </c>
      <c r="W123" s="187"/>
    </row>
    <row r="124" spans="2:23" x14ac:dyDescent="0.3">
      <c r="B124" s="472" t="s">
        <v>536</v>
      </c>
      <c r="C124" s="519">
        <f>Unit_Rates!I78*SUM(Other_Capex!$D9:$H9)</f>
        <v>0</v>
      </c>
      <c r="D124" s="519">
        <f>Unit_Rates!J78*SUM(Other_Capex!$D9:$H9)</f>
        <v>375.45580110497235</v>
      </c>
      <c r="E124" s="519">
        <f>Unit_Rates!K78*SUM(Other_Capex!$D9:$H9)</f>
        <v>0</v>
      </c>
      <c r="F124" s="519">
        <f>Unit_Rates!L78*SUM(Other_Capex!$D9:$H9)</f>
        <v>0</v>
      </c>
      <c r="G124" s="519">
        <f>Unit_Rates!M78*SUM(Other_Capex!$D9:$H9)</f>
        <v>0</v>
      </c>
      <c r="H124" s="139">
        <f t="shared" si="104"/>
        <v>375.45580110497235</v>
      </c>
      <c r="I124" s="472"/>
      <c r="J124" s="201">
        <f>Unit_Rates!I78*SUM(Other_Capex!$I9:$K9)</f>
        <v>0</v>
      </c>
      <c r="K124" s="201">
        <f>Unit_Rates!J78*SUM(Other_Capex!$I9:$K9)</f>
        <v>1126.3674033149171</v>
      </c>
      <c r="L124" s="201">
        <f>Unit_Rates!K78*SUM(Other_Capex!$I9:$K9)</f>
        <v>0</v>
      </c>
      <c r="M124" s="201">
        <f>Unit_Rates!L78*SUM(Other_Capex!$I9:$K9)</f>
        <v>0</v>
      </c>
      <c r="N124" s="201">
        <f>Unit_Rates!M78*SUM(Other_Capex!$I9:$K9)</f>
        <v>0</v>
      </c>
      <c r="O124" s="14">
        <f>SUM(J124:N124)</f>
        <v>1126.3674033149171</v>
      </c>
      <c r="Q124" s="38">
        <f>Unit_Rates!I78*Other_Capex!$L9</f>
        <v>0</v>
      </c>
      <c r="R124" s="38">
        <f>Unit_Rates!J78*Other_Capex!$L9</f>
        <v>1501.8232044198894</v>
      </c>
      <c r="S124" s="38">
        <f>Unit_Rates!K78*Other_Capex!$L9</f>
        <v>0</v>
      </c>
      <c r="T124" s="38">
        <f>Unit_Rates!L78*Other_Capex!$L9</f>
        <v>0</v>
      </c>
      <c r="U124" s="38">
        <f>Unit_Rates!M78*Other_Capex!$L9</f>
        <v>0</v>
      </c>
      <c r="V124" s="6">
        <f t="shared" ref="V124:V126" si="107">SUM(Q124:U124)</f>
        <v>1501.8232044198894</v>
      </c>
      <c r="W124" s="186"/>
    </row>
    <row r="125" spans="2:23" x14ac:dyDescent="0.3">
      <c r="B125" s="472" t="s">
        <v>537</v>
      </c>
      <c r="C125" s="519">
        <f>Unit_Rates!I79*SUM(Other_Capex!$D10:$H10)</f>
        <v>149.6915285451197</v>
      </c>
      <c r="D125" s="519">
        <f>Unit_Rates!J79*SUM(Other_Capex!$D10:$H10)</f>
        <v>0</v>
      </c>
      <c r="E125" s="519">
        <f>Unit_Rates!K79*SUM(Other_Capex!$D10:$H10)</f>
        <v>0</v>
      </c>
      <c r="F125" s="519">
        <f>Unit_Rates!L79*SUM(Other_Capex!$D10:$H10)</f>
        <v>486.49746777163904</v>
      </c>
      <c r="G125" s="519">
        <f>Unit_Rates!M79*SUM(Other_Capex!$D10:$H10)</f>
        <v>0</v>
      </c>
      <c r="H125" s="139">
        <f t="shared" si="104"/>
        <v>636.18899631675868</v>
      </c>
      <c r="I125" s="472"/>
      <c r="J125" s="201">
        <f>Unit_Rates!I79*SUM(Other_Capex!$I10:$K10)</f>
        <v>449.07458563535914</v>
      </c>
      <c r="K125" s="201">
        <f>Unit_Rates!J79*SUM(Other_Capex!$I10:$K10)</f>
        <v>0</v>
      </c>
      <c r="L125" s="201">
        <f>Unit_Rates!K79*SUM(Other_Capex!$I10:$K10)</f>
        <v>0</v>
      </c>
      <c r="M125" s="201">
        <f>Unit_Rates!L79*SUM(Other_Capex!$I10:$K10)</f>
        <v>1459.4924033149171</v>
      </c>
      <c r="N125" s="201">
        <f>Unit_Rates!M79*SUM(Other_Capex!$I10:$K10)</f>
        <v>0</v>
      </c>
      <c r="O125" s="14">
        <f t="shared" ref="O125:O126" si="108">SUM(J125:N125)</f>
        <v>1908.5669889502763</v>
      </c>
      <c r="Q125" s="38">
        <f>Unit_Rates!I79*Other_Capex!$L10</f>
        <v>598.76611418047878</v>
      </c>
      <c r="R125" s="38">
        <f>Unit_Rates!J79*Other_Capex!$L10</f>
        <v>0</v>
      </c>
      <c r="S125" s="38">
        <f>Unit_Rates!K79*Other_Capex!$L10</f>
        <v>0</v>
      </c>
      <c r="T125" s="38">
        <f>Unit_Rates!L79*Other_Capex!$L10</f>
        <v>1945.9898710865561</v>
      </c>
      <c r="U125" s="38">
        <f>Unit_Rates!M79*Other_Capex!$L10</f>
        <v>0</v>
      </c>
      <c r="V125" s="6">
        <f t="shared" si="107"/>
        <v>2544.7559852670347</v>
      </c>
      <c r="W125" s="186"/>
    </row>
    <row r="126" spans="2:23" x14ac:dyDescent="0.3">
      <c r="B126" s="472" t="s">
        <v>538</v>
      </c>
      <c r="C126" s="519">
        <f>Unit_Rates!I80*SUM(Other_Capex!$D11:$H11)</f>
        <v>284.88015653775324</v>
      </c>
      <c r="D126" s="519">
        <f>Unit_Rates!J80*SUM(Other_Capex!$D11:$H11)</f>
        <v>0</v>
      </c>
      <c r="E126" s="519">
        <f>Unit_Rates!K80*SUM(Other_Capex!$D11:$H11)</f>
        <v>0</v>
      </c>
      <c r="F126" s="519">
        <f>Unit_Rates!L80*SUM(Other_Capex!$D11:$H11)</f>
        <v>412.67739476058927</v>
      </c>
      <c r="G126" s="519">
        <f>Unit_Rates!M80*SUM(Other_Capex!$D11:$H11)</f>
        <v>0</v>
      </c>
      <c r="H126" s="139">
        <f t="shared" si="104"/>
        <v>697.55755129834256</v>
      </c>
      <c r="I126" s="472"/>
      <c r="J126" s="201">
        <f>Unit_Rates!I80*SUM(Other_Capex!$I11:$K11)</f>
        <v>854.64046961325971</v>
      </c>
      <c r="K126" s="201">
        <f>Unit_Rates!J80*SUM(Other_Capex!$I11:$K11)</f>
        <v>0</v>
      </c>
      <c r="L126" s="201">
        <f>Unit_Rates!K80*SUM(Other_Capex!$I11:$K11)</f>
        <v>0</v>
      </c>
      <c r="M126" s="201">
        <f>Unit_Rates!L80*SUM(Other_Capex!$I11:$K11)</f>
        <v>1238.0321842817677</v>
      </c>
      <c r="N126" s="201">
        <f>Unit_Rates!M80*SUM(Other_Capex!$I11:$K11)</f>
        <v>0</v>
      </c>
      <c r="O126" s="14">
        <f t="shared" si="108"/>
        <v>2092.6726538950275</v>
      </c>
      <c r="Q126" s="38">
        <f>Unit_Rates!I80*Other_Capex!$L11</f>
        <v>1139.5206261510129</v>
      </c>
      <c r="R126" s="38">
        <f>Unit_Rates!J80*Other_Capex!$L11</f>
        <v>0</v>
      </c>
      <c r="S126" s="38">
        <f>Unit_Rates!K80*Other_Capex!$L11</f>
        <v>0</v>
      </c>
      <c r="T126" s="38">
        <f>Unit_Rates!L80*Other_Capex!$L11</f>
        <v>1650.7095790423571</v>
      </c>
      <c r="U126" s="38">
        <f>Unit_Rates!M80*Other_Capex!$L11</f>
        <v>0</v>
      </c>
      <c r="V126" s="6">
        <f t="shared" si="107"/>
        <v>2790.2302051933702</v>
      </c>
      <c r="W126" s="186"/>
    </row>
    <row r="127" spans="2:23" x14ac:dyDescent="0.3">
      <c r="B127" t="s">
        <v>6</v>
      </c>
      <c r="C127" s="21">
        <f t="shared" ref="C127:H127" si="109">SUM(C115:C126)</f>
        <v>11977.243981564519</v>
      </c>
      <c r="D127" s="21">
        <f t="shared" si="109"/>
        <v>2389.3500521224851</v>
      </c>
      <c r="E127" s="21">
        <f t="shared" si="109"/>
        <v>1029.4907897554499</v>
      </c>
      <c r="F127" s="21">
        <f t="shared" si="109"/>
        <v>4250.4933934157771</v>
      </c>
      <c r="G127" s="21">
        <f t="shared" si="109"/>
        <v>1133.4990735174417</v>
      </c>
      <c r="H127" s="21">
        <f t="shared" si="109"/>
        <v>20780.077290375673</v>
      </c>
      <c r="J127" s="21">
        <f t="shared" ref="J127:O127" si="110">SUM(J115:J126)</f>
        <v>1303.7150552486189</v>
      </c>
      <c r="K127" s="21">
        <f t="shared" si="110"/>
        <v>1126.3674033149171</v>
      </c>
      <c r="L127" s="21">
        <f t="shared" si="110"/>
        <v>0</v>
      </c>
      <c r="M127" s="21">
        <f t="shared" si="110"/>
        <v>2697.5245875966848</v>
      </c>
      <c r="N127" s="21">
        <f t="shared" si="110"/>
        <v>0</v>
      </c>
      <c r="O127" s="21">
        <f t="shared" si="110"/>
        <v>5127.6070461602212</v>
      </c>
      <c r="Q127" s="21">
        <f>SUM(Q115:Q126)</f>
        <v>13280.959036813139</v>
      </c>
      <c r="R127" s="21">
        <f t="shared" ref="R127:V127" si="111">SUM(R115:R126)</f>
        <v>3515.7174554374024</v>
      </c>
      <c r="S127" s="21">
        <f t="shared" si="111"/>
        <v>1029.4907897554499</v>
      </c>
      <c r="T127" s="21">
        <f t="shared" si="111"/>
        <v>6948.0179810124628</v>
      </c>
      <c r="U127" s="21">
        <f t="shared" si="111"/>
        <v>1133.4990735174417</v>
      </c>
      <c r="V127" s="21">
        <f t="shared" si="111"/>
        <v>25907.684336535891</v>
      </c>
    </row>
    <row r="128" spans="2:23" x14ac:dyDescent="0.3">
      <c r="J128" s="45"/>
      <c r="K128" s="45"/>
      <c r="L128" s="45"/>
      <c r="M128" s="45"/>
      <c r="N128" s="45"/>
    </row>
    <row r="129" spans="2:23" x14ac:dyDescent="0.3">
      <c r="J129" s="45"/>
      <c r="K129" s="45"/>
      <c r="L129" s="45"/>
      <c r="M129" s="45"/>
      <c r="N129" s="45"/>
    </row>
    <row r="130" spans="2:23" x14ac:dyDescent="0.3">
      <c r="B130" s="25" t="s">
        <v>631</v>
      </c>
      <c r="C130" s="600" t="s">
        <v>598</v>
      </c>
      <c r="D130" s="600"/>
      <c r="E130" s="600"/>
      <c r="F130" s="600"/>
      <c r="G130" s="600"/>
      <c r="H130" s="600"/>
      <c r="I130" s="25"/>
      <c r="J130" s="600" t="s">
        <v>599</v>
      </c>
      <c r="K130" s="600"/>
      <c r="L130" s="600"/>
      <c r="M130" s="600"/>
      <c r="N130" s="600"/>
      <c r="O130" s="600"/>
      <c r="Q130" s="601" t="s">
        <v>103</v>
      </c>
      <c r="R130" s="601"/>
      <c r="S130" s="601"/>
      <c r="T130" s="601"/>
      <c r="U130" s="601"/>
      <c r="V130" s="601"/>
    </row>
    <row r="131" spans="2:23" ht="28.8" x14ac:dyDescent="0.3">
      <c r="C131" s="518" t="s">
        <v>135</v>
      </c>
      <c r="D131" s="518" t="s">
        <v>49</v>
      </c>
      <c r="E131" s="13" t="s">
        <v>136</v>
      </c>
      <c r="F131" s="13" t="s">
        <v>137</v>
      </c>
      <c r="G131" s="518" t="s">
        <v>60</v>
      </c>
      <c r="H131" s="13" t="s">
        <v>138</v>
      </c>
      <c r="J131" s="518" t="s">
        <v>135</v>
      </c>
      <c r="K131" s="518" t="s">
        <v>49</v>
      </c>
      <c r="L131" s="13" t="s">
        <v>136</v>
      </c>
      <c r="M131" s="13" t="s">
        <v>137</v>
      </c>
      <c r="N131" s="518" t="s">
        <v>60</v>
      </c>
      <c r="O131" s="13" t="s">
        <v>138</v>
      </c>
      <c r="Q131" s="173" t="s">
        <v>135</v>
      </c>
      <c r="R131" s="173" t="s">
        <v>49</v>
      </c>
      <c r="S131" s="13" t="s">
        <v>136</v>
      </c>
      <c r="T131" s="13" t="s">
        <v>137</v>
      </c>
      <c r="U131" s="173" t="s">
        <v>60</v>
      </c>
      <c r="V131" s="13" t="s">
        <v>138</v>
      </c>
      <c r="W131" s="13" t="s">
        <v>55</v>
      </c>
    </row>
    <row r="132" spans="2:23" x14ac:dyDescent="0.3">
      <c r="B132" t="str">
        <f>STN_1</f>
        <v>RWN</v>
      </c>
      <c r="C132" s="6">
        <f t="shared" ref="C132:G140" si="112">C101+C87+C73+C59+C46+C33+C19+C5</f>
        <v>2348.1269814111738</v>
      </c>
      <c r="D132" s="6">
        <f t="shared" si="112"/>
        <v>1107.5920360112814</v>
      </c>
      <c r="E132" s="6">
        <f t="shared" si="112"/>
        <v>546.09666657410617</v>
      </c>
      <c r="F132" s="6">
        <f t="shared" si="112"/>
        <v>2084.8818273865313</v>
      </c>
      <c r="G132" s="6">
        <f t="shared" si="112"/>
        <v>252.72322053702385</v>
      </c>
      <c r="H132" s="6">
        <f>SUM(C132:G132)</f>
        <v>6339.4207319201159</v>
      </c>
      <c r="J132" s="6">
        <f t="shared" ref="J132:N140" si="113">J101+J87+J73+J59+J46+J33+J19+J5</f>
        <v>0</v>
      </c>
      <c r="K132" s="6">
        <f t="shared" si="113"/>
        <v>0</v>
      </c>
      <c r="L132" s="6">
        <f t="shared" si="113"/>
        <v>0</v>
      </c>
      <c r="M132" s="6">
        <f t="shared" si="113"/>
        <v>0</v>
      </c>
      <c r="N132" s="6">
        <f t="shared" si="113"/>
        <v>0</v>
      </c>
      <c r="O132" s="6">
        <f>SUM(J132:N132)</f>
        <v>0</v>
      </c>
      <c r="Q132" s="6">
        <f t="shared" ref="Q132:U140" si="114">Q101+Q87+Q73+Q59+Q46+Q33+Q19+Q5</f>
        <v>2348.1269814111738</v>
      </c>
      <c r="R132" s="6">
        <f t="shared" si="114"/>
        <v>1107.5920360112814</v>
      </c>
      <c r="S132" s="6">
        <f t="shared" si="114"/>
        <v>546.09666657410617</v>
      </c>
      <c r="T132" s="6">
        <f t="shared" si="114"/>
        <v>2084.8818273865313</v>
      </c>
      <c r="U132" s="6">
        <f t="shared" si="114"/>
        <v>252.72322053702385</v>
      </c>
      <c r="V132" s="6">
        <f>SUM(Q132:U132)</f>
        <v>6339.4207319201159</v>
      </c>
      <c r="W132" s="19">
        <f t="shared" ref="W132:W141" si="115">V132-O132-H132</f>
        <v>0</v>
      </c>
    </row>
    <row r="133" spans="2:23" x14ac:dyDescent="0.3">
      <c r="B133" t="str">
        <f>STN_2</f>
        <v>ELM</v>
      </c>
      <c r="C133" s="6">
        <f t="shared" si="112"/>
        <v>5618.6678379750319</v>
      </c>
      <c r="D133" s="6">
        <f t="shared" si="112"/>
        <v>1902.1867173589053</v>
      </c>
      <c r="E133" s="6">
        <f t="shared" si="112"/>
        <v>886.84086764456003</v>
      </c>
      <c r="F133" s="6">
        <f t="shared" si="112"/>
        <v>4378.8007906825314</v>
      </c>
      <c r="G133" s="6">
        <f t="shared" si="112"/>
        <v>542.2036827409878</v>
      </c>
      <c r="H133" s="6">
        <f t="shared" ref="H133:H141" si="116">SUM(C133:G133)</f>
        <v>13328.699896402017</v>
      </c>
      <c r="J133" s="6">
        <f t="shared" si="113"/>
        <v>0</v>
      </c>
      <c r="K133" s="6">
        <f t="shared" si="113"/>
        <v>0</v>
      </c>
      <c r="L133" s="6">
        <f t="shared" si="113"/>
        <v>0</v>
      </c>
      <c r="M133" s="6">
        <f t="shared" si="113"/>
        <v>42.011618659471495</v>
      </c>
      <c r="N133" s="6">
        <f t="shared" si="113"/>
        <v>18.432776231701574</v>
      </c>
      <c r="O133" s="6">
        <f t="shared" ref="O133:O141" si="117">SUM(J133:N133)</f>
        <v>60.444394891173069</v>
      </c>
      <c r="Q133" s="6">
        <f t="shared" si="114"/>
        <v>5618.6678379750319</v>
      </c>
      <c r="R133" s="6">
        <f t="shared" si="114"/>
        <v>1902.1867173589053</v>
      </c>
      <c r="S133" s="6">
        <f t="shared" si="114"/>
        <v>886.84086764456003</v>
      </c>
      <c r="T133" s="6">
        <f t="shared" si="114"/>
        <v>4420.8124093420029</v>
      </c>
      <c r="U133" s="6">
        <f t="shared" si="114"/>
        <v>560.6364589726893</v>
      </c>
      <c r="V133" s="6">
        <f t="shared" ref="V133:V141" si="118">SUM(Q133:U133)</f>
        <v>13389.144291293189</v>
      </c>
      <c r="W133" s="19">
        <f t="shared" si="115"/>
        <v>0</v>
      </c>
    </row>
    <row r="134" spans="2:23" x14ac:dyDescent="0.3">
      <c r="B134" t="str">
        <f>STN_3</f>
        <v>FGY</v>
      </c>
      <c r="C134" s="6">
        <f t="shared" si="112"/>
        <v>5330.9599829352528</v>
      </c>
      <c r="D134" s="6">
        <f t="shared" si="112"/>
        <v>2027.705229361191</v>
      </c>
      <c r="E134" s="6">
        <f t="shared" si="112"/>
        <v>878.63174261852737</v>
      </c>
      <c r="F134" s="6">
        <f t="shared" si="112"/>
        <v>4723.2958486889856</v>
      </c>
      <c r="G134" s="6">
        <f t="shared" si="112"/>
        <v>459.18954679059425</v>
      </c>
      <c r="H134" s="6">
        <f t="shared" si="116"/>
        <v>13419.782350394551</v>
      </c>
      <c r="J134" s="6">
        <f t="shared" si="113"/>
        <v>0</v>
      </c>
      <c r="K134" s="6">
        <f t="shared" si="113"/>
        <v>38.933125000000004</v>
      </c>
      <c r="L134" s="6">
        <f t="shared" si="113"/>
        <v>0</v>
      </c>
      <c r="M134" s="6">
        <f t="shared" si="113"/>
        <v>56.971141650606015</v>
      </c>
      <c r="N134" s="6">
        <f t="shared" si="113"/>
        <v>18.469487465587388</v>
      </c>
      <c r="O134" s="6">
        <f t="shared" si="117"/>
        <v>114.37375411619341</v>
      </c>
      <c r="Q134" s="6">
        <f t="shared" si="114"/>
        <v>5330.9599829352528</v>
      </c>
      <c r="R134" s="6">
        <f t="shared" si="114"/>
        <v>2066.638354361191</v>
      </c>
      <c r="S134" s="6">
        <f t="shared" si="114"/>
        <v>878.63174261852737</v>
      </c>
      <c r="T134" s="6">
        <f t="shared" si="114"/>
        <v>4780.2669903395918</v>
      </c>
      <c r="U134" s="6">
        <f t="shared" si="114"/>
        <v>477.6590342561816</v>
      </c>
      <c r="V134" s="6">
        <f t="shared" si="118"/>
        <v>13534.156104510743</v>
      </c>
      <c r="W134" s="19">
        <f t="shared" si="115"/>
        <v>0</v>
      </c>
    </row>
    <row r="135" spans="2:23" x14ac:dyDescent="0.3">
      <c r="B135" t="str">
        <f>STN_4</f>
        <v>WOTS22</v>
      </c>
      <c r="C135" s="6">
        <f t="shared" si="112"/>
        <v>7897.4643518937</v>
      </c>
      <c r="D135" s="6">
        <f t="shared" si="112"/>
        <v>2610.0062439600642</v>
      </c>
      <c r="E135" s="6">
        <f t="shared" si="112"/>
        <v>769.62084512322099</v>
      </c>
      <c r="F135" s="6">
        <f t="shared" si="112"/>
        <v>6729.7461280239986</v>
      </c>
      <c r="G135" s="6">
        <f t="shared" si="112"/>
        <v>739.94153572687514</v>
      </c>
      <c r="H135" s="6">
        <f t="shared" si="116"/>
        <v>18746.779104727859</v>
      </c>
      <c r="J135" s="6">
        <f t="shared" si="113"/>
        <v>0</v>
      </c>
      <c r="K135" s="6">
        <f t="shared" si="113"/>
        <v>0</v>
      </c>
      <c r="L135" s="6">
        <f t="shared" si="113"/>
        <v>0</v>
      </c>
      <c r="M135" s="6">
        <f t="shared" si="113"/>
        <v>0</v>
      </c>
      <c r="N135" s="6">
        <f t="shared" si="113"/>
        <v>0</v>
      </c>
      <c r="O135" s="6">
        <f t="shared" si="117"/>
        <v>0</v>
      </c>
      <c r="Q135" s="6">
        <f t="shared" si="114"/>
        <v>7897.4643518937</v>
      </c>
      <c r="R135" s="6">
        <f t="shared" si="114"/>
        <v>2610.0062439600642</v>
      </c>
      <c r="S135" s="6">
        <f t="shared" si="114"/>
        <v>769.62084512322099</v>
      </c>
      <c r="T135" s="6">
        <f t="shared" si="114"/>
        <v>6729.7461280239986</v>
      </c>
      <c r="U135" s="6">
        <f t="shared" si="114"/>
        <v>739.94153572687514</v>
      </c>
      <c r="V135" s="6">
        <f t="shared" si="118"/>
        <v>18746.779104727859</v>
      </c>
      <c r="W135" s="19">
        <f t="shared" si="115"/>
        <v>0</v>
      </c>
    </row>
    <row r="136" spans="2:23" x14ac:dyDescent="0.3">
      <c r="B136" t="str">
        <f>STN_5</f>
        <v>MOE</v>
      </c>
      <c r="C136" s="6">
        <f t="shared" si="112"/>
        <v>7397.17562850797</v>
      </c>
      <c r="D136" s="6">
        <f t="shared" si="112"/>
        <v>2021.0249403810349</v>
      </c>
      <c r="E136" s="6">
        <f t="shared" si="112"/>
        <v>861.53416435080146</v>
      </c>
      <c r="F136" s="6">
        <f t="shared" si="112"/>
        <v>6066.3404784457252</v>
      </c>
      <c r="G136" s="6">
        <f t="shared" si="112"/>
        <v>680.68201161764955</v>
      </c>
      <c r="H136" s="6">
        <f t="shared" si="116"/>
        <v>17026.757223303182</v>
      </c>
      <c r="J136" s="6">
        <f t="shared" si="113"/>
        <v>0</v>
      </c>
      <c r="K136" s="6">
        <f t="shared" si="113"/>
        <v>42.301875000000003</v>
      </c>
      <c r="L136" s="6">
        <f t="shared" si="113"/>
        <v>0</v>
      </c>
      <c r="M136" s="6">
        <f t="shared" si="113"/>
        <v>44.331744602338432</v>
      </c>
      <c r="N136" s="6">
        <f t="shared" si="113"/>
        <v>18.938187381044155</v>
      </c>
      <c r="O136" s="6">
        <f t="shared" si="117"/>
        <v>105.57180698338259</v>
      </c>
      <c r="Q136" s="6">
        <f t="shared" si="114"/>
        <v>7397.17562850797</v>
      </c>
      <c r="R136" s="6">
        <f t="shared" si="114"/>
        <v>2063.326815381035</v>
      </c>
      <c r="S136" s="6">
        <f t="shared" si="114"/>
        <v>861.53416435080146</v>
      </c>
      <c r="T136" s="6">
        <f t="shared" si="114"/>
        <v>6110.6722230480627</v>
      </c>
      <c r="U136" s="6">
        <f t="shared" si="114"/>
        <v>699.6201989986937</v>
      </c>
      <c r="V136" s="6">
        <f t="shared" si="118"/>
        <v>17132.329030286564</v>
      </c>
      <c r="W136" s="19">
        <f t="shared" si="115"/>
        <v>0</v>
      </c>
    </row>
    <row r="137" spans="2:23" x14ac:dyDescent="0.3">
      <c r="B137" t="str">
        <f>STN_6</f>
        <v>BGE</v>
      </c>
      <c r="C137" s="6">
        <f t="shared" si="112"/>
        <v>6627.6711890156266</v>
      </c>
      <c r="D137" s="6">
        <f t="shared" si="112"/>
        <v>1905.35471613407</v>
      </c>
      <c r="E137" s="6">
        <f t="shared" si="112"/>
        <v>736.17737448617117</v>
      </c>
      <c r="F137" s="6">
        <f t="shared" si="112"/>
        <v>5265.5921558878281</v>
      </c>
      <c r="G137" s="6">
        <f t="shared" si="112"/>
        <v>662.91441172529267</v>
      </c>
      <c r="H137" s="6">
        <f t="shared" si="116"/>
        <v>15197.709847248987</v>
      </c>
      <c r="J137" s="6">
        <f t="shared" si="113"/>
        <v>0</v>
      </c>
      <c r="K137" s="6">
        <f t="shared" si="113"/>
        <v>0</v>
      </c>
      <c r="L137" s="6">
        <f t="shared" si="113"/>
        <v>0</v>
      </c>
      <c r="M137" s="6">
        <f t="shared" si="113"/>
        <v>0</v>
      </c>
      <c r="N137" s="6">
        <f t="shared" si="113"/>
        <v>0</v>
      </c>
      <c r="O137" s="6">
        <f t="shared" si="117"/>
        <v>0</v>
      </c>
      <c r="Q137" s="6">
        <f t="shared" si="114"/>
        <v>6627.6711890156266</v>
      </c>
      <c r="R137" s="6">
        <f t="shared" si="114"/>
        <v>1905.35471613407</v>
      </c>
      <c r="S137" s="6">
        <f t="shared" si="114"/>
        <v>736.17737448617117</v>
      </c>
      <c r="T137" s="6">
        <f t="shared" si="114"/>
        <v>5265.5921558878281</v>
      </c>
      <c r="U137" s="6">
        <f t="shared" si="114"/>
        <v>662.91441172529267</v>
      </c>
      <c r="V137" s="6">
        <f t="shared" si="118"/>
        <v>15197.709847248987</v>
      </c>
      <c r="W137" s="19">
        <f t="shared" si="115"/>
        <v>0</v>
      </c>
    </row>
    <row r="138" spans="2:23" x14ac:dyDescent="0.3">
      <c r="B138" t="str">
        <f>STN_7</f>
        <v>LDL</v>
      </c>
      <c r="C138" s="6">
        <f t="shared" si="112"/>
        <v>7238.2425995528602</v>
      </c>
      <c r="D138" s="6">
        <f t="shared" si="112"/>
        <v>1939.2103630300123</v>
      </c>
      <c r="E138" s="6">
        <f t="shared" si="112"/>
        <v>789.46642762929525</v>
      </c>
      <c r="F138" s="6">
        <f t="shared" si="112"/>
        <v>4448.2767033533355</v>
      </c>
      <c r="G138" s="6">
        <f t="shared" si="112"/>
        <v>566.80618744223671</v>
      </c>
      <c r="H138" s="6">
        <f t="shared" si="116"/>
        <v>14982.002281007741</v>
      </c>
      <c r="J138" s="6">
        <f t="shared" si="113"/>
        <v>0</v>
      </c>
      <c r="K138" s="6">
        <f t="shared" si="113"/>
        <v>0</v>
      </c>
      <c r="L138" s="6">
        <f t="shared" si="113"/>
        <v>0</v>
      </c>
      <c r="M138" s="6">
        <f t="shared" si="113"/>
        <v>37.314671882307593</v>
      </c>
      <c r="N138" s="6">
        <f t="shared" si="113"/>
        <v>16.152360762088318</v>
      </c>
      <c r="O138" s="6">
        <f t="shared" si="117"/>
        <v>53.467032644395914</v>
      </c>
      <c r="Q138" s="6">
        <f t="shared" si="114"/>
        <v>7238.2425995528602</v>
      </c>
      <c r="R138" s="6">
        <f t="shared" si="114"/>
        <v>1939.2103630300123</v>
      </c>
      <c r="S138" s="6">
        <f t="shared" si="114"/>
        <v>789.46642762929525</v>
      </c>
      <c r="T138" s="6">
        <f t="shared" si="114"/>
        <v>4485.5913752356437</v>
      </c>
      <c r="U138" s="6">
        <f t="shared" si="114"/>
        <v>582.95854820432498</v>
      </c>
      <c r="V138" s="6">
        <f t="shared" si="118"/>
        <v>15035.469313652138</v>
      </c>
      <c r="W138" s="19">
        <f t="shared" si="115"/>
        <v>0</v>
      </c>
    </row>
    <row r="139" spans="2:23" x14ac:dyDescent="0.3">
      <c r="B139" t="str">
        <f>STN_8</f>
        <v>BDL</v>
      </c>
      <c r="C139" s="6">
        <f t="shared" si="112"/>
        <v>5352.7283175829762</v>
      </c>
      <c r="D139" s="6">
        <f t="shared" si="112"/>
        <v>2101.6909725465648</v>
      </c>
      <c r="E139" s="6">
        <f t="shared" si="112"/>
        <v>891.15868351266909</v>
      </c>
      <c r="F139" s="6">
        <f t="shared" si="112"/>
        <v>5654.7555313390021</v>
      </c>
      <c r="G139" s="6">
        <f t="shared" si="112"/>
        <v>602.07392488735047</v>
      </c>
      <c r="H139" s="6">
        <f t="shared" si="116"/>
        <v>14602.407429868563</v>
      </c>
      <c r="J139" s="6">
        <f t="shared" si="113"/>
        <v>0</v>
      </c>
      <c r="K139" s="6">
        <f t="shared" si="113"/>
        <v>0</v>
      </c>
      <c r="L139" s="6">
        <f t="shared" si="113"/>
        <v>0</v>
      </c>
      <c r="M139" s="6">
        <f t="shared" si="113"/>
        <v>0</v>
      </c>
      <c r="N139" s="6">
        <f t="shared" si="113"/>
        <v>0</v>
      </c>
      <c r="O139" s="6">
        <f t="shared" si="117"/>
        <v>0</v>
      </c>
      <c r="Q139" s="6">
        <f t="shared" si="114"/>
        <v>5352.7283175829762</v>
      </c>
      <c r="R139" s="6">
        <f t="shared" si="114"/>
        <v>2101.6909725465648</v>
      </c>
      <c r="S139" s="6">
        <f t="shared" si="114"/>
        <v>891.15868351266909</v>
      </c>
      <c r="T139" s="6">
        <f t="shared" si="114"/>
        <v>5654.7555313390021</v>
      </c>
      <c r="U139" s="6">
        <f t="shared" si="114"/>
        <v>602.07392488735047</v>
      </c>
      <c r="V139" s="6">
        <f t="shared" si="118"/>
        <v>14602.407429868563</v>
      </c>
      <c r="W139" s="19">
        <f t="shared" si="115"/>
        <v>0</v>
      </c>
    </row>
    <row r="140" spans="2:23" x14ac:dyDescent="0.3">
      <c r="B140" t="str">
        <f>STN_9</f>
        <v>[spare]</v>
      </c>
      <c r="C140" s="6">
        <f t="shared" si="112"/>
        <v>0</v>
      </c>
      <c r="D140" s="6">
        <f t="shared" si="112"/>
        <v>0</v>
      </c>
      <c r="E140" s="6">
        <f t="shared" si="112"/>
        <v>0</v>
      </c>
      <c r="F140" s="6">
        <f t="shared" si="112"/>
        <v>0</v>
      </c>
      <c r="G140" s="6">
        <f t="shared" si="112"/>
        <v>0</v>
      </c>
      <c r="H140" s="6">
        <f t="shared" si="116"/>
        <v>0</v>
      </c>
      <c r="J140" s="6">
        <f t="shared" si="113"/>
        <v>0</v>
      </c>
      <c r="K140" s="6">
        <f t="shared" si="113"/>
        <v>0</v>
      </c>
      <c r="L140" s="6">
        <f t="shared" si="113"/>
        <v>0</v>
      </c>
      <c r="M140" s="6">
        <f t="shared" si="113"/>
        <v>0</v>
      </c>
      <c r="N140" s="6">
        <f t="shared" si="113"/>
        <v>0</v>
      </c>
      <c r="O140" s="6">
        <f t="shared" si="117"/>
        <v>0</v>
      </c>
      <c r="Q140" s="6">
        <f t="shared" si="114"/>
        <v>0</v>
      </c>
      <c r="R140" s="6">
        <f t="shared" si="114"/>
        <v>0</v>
      </c>
      <c r="S140" s="6">
        <f t="shared" si="114"/>
        <v>0</v>
      </c>
      <c r="T140" s="6">
        <f t="shared" si="114"/>
        <v>0</v>
      </c>
      <c r="U140" s="6">
        <f t="shared" si="114"/>
        <v>0</v>
      </c>
      <c r="V140" s="6">
        <f t="shared" si="118"/>
        <v>0</v>
      </c>
      <c r="W140" s="19">
        <f t="shared" si="115"/>
        <v>0</v>
      </c>
    </row>
    <row r="141" spans="2:23" x14ac:dyDescent="0.3">
      <c r="B141" t="s">
        <v>124</v>
      </c>
      <c r="C141" s="6">
        <f>C127</f>
        <v>11977.243981564519</v>
      </c>
      <c r="D141" s="6">
        <f>D127</f>
        <v>2389.3500521224851</v>
      </c>
      <c r="E141" s="6">
        <f>E127</f>
        <v>1029.4907897554499</v>
      </c>
      <c r="F141" s="6">
        <f>F127</f>
        <v>4250.4933934157771</v>
      </c>
      <c r="G141" s="6">
        <f>G127</f>
        <v>1133.4990735174417</v>
      </c>
      <c r="H141" s="6">
        <f t="shared" si="116"/>
        <v>20780.077290375673</v>
      </c>
      <c r="J141" s="6">
        <f>J127</f>
        <v>1303.7150552486189</v>
      </c>
      <c r="K141" s="6">
        <f>K127</f>
        <v>1126.3674033149171</v>
      </c>
      <c r="L141" s="6">
        <f>L127</f>
        <v>0</v>
      </c>
      <c r="M141" s="6">
        <f>M127</f>
        <v>2697.5245875966848</v>
      </c>
      <c r="N141" s="6">
        <f>N127</f>
        <v>0</v>
      </c>
      <c r="O141" s="6">
        <f t="shared" si="117"/>
        <v>5127.6070461602212</v>
      </c>
      <c r="Q141" s="6">
        <f>Q127</f>
        <v>13280.959036813139</v>
      </c>
      <c r="R141" s="6">
        <f>R127</f>
        <v>3515.7174554374024</v>
      </c>
      <c r="S141" s="6">
        <f>S127</f>
        <v>1029.4907897554499</v>
      </c>
      <c r="T141" s="6">
        <f>T127</f>
        <v>6948.0179810124628</v>
      </c>
      <c r="U141" s="6">
        <f>U127</f>
        <v>1133.4990735174417</v>
      </c>
      <c r="V141" s="6">
        <f t="shared" si="118"/>
        <v>25907.684336535902</v>
      </c>
      <c r="W141" s="19">
        <f t="shared" si="115"/>
        <v>0</v>
      </c>
    </row>
    <row r="142" spans="2:23" ht="15" thickBot="1" x14ac:dyDescent="0.35">
      <c r="B142" t="s">
        <v>6</v>
      </c>
      <c r="C142" s="190">
        <f>SUM(C132:C141)</f>
        <v>59788.280870439121</v>
      </c>
      <c r="D142" s="190">
        <f t="shared" ref="D142:H142" si="119">SUM(D132:D141)</f>
        <v>18004.121270905609</v>
      </c>
      <c r="E142" s="190">
        <f t="shared" si="119"/>
        <v>7389.0175616948018</v>
      </c>
      <c r="F142" s="190">
        <f t="shared" si="119"/>
        <v>43602.182857223714</v>
      </c>
      <c r="G142" s="190">
        <f t="shared" si="119"/>
        <v>5640.0335949854516</v>
      </c>
      <c r="H142" s="190">
        <f t="shared" si="119"/>
        <v>134423.63615524868</v>
      </c>
      <c r="J142" s="190">
        <f>SUM(J132:J141)</f>
        <v>1303.7150552486189</v>
      </c>
      <c r="K142" s="190">
        <f t="shared" ref="K142:O142" si="120">SUM(K132:K141)</f>
        <v>1207.602403314917</v>
      </c>
      <c r="L142" s="190">
        <f t="shared" si="120"/>
        <v>0</v>
      </c>
      <c r="M142" s="190">
        <f t="shared" si="120"/>
        <v>2878.1537643914085</v>
      </c>
      <c r="N142" s="190">
        <f t="shared" si="120"/>
        <v>71.992811840421439</v>
      </c>
      <c r="O142" s="190">
        <f t="shared" si="120"/>
        <v>5461.4640347953664</v>
      </c>
      <c r="Q142" s="190">
        <f>SUM(Q132:Q141)</f>
        <v>61091.995925687741</v>
      </c>
      <c r="R142" s="190">
        <f t="shared" ref="R142:V142" si="121">SUM(R132:R141)</f>
        <v>19211.723674220528</v>
      </c>
      <c r="S142" s="190">
        <f t="shared" si="121"/>
        <v>7389.0175616948018</v>
      </c>
      <c r="T142" s="190">
        <f t="shared" si="121"/>
        <v>46480.336621615126</v>
      </c>
      <c r="U142" s="190">
        <f t="shared" si="121"/>
        <v>5712.026406825873</v>
      </c>
      <c r="V142" s="190">
        <f t="shared" si="121"/>
        <v>139885.10019004406</v>
      </c>
    </row>
    <row r="143" spans="2:23" x14ac:dyDescent="0.3">
      <c r="B143" s="209" t="s">
        <v>55</v>
      </c>
      <c r="C143" s="209"/>
      <c r="D143" s="209"/>
      <c r="E143" s="209"/>
      <c r="F143" s="209"/>
      <c r="G143" s="209"/>
      <c r="H143" s="209"/>
      <c r="I143" s="209"/>
      <c r="Q143" s="206">
        <f t="shared" ref="Q143:V143" si="122">Q142-Q127-Q110-Q96-Q82-Q68-Q55-Q42-Q28-Q14</f>
        <v>0</v>
      </c>
      <c r="R143" s="206">
        <f t="shared" si="122"/>
        <v>0</v>
      </c>
      <c r="S143" s="206">
        <f t="shared" si="122"/>
        <v>0</v>
      </c>
      <c r="T143" s="206">
        <f t="shared" si="122"/>
        <v>0</v>
      </c>
      <c r="U143" s="206">
        <f t="shared" si="122"/>
        <v>0</v>
      </c>
      <c r="V143" s="206">
        <f t="shared" si="122"/>
        <v>0</v>
      </c>
    </row>
    <row r="144" spans="2:23" x14ac:dyDescent="0.3">
      <c r="B144" s="25"/>
      <c r="C144" s="25"/>
      <c r="D144" s="349"/>
      <c r="E144" s="140"/>
      <c r="F144" s="349"/>
      <c r="G144" s="25"/>
      <c r="H144" s="25"/>
      <c r="I144" s="25"/>
      <c r="Q144" s="353"/>
      <c r="R144" s="353"/>
      <c r="S144" s="353"/>
      <c r="T144" s="353"/>
      <c r="U144" s="353"/>
      <c r="V144" s="353"/>
    </row>
    <row r="145" spans="2:23" x14ac:dyDescent="0.3">
      <c r="B145" s="435"/>
      <c r="C145" s="435"/>
      <c r="D145" s="435"/>
      <c r="E145" s="435"/>
      <c r="F145" s="435"/>
      <c r="G145" s="435"/>
      <c r="H145" s="435"/>
      <c r="I145" s="435"/>
      <c r="Q145" s="436"/>
      <c r="R145" s="436"/>
      <c r="S145" s="436"/>
      <c r="T145" s="436"/>
      <c r="U145" s="436"/>
      <c r="V145" s="436"/>
    </row>
    <row r="146" spans="2:23" x14ac:dyDescent="0.3">
      <c r="D146" s="11"/>
      <c r="H146" s="14"/>
      <c r="W146" s="11"/>
    </row>
    <row r="148" spans="2:23" x14ac:dyDescent="0.3">
      <c r="D148" s="15"/>
    </row>
  </sheetData>
  <mergeCells count="30">
    <mergeCell ref="C130:H130"/>
    <mergeCell ref="J130:O130"/>
    <mergeCell ref="Q130:V130"/>
    <mergeCell ref="C113:H113"/>
    <mergeCell ref="J113:O113"/>
    <mergeCell ref="Q31:V31"/>
    <mergeCell ref="Q44:V44"/>
    <mergeCell ref="Q57:V57"/>
    <mergeCell ref="Q71:V71"/>
    <mergeCell ref="Q85:V85"/>
    <mergeCell ref="Q99:V99"/>
    <mergeCell ref="Q113:V113"/>
    <mergeCell ref="J71:O71"/>
    <mergeCell ref="C85:H85"/>
    <mergeCell ref="J85:O85"/>
    <mergeCell ref="C99:H99"/>
    <mergeCell ref="J99:O99"/>
    <mergeCell ref="C71:H71"/>
    <mergeCell ref="Q3:V3"/>
    <mergeCell ref="J3:O3"/>
    <mergeCell ref="C3:H3"/>
    <mergeCell ref="C17:H17"/>
    <mergeCell ref="J17:O17"/>
    <mergeCell ref="Q17:V17"/>
    <mergeCell ref="C31:H31"/>
    <mergeCell ref="J31:O31"/>
    <mergeCell ref="C44:H44"/>
    <mergeCell ref="J44:O44"/>
    <mergeCell ref="C57:H57"/>
    <mergeCell ref="J57:O57"/>
  </mergeCells>
  <pageMargins left="0.7" right="0.7" top="0.75" bottom="0.75" header="0.3" footer="0.3"/>
  <pageSetup paperSize="9" orientation="portrait" r:id="rId1"/>
  <ignoredErrors>
    <ignoredError sqref="V118" formula="1"/>
    <ignoredError sqref="D118:G118 K118:N118 C123:G123 J123:N123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BW429"/>
  <sheetViews>
    <sheetView zoomScale="85" zoomScaleNormal="85" workbookViewId="0">
      <pane xSplit="5" ySplit="4" topLeftCell="P122" activePane="bottomRight" state="frozen"/>
      <selection activeCell="I5" sqref="I5"/>
      <selection pane="topRight" activeCell="I5" sqref="I5"/>
      <selection pane="bottomLeft" activeCell="I5" sqref="I5"/>
      <selection pane="bottomRight" activeCell="R127" sqref="R127"/>
    </sheetView>
  </sheetViews>
  <sheetFormatPr defaultRowHeight="14.4" outlineLevelRow="1" outlineLevelCol="1" x14ac:dyDescent="0.3"/>
  <cols>
    <col min="1" max="1" width="4.109375" customWidth="1"/>
    <col min="2" max="2" width="47.33203125" customWidth="1"/>
    <col min="3" max="3" width="11.5546875" customWidth="1"/>
    <col min="4" max="4" width="11.33203125" customWidth="1"/>
    <col min="5" max="5" width="10.88671875" customWidth="1"/>
    <col min="6" max="6" width="17.44140625" hidden="1" customWidth="1" outlineLevel="1"/>
    <col min="7" max="7" width="34.109375" hidden="1" customWidth="1" outlineLevel="1"/>
    <col min="8" max="8" width="40.109375" hidden="1" customWidth="1" outlineLevel="1"/>
    <col min="9" max="13" width="11" hidden="1" customWidth="1" outlineLevel="1"/>
    <col min="14" max="14" width="9" bestFit="1" customWidth="1" collapsed="1"/>
    <col min="15" max="15" width="10.33203125" customWidth="1"/>
    <col min="16" max="16" width="9.6640625" customWidth="1"/>
    <col min="17" max="17" width="10.33203125" customWidth="1"/>
    <col min="18" max="18" width="10.109375" customWidth="1"/>
    <col min="19" max="21" width="10.109375" hidden="1" customWidth="1" outlineLevel="1"/>
    <col min="22" max="22" width="2.88671875" customWidth="1" collapsed="1"/>
    <col min="23" max="25" width="9" bestFit="1" customWidth="1"/>
    <col min="26" max="26" width="9.5546875" bestFit="1" customWidth="1"/>
    <col min="27" max="27" width="9" bestFit="1" customWidth="1"/>
    <col min="28" max="30" width="8.88671875" hidden="1" customWidth="1" outlineLevel="1"/>
    <col min="31" max="31" width="3.109375" customWidth="1" collapsed="1"/>
    <col min="33" max="33" width="10.33203125" customWidth="1"/>
    <col min="34" max="34" width="9.5546875" customWidth="1"/>
    <col min="35" max="35" width="9.88671875" customWidth="1"/>
    <col min="36" max="36" width="10.109375" customWidth="1"/>
    <col min="37" max="39" width="9.109375" hidden="1" customWidth="1" outlineLevel="1"/>
    <col min="40" max="40" width="2.6640625" customWidth="1" collapsed="1"/>
    <col min="46" max="48" width="9.109375" hidden="1" customWidth="1" outlineLevel="1"/>
    <col min="49" max="49" width="3.33203125" customWidth="1" collapsed="1"/>
    <col min="51" max="52" width="9.6640625" customWidth="1"/>
    <col min="53" max="54" width="10.109375" customWidth="1"/>
    <col min="58" max="58" width="2.109375" customWidth="1"/>
    <col min="59" max="59" width="11.44140625" customWidth="1"/>
    <col min="60" max="60" width="9.44140625" customWidth="1"/>
    <col min="61" max="61" width="9.33203125" bestFit="1" customWidth="1"/>
    <col min="62" max="62" width="9.5546875" bestFit="1" customWidth="1"/>
    <col min="63" max="67" width="10.33203125" customWidth="1"/>
    <col min="68" max="68" width="10.5546875" bestFit="1" customWidth="1"/>
  </cols>
  <sheetData>
    <row r="1" spans="2:75" ht="15.6" x14ac:dyDescent="0.3">
      <c r="B1" s="133" t="s">
        <v>612</v>
      </c>
      <c r="C1" s="3"/>
      <c r="D1" s="3"/>
    </row>
    <row r="3" spans="2:75" ht="26.4" customHeight="1" x14ac:dyDescent="0.3">
      <c r="B3" s="7" t="s">
        <v>11</v>
      </c>
      <c r="C3" s="7" t="s">
        <v>7</v>
      </c>
      <c r="D3" s="10" t="s">
        <v>12</v>
      </c>
      <c r="E3" s="7" t="s">
        <v>10</v>
      </c>
      <c r="F3" s="7"/>
      <c r="G3" s="7"/>
      <c r="H3" s="7"/>
      <c r="I3" s="391" t="s">
        <v>135</v>
      </c>
      <c r="J3" s="391" t="s">
        <v>290</v>
      </c>
      <c r="K3" s="391" t="s">
        <v>136</v>
      </c>
      <c r="L3" s="391" t="s">
        <v>137</v>
      </c>
      <c r="M3" s="391" t="s">
        <v>60</v>
      </c>
      <c r="N3" s="602" t="s">
        <v>0</v>
      </c>
      <c r="O3" s="603"/>
      <c r="P3" s="603"/>
      <c r="Q3" s="603"/>
      <c r="R3" s="603"/>
      <c r="S3" s="603"/>
      <c r="T3" s="603"/>
      <c r="U3" s="604"/>
      <c r="W3" s="602" t="s">
        <v>1</v>
      </c>
      <c r="X3" s="603"/>
      <c r="Y3" s="603"/>
      <c r="Z3" s="603"/>
      <c r="AA3" s="603"/>
      <c r="AB3" s="603"/>
      <c r="AC3" s="603"/>
      <c r="AD3" s="604"/>
      <c r="AE3" s="1"/>
      <c r="AF3" s="602" t="s">
        <v>2</v>
      </c>
      <c r="AG3" s="603"/>
      <c r="AH3" s="603"/>
      <c r="AI3" s="603"/>
      <c r="AJ3" s="603"/>
      <c r="AK3" s="603"/>
      <c r="AL3" s="603"/>
      <c r="AM3" s="604"/>
      <c r="AN3" s="1"/>
      <c r="AO3" s="602" t="s">
        <v>3</v>
      </c>
      <c r="AP3" s="603"/>
      <c r="AQ3" s="603"/>
      <c r="AR3" s="603"/>
      <c r="AS3" s="603"/>
      <c r="AT3" s="603"/>
      <c r="AU3" s="603"/>
      <c r="AV3" s="604"/>
      <c r="AW3" s="2"/>
      <c r="AX3" s="602" t="s">
        <v>4</v>
      </c>
      <c r="AY3" s="603"/>
      <c r="AZ3" s="603"/>
      <c r="BA3" s="603"/>
      <c r="BB3" s="603"/>
      <c r="BC3" s="603"/>
      <c r="BD3" s="603"/>
      <c r="BE3" s="604"/>
    </row>
    <row r="4" spans="2:75" x14ac:dyDescent="0.3">
      <c r="E4" s="4"/>
      <c r="F4" s="4" t="s">
        <v>84</v>
      </c>
      <c r="G4" s="4" t="s">
        <v>27</v>
      </c>
      <c r="H4" s="180"/>
      <c r="I4" s="360" t="s">
        <v>6</v>
      </c>
      <c r="J4" s="360" t="s">
        <v>6</v>
      </c>
      <c r="K4" s="360" t="s">
        <v>6</v>
      </c>
      <c r="L4" s="360" t="s">
        <v>6</v>
      </c>
      <c r="M4" s="360" t="s">
        <v>6</v>
      </c>
      <c r="N4" s="18">
        <v>2016</v>
      </c>
      <c r="O4" s="18">
        <v>2017</v>
      </c>
      <c r="P4" s="18">
        <v>2018</v>
      </c>
      <c r="Q4" s="18">
        <v>2019</v>
      </c>
      <c r="R4" s="18">
        <v>2020</v>
      </c>
      <c r="S4" s="18">
        <v>2021</v>
      </c>
      <c r="T4" s="18">
        <v>2022</v>
      </c>
      <c r="U4" s="18">
        <v>2023</v>
      </c>
      <c r="V4" s="4"/>
      <c r="W4" s="18">
        <v>2016</v>
      </c>
      <c r="X4" s="18">
        <v>2017</v>
      </c>
      <c r="Y4" s="18">
        <v>2018</v>
      </c>
      <c r="Z4" s="18">
        <v>2019</v>
      </c>
      <c r="AA4" s="18">
        <v>2020</v>
      </c>
      <c r="AB4" s="18">
        <v>2021</v>
      </c>
      <c r="AC4" s="18">
        <v>2022</v>
      </c>
      <c r="AD4" s="18">
        <v>2023</v>
      </c>
      <c r="AE4" s="4"/>
      <c r="AF4" s="18">
        <v>2016</v>
      </c>
      <c r="AG4" s="18">
        <v>2017</v>
      </c>
      <c r="AH4" s="18">
        <v>2018</v>
      </c>
      <c r="AI4" s="18">
        <v>2019</v>
      </c>
      <c r="AJ4" s="18">
        <v>2020</v>
      </c>
      <c r="AK4" s="18">
        <v>2021</v>
      </c>
      <c r="AL4" s="18">
        <v>2022</v>
      </c>
      <c r="AM4" s="18">
        <v>2023</v>
      </c>
      <c r="AN4" s="4"/>
      <c r="AO4" s="18">
        <v>2016</v>
      </c>
      <c r="AP4" s="18">
        <v>2017</v>
      </c>
      <c r="AQ4" s="18">
        <v>2018</v>
      </c>
      <c r="AR4" s="18">
        <v>2019</v>
      </c>
      <c r="AS4" s="18">
        <v>2020</v>
      </c>
      <c r="AT4" s="18">
        <v>2021</v>
      </c>
      <c r="AU4" s="18">
        <v>2022</v>
      </c>
      <c r="AV4" s="18">
        <v>2023</v>
      </c>
      <c r="AW4" s="4"/>
      <c r="AX4" s="18">
        <v>2016</v>
      </c>
      <c r="AY4" s="18">
        <v>2017</v>
      </c>
      <c r="AZ4" s="18">
        <v>2018</v>
      </c>
      <c r="BA4" s="18">
        <v>2019</v>
      </c>
      <c r="BB4" s="18">
        <v>2020</v>
      </c>
      <c r="BC4" s="18">
        <v>2021</v>
      </c>
      <c r="BD4" s="18">
        <v>2022</v>
      </c>
      <c r="BE4" s="18">
        <v>2023</v>
      </c>
      <c r="BG4" s="4" t="s">
        <v>13</v>
      </c>
      <c r="BH4" s="4" t="s">
        <v>14</v>
      </c>
    </row>
    <row r="5" spans="2:75" hidden="1" outlineLevel="1" x14ac:dyDescent="0.3">
      <c r="E5" s="180"/>
      <c r="F5" s="180"/>
      <c r="G5" s="180"/>
      <c r="H5" s="180"/>
      <c r="I5" s="360"/>
      <c r="J5" s="360"/>
      <c r="K5" s="360"/>
      <c r="L5" s="360"/>
      <c r="M5" s="360"/>
      <c r="N5" s="191" t="s">
        <v>156</v>
      </c>
      <c r="O5" s="191" t="s">
        <v>157</v>
      </c>
      <c r="P5" s="191" t="s">
        <v>158</v>
      </c>
      <c r="Q5" s="191" t="s">
        <v>159</v>
      </c>
      <c r="R5" s="191" t="s">
        <v>160</v>
      </c>
      <c r="S5" s="191"/>
      <c r="T5" s="191"/>
      <c r="U5" s="191"/>
      <c r="V5" s="180"/>
      <c r="W5" s="191" t="s">
        <v>161</v>
      </c>
      <c r="X5" s="191" t="s">
        <v>162</v>
      </c>
      <c r="Y5" s="191" t="s">
        <v>163</v>
      </c>
      <c r="Z5" s="191" t="s">
        <v>164</v>
      </c>
      <c r="AA5" s="191" t="s">
        <v>165</v>
      </c>
      <c r="AB5" s="191"/>
      <c r="AC5" s="191"/>
      <c r="AD5" s="191"/>
      <c r="AE5" s="180"/>
      <c r="AF5" s="191" t="s">
        <v>166</v>
      </c>
      <c r="AG5" s="191" t="s">
        <v>167</v>
      </c>
      <c r="AH5" s="191" t="s">
        <v>168</v>
      </c>
      <c r="AI5" s="191" t="s">
        <v>169</v>
      </c>
      <c r="AJ5" s="191" t="s">
        <v>170</v>
      </c>
      <c r="AK5" s="191"/>
      <c r="AL5" s="191"/>
      <c r="AM5" s="191"/>
      <c r="AN5" s="180"/>
      <c r="AO5" s="191" t="s">
        <v>171</v>
      </c>
      <c r="AP5" s="191" t="s">
        <v>172</v>
      </c>
      <c r="AQ5" s="191" t="s">
        <v>173</v>
      </c>
      <c r="AR5" s="191" t="s">
        <v>174</v>
      </c>
      <c r="AS5" s="191" t="s">
        <v>175</v>
      </c>
      <c r="AT5" s="191"/>
      <c r="AU5" s="191"/>
      <c r="AV5" s="191"/>
      <c r="AW5" s="180"/>
      <c r="AX5" s="191"/>
      <c r="AY5" s="191"/>
      <c r="AZ5" s="191"/>
      <c r="BA5" s="191"/>
      <c r="BB5" s="191"/>
      <c r="BC5" s="191"/>
      <c r="BD5" s="191"/>
      <c r="BE5" s="191"/>
      <c r="BG5" s="180"/>
      <c r="BH5" s="180"/>
    </row>
    <row r="6" spans="2:75" collapsed="1" x14ac:dyDescent="0.3">
      <c r="B6" s="25" t="s">
        <v>120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2:75" x14ac:dyDescent="0.3">
      <c r="B7" s="174" t="str">
        <f>STN_1</f>
        <v>RWN</v>
      </c>
      <c r="C7" s="17">
        <f>INDEX(Schedule!$C$4:$E$12,MATCH($B7,Schedule!$B$4:$B$12,0),1)</f>
        <v>43191</v>
      </c>
      <c r="D7" s="17">
        <f>INDEX(Schedule!$C$4:$E$12,MATCH($B7,Schedule!$B$4:$B$12,0),2)</f>
        <v>43466</v>
      </c>
      <c r="E7" s="17">
        <f>INDEX(Schedule!$C$4:$E$12,MATCH($B7,Schedule!$B$4:$B$12,0),3)</f>
        <v>43709</v>
      </c>
      <c r="F7" s="8" t="s">
        <v>42</v>
      </c>
      <c r="G7" s="20" t="s">
        <v>18</v>
      </c>
      <c r="H7" s="20" t="str">
        <f>G7&amp;F7</f>
        <v>SubtransmissionAugmentation</v>
      </c>
      <c r="I7" s="390">
        <f>INDEX(RWN_Det!$K$107:$O$111,MATCH($H7,RWN_Det!$F$107:$F$111,0),MATCH(I$3,RWN_Det!$K$4:$O$4,0))</f>
        <v>484.6763230322498</v>
      </c>
      <c r="J7" s="390">
        <f>INDEX(RWN_Det!$K$107:$O$111,MATCH($H7,RWN_Det!$F$107:$F$111,0),MATCH(J$3,RWN_Det!$K$4:$O$4,0))</f>
        <v>307.29764112935641</v>
      </c>
      <c r="K7" s="390">
        <f>INDEX(RWN_Det!$K$107:$O$111,MATCH($H7,RWN_Det!$F$107:$F$111,0),MATCH(K$3,RWN_Det!$K$4:$O$4,0))</f>
        <v>199.82371225114898</v>
      </c>
      <c r="L7" s="390">
        <f>INDEX(RWN_Det!$K$107:$O$111,MATCH($H7,RWN_Det!$F$107:$F$111,0),MATCH(L$3,RWN_Det!$K$4:$O$4,0))</f>
        <v>933.92368659043211</v>
      </c>
      <c r="M7" s="390">
        <f>INDEX(RWN_Det!$K$107:$O$111,MATCH($H7,RWN_Det!$F$107:$F$111,0),MATCH(M$3,RWN_Det!$K$4:$O$4,0))</f>
        <v>217.83167115679473</v>
      </c>
      <c r="N7" s="38">
        <f>$I7*INDEX(Stat_Phasing!$D$6:$K$14,MATCH($B7,Stat_Phasing!$B$6:$B$14,0),MATCH(N$4,Stat_Phasing!$D$5:$K$5))</f>
        <v>0</v>
      </c>
      <c r="O7" s="38">
        <f>$I7*INDEX(Stat_Phasing!$D$6:$K$14,MATCH($B7,Stat_Phasing!$B$6:$B$14,0),MATCH(O$4,Stat_Phasing!$D$5:$K$5))</f>
        <v>0</v>
      </c>
      <c r="P7" s="38">
        <f>$I7*INDEX(Stat_Phasing!$D$6:$K$14,MATCH($B7,Stat_Phasing!$B$6:$B$14,0),MATCH(P$4,Stat_Phasing!$D$5:$K$5))</f>
        <v>48.467632303224981</v>
      </c>
      <c r="Q7" s="38">
        <f>$I7*INDEX(Stat_Phasing!$D$6:$K$14,MATCH($B7,Stat_Phasing!$B$6:$B$14,0),MATCH(Q$4,Stat_Phasing!$D$5:$K$5))</f>
        <v>436.20869072902485</v>
      </c>
      <c r="R7" s="38">
        <f>$I7*INDEX(Stat_Phasing!$D$6:$K$14,MATCH($B7,Stat_Phasing!$B$6:$B$14,0),MATCH(R$4,Stat_Phasing!$D$5:$K$5))</f>
        <v>0</v>
      </c>
      <c r="S7" s="38">
        <f>$I7*INDEX(Stat_Phasing!$D$6:$K$14,MATCH($B7,Stat_Phasing!$B$6:$B$14,0),MATCH(S$4,Stat_Phasing!$D$5:$K$5))</f>
        <v>0</v>
      </c>
      <c r="T7" s="38">
        <f>$I7*INDEX(Stat_Phasing!$D$6:$K$14,MATCH($B7,Stat_Phasing!$B$6:$B$14,0),MATCH(T$4,Stat_Phasing!$D$5:$K$5))</f>
        <v>0</v>
      </c>
      <c r="U7" s="38">
        <f>$I7*INDEX(Stat_Phasing!$D$6:$K$14,MATCH($B7,Stat_Phasing!$B$6:$B$14,0),MATCH(U$4,Stat_Phasing!$D$5:$K$5))</f>
        <v>0</v>
      </c>
      <c r="V7" s="38"/>
      <c r="W7" s="38">
        <f>$J7*INDEX(Stat_Phasing!$D$18:$K$26,MATCH($B7,Stat_Phasing!$B$18:$B$26,0),MATCH(W$4,Stat_Phasing!$D$17:$K$17))</f>
        <v>0</v>
      </c>
      <c r="X7" s="38">
        <f>$J7*INDEX(Stat_Phasing!$D$18:$K$26,MATCH($B7,Stat_Phasing!$B$18:$B$26,0),MATCH(X$4,Stat_Phasing!$D$17:$K$17))</f>
        <v>0</v>
      </c>
      <c r="Y7" s="38">
        <f>$J7*INDEX(Stat_Phasing!$D$18:$K$26,MATCH($B7,Stat_Phasing!$B$18:$B$26,0),MATCH(Y$4,Stat_Phasing!$D$17:$K$17))</f>
        <v>76.824410282339102</v>
      </c>
      <c r="Z7" s="38">
        <f>$J7*INDEX(Stat_Phasing!$D$18:$K$26,MATCH($B7,Stat_Phasing!$B$18:$B$26,0),MATCH(Z$4,Stat_Phasing!$D$17:$K$17))</f>
        <v>215.10834879054948</v>
      </c>
      <c r="AA7" s="38">
        <f>$J7*INDEX(Stat_Phasing!$D$18:$K$26,MATCH($B7,Stat_Phasing!$B$18:$B$26,0),MATCH(AA$4,Stat_Phasing!$D$17:$K$17))</f>
        <v>15.36488205646782</v>
      </c>
      <c r="AB7" s="38">
        <f>$J7*INDEX(Stat_Phasing!$D$18:$K$26,MATCH($B7,Stat_Phasing!$B$18:$B$26,0),MATCH(AB$4,Stat_Phasing!$D$17:$K$17))</f>
        <v>0</v>
      </c>
      <c r="AC7" s="38">
        <f>$J7*INDEX(Stat_Phasing!$D$18:$K$26,MATCH($B7,Stat_Phasing!$B$18:$B$26,0),MATCH(AC$4,Stat_Phasing!$D$17:$K$17))</f>
        <v>0</v>
      </c>
      <c r="AD7" s="38">
        <f>$J7*INDEX(Stat_Phasing!$D$18:$K$26,MATCH($B7,Stat_Phasing!$B$18:$B$26,0),MATCH(AD$4,Stat_Phasing!$D$17:$K$17))</f>
        <v>0</v>
      </c>
      <c r="AE7" s="38"/>
      <c r="AF7" s="38">
        <f>SUM($K7:$L7)*INDEX(Stat_Phasing!$D$30:$K$38,MATCH($B7,Stat_Phasing!$B$30:$B$38,0),MATCH(AF$4,Stat_Phasing!$D$29:$K$29))</f>
        <v>0</v>
      </c>
      <c r="AG7" s="38">
        <f>SUM($K7:$L7)*INDEX(Stat_Phasing!$D$30:$K$38,MATCH($B7,Stat_Phasing!$B$30:$B$38,0),MATCH(AG$4,Stat_Phasing!$D$29:$K$29))</f>
        <v>0</v>
      </c>
      <c r="AH7" s="38">
        <f>SUM($K7:$L7)*INDEX(Stat_Phasing!$D$30:$K$38,MATCH($B7,Stat_Phasing!$B$30:$B$38,0),MATCH(AH$4,Stat_Phasing!$D$29:$K$29))</f>
        <v>340.12421965247432</v>
      </c>
      <c r="AI7" s="38">
        <f>SUM($K7:$L7)*INDEX(Stat_Phasing!$D$30:$K$38,MATCH($B7,Stat_Phasing!$B$30:$B$38,0),MATCH(AI$4,Stat_Phasing!$D$29:$K$29))</f>
        <v>770.94823121227523</v>
      </c>
      <c r="AJ7" s="38">
        <f>SUM($K7:$L7)*INDEX(Stat_Phasing!$D$30:$K$38,MATCH($B7,Stat_Phasing!$B$30:$B$38,0),MATCH(AJ$4,Stat_Phasing!$D$29:$K$29))</f>
        <v>22.674947976831621</v>
      </c>
      <c r="AK7" s="38">
        <f>SUM($K7:$L7)*INDEX(Stat_Phasing!$D$30:$K$38,MATCH($B7,Stat_Phasing!$B$30:$B$38,0),MATCH(AK$4,Stat_Phasing!$D$29:$K$29))</f>
        <v>0</v>
      </c>
      <c r="AL7" s="38">
        <f>SUM($K7:$L7)*INDEX(Stat_Phasing!$D$30:$K$38,MATCH($B7,Stat_Phasing!$B$30:$B$38,0),MATCH(AL$4,Stat_Phasing!$D$29:$K$29))</f>
        <v>0</v>
      </c>
      <c r="AM7" s="38">
        <f>SUM($K7:$L7)*INDEX(Stat_Phasing!$D$30:$K$38,MATCH($B7,Stat_Phasing!$B$30:$B$38,0),MATCH(AM$4,Stat_Phasing!$D$29:$K$29))</f>
        <v>0</v>
      </c>
      <c r="AN7" s="38"/>
      <c r="AO7" s="38">
        <f>$M7*INDEX(Stat_Phasing!$D$42:$K$50,MATCH($B7,Stat_Phasing!$B$42:$B$50,0),MATCH(AO$4,Stat_Phasing!$D$41:$K$41))</f>
        <v>0</v>
      </c>
      <c r="AP7" s="38">
        <f>$M7*INDEX(Stat_Phasing!$D$42:$K$50,MATCH($B7,Stat_Phasing!$B$42:$B$50,0),MATCH(AP$4,Stat_Phasing!$D$41:$K$41))</f>
        <v>0</v>
      </c>
      <c r="AQ7" s="38">
        <f>$M7*INDEX(Stat_Phasing!$D$42:$K$50,MATCH($B7,Stat_Phasing!$B$42:$B$50,0),MATCH(AQ$4,Stat_Phasing!$D$41:$K$41))</f>
        <v>0</v>
      </c>
      <c r="AR7" s="38">
        <f>$M7*INDEX(Stat_Phasing!$D$42:$K$50,MATCH($B7,Stat_Phasing!$B$42:$B$50,0),MATCH(AR$4,Stat_Phasing!$D$41:$K$41))</f>
        <v>174.2653369254358</v>
      </c>
      <c r="AS7" s="38">
        <f>$M7*INDEX(Stat_Phasing!$D$42:$K$50,MATCH($B7,Stat_Phasing!$B$42:$B$50,0),MATCH(AS$4,Stat_Phasing!$D$41:$K$41))</f>
        <v>43.566334231358951</v>
      </c>
      <c r="AT7" s="38">
        <f>$M7*INDEX(Stat_Phasing!$D$42:$K$50,MATCH($B7,Stat_Phasing!$B$42:$B$50,0),MATCH(AT$4,Stat_Phasing!$D$41:$K$41))</f>
        <v>0</v>
      </c>
      <c r="AU7" s="38">
        <f>$M7*INDEX(Stat_Phasing!$D$42:$K$50,MATCH($B7,Stat_Phasing!$B$42:$B$50,0),MATCH(AU$4,Stat_Phasing!$D$41:$K$41))</f>
        <v>0</v>
      </c>
      <c r="AV7" s="38">
        <f>$M7*INDEX(Stat_Phasing!$D$42:$K$50,MATCH($B7,Stat_Phasing!$B$42:$B$50,0),MATCH(AV$4,Stat_Phasing!$D$41:$K$41))</f>
        <v>0</v>
      </c>
      <c r="AW7" s="6"/>
      <c r="AX7" s="6">
        <f t="shared" ref="AX7" si="0">N7+W7+AF7+AO7</f>
        <v>0</v>
      </c>
      <c r="AY7" s="6">
        <f t="shared" ref="AY7" si="1">O7+X7+AG7+AP7</f>
        <v>0</v>
      </c>
      <c r="AZ7" s="6">
        <f t="shared" ref="AZ7" si="2">P7+Y7+AH7+AQ7</f>
        <v>465.41626223803837</v>
      </c>
      <c r="BA7" s="6">
        <f t="shared" ref="BA7" si="3">Q7+Z7+AI7+AR7</f>
        <v>1596.5306076572854</v>
      </c>
      <c r="BB7" s="6">
        <f t="shared" ref="BB7" si="4">R7+AA7+AJ7+AS7</f>
        <v>81.606164264658389</v>
      </c>
      <c r="BC7" s="6">
        <f t="shared" ref="BC7:BC36" si="5">S7+AB7+AK7+AT7</f>
        <v>0</v>
      </c>
      <c r="BD7" s="6">
        <f t="shared" ref="BD7:BD36" si="6">T7+AC7+AL7+AU7</f>
        <v>0</v>
      </c>
      <c r="BE7" s="6">
        <f t="shared" ref="BE7:BE36" si="7">U7+AD7+AM7+AV7</f>
        <v>0</v>
      </c>
      <c r="BG7" s="14">
        <f t="shared" ref="BG7:BG36" si="8">SUM(AX7:BE7)</f>
        <v>2143.553034159982</v>
      </c>
      <c r="BH7" s="38">
        <f>BG7-SUM(I7:M7)</f>
        <v>0</v>
      </c>
      <c r="BJ7" s="15"/>
      <c r="BK7" s="15"/>
      <c r="BL7" s="15"/>
      <c r="BM7" s="15"/>
      <c r="BO7" s="15"/>
      <c r="BP7" s="15"/>
      <c r="BQ7" s="15"/>
      <c r="BR7" s="15"/>
      <c r="BT7" s="16"/>
      <c r="BU7" s="16"/>
      <c r="BV7" s="16"/>
      <c r="BW7" s="16"/>
    </row>
    <row r="8" spans="2:75" x14ac:dyDescent="0.3">
      <c r="B8" s="174" t="str">
        <f>STN_1</f>
        <v>RWN</v>
      </c>
      <c r="C8" s="17">
        <f>INDEX(Schedule!$C$4:$E$12,MATCH($B8,Schedule!$B$4:$B$12,0),1)</f>
        <v>43191</v>
      </c>
      <c r="D8" s="17">
        <f>INDEX(Schedule!$C$4:$E$12,MATCH($B8,Schedule!$B$4:$B$12,0),2)</f>
        <v>43466</v>
      </c>
      <c r="E8" s="17">
        <f>INDEX(Schedule!$C$4:$E$12,MATCH($B8,Schedule!$B$4:$B$12,0),3)</f>
        <v>43709</v>
      </c>
      <c r="F8" s="8" t="s">
        <v>42</v>
      </c>
      <c r="G8" s="20" t="s">
        <v>22</v>
      </c>
      <c r="H8" s="20" t="str">
        <f t="shared" ref="H8:H35" si="9">G8&amp;F8</f>
        <v>SCADA/Network controlAugmentation</v>
      </c>
      <c r="I8" s="390">
        <f>INDEX(RWN_Det!$K$107:$O$111,MATCH($H8,RWN_Det!$F$107:$F$111,0),MATCH(I$3,RWN_Det!$K$4:$O$4,0))</f>
        <v>1368.1335346838555</v>
      </c>
      <c r="J8" s="390">
        <f>INDEX(RWN_Det!$K$107:$O$111,MATCH($H8,RWN_Det!$F$107:$F$111,0),MATCH(J$3,RWN_Det!$K$4:$O$4,0))</f>
        <v>302.6898588706436</v>
      </c>
      <c r="K8" s="390">
        <f>INDEX(RWN_Det!$K$107:$O$111,MATCH($H8,RWN_Det!$F$107:$F$111,0),MATCH(K$3,RWN_Det!$K$4:$O$4,0))</f>
        <v>196.82745053954869</v>
      </c>
      <c r="L8" s="390">
        <f>INDEX(RWN_Det!$K$107:$O$111,MATCH($H8,RWN_Det!$F$107:$F$111,0),MATCH(L$3,RWN_Det!$K$4:$O$4,0))</f>
        <v>240.70790423572745</v>
      </c>
      <c r="M8" s="390">
        <f>INDEX(RWN_Det!$K$107:$O$111,MATCH($H8,RWN_Det!$F$107:$F$111,0),MATCH(M$3,RWN_Det!$K$4:$O$4,0))</f>
        <v>3.0527255985267034</v>
      </c>
      <c r="N8" s="38">
        <f>$I8*INDEX(Stat_Phasing!$D$6:$K$14,MATCH($B8,Stat_Phasing!$B$6:$B$14,0),MATCH(N$4,Stat_Phasing!$D$5:$K$5))</f>
        <v>0</v>
      </c>
      <c r="O8" s="38">
        <f>$I8*INDEX(Stat_Phasing!$D$6:$K$14,MATCH($B8,Stat_Phasing!$B$6:$B$14,0),MATCH(O$4,Stat_Phasing!$D$5:$K$5))</f>
        <v>0</v>
      </c>
      <c r="P8" s="38">
        <f>$I8*INDEX(Stat_Phasing!$D$6:$K$14,MATCH($B8,Stat_Phasing!$B$6:$B$14,0),MATCH(P$4,Stat_Phasing!$D$5:$K$5))</f>
        <v>136.81335346838554</v>
      </c>
      <c r="Q8" s="38">
        <f>$I8*INDEX(Stat_Phasing!$D$6:$K$14,MATCH($B8,Stat_Phasing!$B$6:$B$14,0),MATCH(Q$4,Stat_Phasing!$D$5:$K$5))</f>
        <v>1231.32018121547</v>
      </c>
      <c r="R8" s="38">
        <f>$I8*INDEX(Stat_Phasing!$D$6:$K$14,MATCH($B8,Stat_Phasing!$B$6:$B$14,0),MATCH(R$4,Stat_Phasing!$D$5:$K$5))</f>
        <v>0</v>
      </c>
      <c r="S8" s="38">
        <f>$I8*INDEX(Stat_Phasing!$D$6:$K$14,MATCH($B8,Stat_Phasing!$B$6:$B$14,0),MATCH(S$4,Stat_Phasing!$D$5:$K$5))</f>
        <v>0</v>
      </c>
      <c r="T8" s="38">
        <f>$I8*INDEX(Stat_Phasing!$D$6:$K$14,MATCH($B8,Stat_Phasing!$B$6:$B$14,0),MATCH(T$4,Stat_Phasing!$D$5:$K$5))</f>
        <v>0</v>
      </c>
      <c r="U8" s="38">
        <f>$I8*INDEX(Stat_Phasing!$D$6:$K$14,MATCH($B8,Stat_Phasing!$B$6:$B$14,0),MATCH(U$4,Stat_Phasing!$D$5:$K$5))</f>
        <v>0</v>
      </c>
      <c r="V8" s="38"/>
      <c r="W8" s="38">
        <f>$J8*INDEX(Stat_Phasing!$D$18:$K$26,MATCH($B8,Stat_Phasing!$B$18:$B$26,0),MATCH(W$4,Stat_Phasing!$D$17:$K$17))</f>
        <v>0</v>
      </c>
      <c r="X8" s="38">
        <f>$J8*INDEX(Stat_Phasing!$D$18:$K$26,MATCH($B8,Stat_Phasing!$B$18:$B$26,0),MATCH(X$4,Stat_Phasing!$D$17:$K$17))</f>
        <v>0</v>
      </c>
      <c r="Y8" s="38">
        <f>$J8*INDEX(Stat_Phasing!$D$18:$K$26,MATCH($B8,Stat_Phasing!$B$18:$B$26,0),MATCH(Y$4,Stat_Phasing!$D$17:$K$17))</f>
        <v>75.672464717660901</v>
      </c>
      <c r="Z8" s="38">
        <f>$J8*INDEX(Stat_Phasing!$D$18:$K$26,MATCH($B8,Stat_Phasing!$B$18:$B$26,0),MATCH(Z$4,Stat_Phasing!$D$17:$K$17))</f>
        <v>211.88290120945052</v>
      </c>
      <c r="AA8" s="38">
        <f>$J8*INDEX(Stat_Phasing!$D$18:$K$26,MATCH($B8,Stat_Phasing!$B$18:$B$26,0),MATCH(AA$4,Stat_Phasing!$D$17:$K$17))</f>
        <v>15.13449294353218</v>
      </c>
      <c r="AB8" s="38">
        <f>$J8*INDEX(Stat_Phasing!$D$18:$K$26,MATCH($B8,Stat_Phasing!$B$18:$B$26,0),MATCH(AB$4,Stat_Phasing!$D$17:$K$17))</f>
        <v>0</v>
      </c>
      <c r="AC8" s="38">
        <f>$J8*INDEX(Stat_Phasing!$D$18:$K$26,MATCH($B8,Stat_Phasing!$B$18:$B$26,0),MATCH(AC$4,Stat_Phasing!$D$17:$K$17))</f>
        <v>0</v>
      </c>
      <c r="AD8" s="38">
        <f>$J8*INDEX(Stat_Phasing!$D$18:$K$26,MATCH($B8,Stat_Phasing!$B$18:$B$26,0),MATCH(AD$4,Stat_Phasing!$D$17:$K$17))</f>
        <v>0</v>
      </c>
      <c r="AE8" s="38"/>
      <c r="AF8" s="38">
        <f>SUM($K8:$L8)*INDEX(Stat_Phasing!$D$30:$K$38,MATCH($B8,Stat_Phasing!$B$30:$B$38,0),MATCH(AF$4,Stat_Phasing!$D$29:$K$29))</f>
        <v>0</v>
      </c>
      <c r="AG8" s="38">
        <f>SUM($K8:$L8)*INDEX(Stat_Phasing!$D$30:$K$38,MATCH($B8,Stat_Phasing!$B$30:$B$38,0),MATCH(AG$4,Stat_Phasing!$D$29:$K$29))</f>
        <v>0</v>
      </c>
      <c r="AH8" s="38">
        <f>SUM($K8:$L8)*INDEX(Stat_Phasing!$D$30:$K$38,MATCH($B8,Stat_Phasing!$B$30:$B$38,0),MATCH(AH$4,Stat_Phasing!$D$29:$K$29))</f>
        <v>131.26060643258282</v>
      </c>
      <c r="AI8" s="38">
        <f>SUM($K8:$L8)*INDEX(Stat_Phasing!$D$30:$K$38,MATCH($B8,Stat_Phasing!$B$30:$B$38,0),MATCH(AI$4,Stat_Phasing!$D$29:$K$29))</f>
        <v>297.52404124718777</v>
      </c>
      <c r="AJ8" s="38">
        <f>SUM($K8:$L8)*INDEX(Stat_Phasing!$D$30:$K$38,MATCH($B8,Stat_Phasing!$B$30:$B$38,0),MATCH(AJ$4,Stat_Phasing!$D$29:$K$29))</f>
        <v>8.7507070955055219</v>
      </c>
      <c r="AK8" s="38">
        <f>SUM($K8:$L8)*INDEX(Stat_Phasing!$D$30:$K$38,MATCH($B8,Stat_Phasing!$B$30:$B$38,0),MATCH(AK$4,Stat_Phasing!$D$29:$K$29))</f>
        <v>0</v>
      </c>
      <c r="AL8" s="38">
        <f>SUM($K8:$L8)*INDEX(Stat_Phasing!$D$30:$K$38,MATCH($B8,Stat_Phasing!$B$30:$B$38,0),MATCH(AL$4,Stat_Phasing!$D$29:$K$29))</f>
        <v>0</v>
      </c>
      <c r="AM8" s="38">
        <f>SUM($K8:$L8)*INDEX(Stat_Phasing!$D$30:$K$38,MATCH($B8,Stat_Phasing!$B$30:$B$38,0),MATCH(AM$4,Stat_Phasing!$D$29:$K$29))</f>
        <v>0</v>
      </c>
      <c r="AN8" s="38"/>
      <c r="AO8" s="38">
        <f>$M8*INDEX(Stat_Phasing!$D$42:$K$50,MATCH($B8,Stat_Phasing!$B$42:$B$50,0),MATCH(AO$4,Stat_Phasing!$D$41:$K$41))</f>
        <v>0</v>
      </c>
      <c r="AP8" s="38">
        <f>$M8*INDEX(Stat_Phasing!$D$42:$K$50,MATCH($B8,Stat_Phasing!$B$42:$B$50,0),MATCH(AP$4,Stat_Phasing!$D$41:$K$41))</f>
        <v>0</v>
      </c>
      <c r="AQ8" s="38">
        <f>$M8*INDEX(Stat_Phasing!$D$42:$K$50,MATCH($B8,Stat_Phasing!$B$42:$B$50,0),MATCH(AQ$4,Stat_Phasing!$D$41:$K$41))</f>
        <v>0</v>
      </c>
      <c r="AR8" s="38">
        <f>$M8*INDEX(Stat_Phasing!$D$42:$K$50,MATCH($B8,Stat_Phasing!$B$42:$B$50,0),MATCH(AR$4,Stat_Phasing!$D$41:$K$41))</f>
        <v>2.442180478821363</v>
      </c>
      <c r="AS8" s="38">
        <f>$M8*INDEX(Stat_Phasing!$D$42:$K$50,MATCH($B8,Stat_Phasing!$B$42:$B$50,0),MATCH(AS$4,Stat_Phasing!$D$41:$K$41))</f>
        <v>0.61054511970534076</v>
      </c>
      <c r="AT8" s="38">
        <f>$M8*INDEX(Stat_Phasing!$D$42:$K$50,MATCH($B8,Stat_Phasing!$B$42:$B$50,0),MATCH(AT$4,Stat_Phasing!$D$41:$K$41))</f>
        <v>0</v>
      </c>
      <c r="AU8" s="38">
        <f>$M8*INDEX(Stat_Phasing!$D$42:$K$50,MATCH($B8,Stat_Phasing!$B$42:$B$50,0),MATCH(AU$4,Stat_Phasing!$D$41:$K$41))</f>
        <v>0</v>
      </c>
      <c r="AV8" s="38">
        <f>$M8*INDEX(Stat_Phasing!$D$42:$K$50,MATCH($B8,Stat_Phasing!$B$42:$B$50,0),MATCH(AV$4,Stat_Phasing!$D$41:$K$41))</f>
        <v>0</v>
      </c>
      <c r="AW8" s="6"/>
      <c r="AX8" s="6">
        <f t="shared" ref="AX8" si="10">N8+W8+AF8+AO8</f>
        <v>0</v>
      </c>
      <c r="AY8" s="6">
        <f t="shared" ref="AY8" si="11">O8+X8+AG8+AP8</f>
        <v>0</v>
      </c>
      <c r="AZ8" s="6">
        <f t="shared" ref="AZ8" si="12">P8+Y8+AH8+AQ8</f>
        <v>343.74642461862925</v>
      </c>
      <c r="BA8" s="6">
        <f t="shared" ref="BA8" si="13">Q8+Z8+AI8+AR8</f>
        <v>1743.1693041509297</v>
      </c>
      <c r="BB8" s="6">
        <f t="shared" ref="BB8" si="14">R8+AA8+AJ8+AS8</f>
        <v>24.495745158743041</v>
      </c>
      <c r="BC8" s="6">
        <f t="shared" si="5"/>
        <v>0</v>
      </c>
      <c r="BD8" s="6">
        <f t="shared" si="6"/>
        <v>0</v>
      </c>
      <c r="BE8" s="6">
        <f t="shared" si="7"/>
        <v>0</v>
      </c>
      <c r="BG8" s="14">
        <f t="shared" si="8"/>
        <v>2111.4114739283018</v>
      </c>
      <c r="BH8" s="38">
        <f t="shared" ref="BH8:BH36" si="15">BG8-SUM(I8:M8)</f>
        <v>0</v>
      </c>
      <c r="BJ8" s="15"/>
      <c r="BK8" s="15"/>
      <c r="BL8" s="15"/>
      <c r="BM8" s="15"/>
      <c r="BO8" s="15"/>
      <c r="BP8" s="15"/>
      <c r="BQ8" s="15"/>
      <c r="BR8" s="15"/>
      <c r="BT8" s="16"/>
      <c r="BU8" s="16"/>
      <c r="BV8" s="16"/>
      <c r="BW8" s="16"/>
    </row>
    <row r="9" spans="2:75" x14ac:dyDescent="0.3">
      <c r="B9" s="174" t="str">
        <f>STN_1</f>
        <v>RWN</v>
      </c>
      <c r="C9" s="17">
        <f>INDEX(Schedule!$C$4:$E$12,MATCH($B9,Schedule!$B$4:$B$12,0),1)</f>
        <v>43191</v>
      </c>
      <c r="D9" s="17">
        <f>INDEX(Schedule!$C$4:$E$12,MATCH($B9,Schedule!$B$4:$B$12,0),2)</f>
        <v>43466</v>
      </c>
      <c r="E9" s="17">
        <f>INDEX(Schedule!$C$4:$E$12,MATCH($B9,Schedule!$B$4:$B$12,0),3)</f>
        <v>43709</v>
      </c>
      <c r="F9" s="20" t="s">
        <v>66</v>
      </c>
      <c r="G9" s="20" t="s">
        <v>195</v>
      </c>
      <c r="H9" s="20" t="str">
        <f t="shared" ref="H9" si="16">G9&amp;F9</f>
        <v>LandNon-Network</v>
      </c>
      <c r="I9" s="390">
        <f>INDEX(RWN_Det!$K$107:$O$111,MATCH($H9,RWN_Det!$F$107:$F$111,0),MATCH(I$3,RWN_Det!$K$4:$O$4,0))</f>
        <v>0</v>
      </c>
      <c r="J9" s="390">
        <f>INDEX(RWN_Det!$K$107:$O$111,MATCH($H9,RWN_Det!$F$107:$F$111,0),MATCH(J$3,RWN_Det!$K$4:$O$4,0))</f>
        <v>0</v>
      </c>
      <c r="K9" s="390">
        <f>INDEX(RWN_Det!$K$107:$O$111,MATCH($H9,RWN_Det!$F$107:$F$111,0),MATCH(K$3,RWN_Det!$K$4:$O$4,0))</f>
        <v>0</v>
      </c>
      <c r="L9" s="390">
        <f>INDEX(RWN_Det!$K$107:$O$111,MATCH($H9,RWN_Det!$F$107:$F$111,0),MATCH(L$3,RWN_Det!$K$4:$O$4,0))</f>
        <v>0</v>
      </c>
      <c r="M9" s="390">
        <f>INDEX(RWN_Det!$K$107:$O$111,MATCH($H9,RWN_Det!$F$107:$F$111,0),MATCH(M$3,RWN_Det!$K$4:$O$4,0))</f>
        <v>0</v>
      </c>
      <c r="N9" s="38">
        <f>$I9*INDEX(Stat_Phasing!$D$6:$K$14,MATCH($B9,Stat_Phasing!$B$6:$B$14,0),MATCH(N$4,Stat_Phasing!$D$5:$K$5))</f>
        <v>0</v>
      </c>
      <c r="O9" s="38">
        <f>$I9*INDEX(Stat_Phasing!$D$6:$K$14,MATCH($B9,Stat_Phasing!$B$6:$B$14,0),MATCH(O$4,Stat_Phasing!$D$5:$K$5))</f>
        <v>0</v>
      </c>
      <c r="P9" s="38">
        <f>$I9*INDEX(Stat_Phasing!$D$6:$K$14,MATCH($B9,Stat_Phasing!$B$6:$B$14,0),MATCH(P$4,Stat_Phasing!$D$5:$K$5))</f>
        <v>0</v>
      </c>
      <c r="Q9" s="38">
        <f>$I9*INDEX(Stat_Phasing!$D$6:$K$14,MATCH($B9,Stat_Phasing!$B$6:$B$14,0),MATCH(Q$4,Stat_Phasing!$D$5:$K$5))</f>
        <v>0</v>
      </c>
      <c r="R9" s="38">
        <f>$I9*INDEX(Stat_Phasing!$D$6:$K$14,MATCH($B9,Stat_Phasing!$B$6:$B$14,0),MATCH(R$4,Stat_Phasing!$D$5:$K$5))</f>
        <v>0</v>
      </c>
      <c r="S9" s="38">
        <f>$I9*INDEX(Stat_Phasing!$D$6:$K$14,MATCH($B9,Stat_Phasing!$B$6:$B$14,0),MATCH(S$4,Stat_Phasing!$D$5:$K$5))</f>
        <v>0</v>
      </c>
      <c r="T9" s="38">
        <f>$I9*INDEX(Stat_Phasing!$D$6:$K$14,MATCH($B9,Stat_Phasing!$B$6:$B$14,0),MATCH(T$4,Stat_Phasing!$D$5:$K$5))</f>
        <v>0</v>
      </c>
      <c r="U9" s="38">
        <f>$I9*INDEX(Stat_Phasing!$D$6:$K$14,MATCH($B9,Stat_Phasing!$B$6:$B$14,0),MATCH(U$4,Stat_Phasing!$D$5:$K$5))</f>
        <v>0</v>
      </c>
      <c r="V9" s="38"/>
      <c r="W9" s="38">
        <f>$J9*INDEX(Stat_Phasing!$D$18:$K$26,MATCH($B9,Stat_Phasing!$B$18:$B$26,0),MATCH(W$4,Stat_Phasing!$D$17:$K$17))</f>
        <v>0</v>
      </c>
      <c r="X9" s="38">
        <f>$J9*INDEX(Stat_Phasing!$D$18:$K$26,MATCH($B9,Stat_Phasing!$B$18:$B$26,0),MATCH(X$4,Stat_Phasing!$D$17:$K$17))</f>
        <v>0</v>
      </c>
      <c r="Y9" s="38">
        <f>$J9*INDEX(Stat_Phasing!$D$18:$K$26,MATCH($B9,Stat_Phasing!$B$18:$B$26,0),MATCH(Y$4,Stat_Phasing!$D$17:$K$17))</f>
        <v>0</v>
      </c>
      <c r="Z9" s="38">
        <f>$J9*INDEX(Stat_Phasing!$D$18:$K$26,MATCH($B9,Stat_Phasing!$B$18:$B$26,0),MATCH(Z$4,Stat_Phasing!$D$17:$K$17))</f>
        <v>0</v>
      </c>
      <c r="AA9" s="38">
        <f>$J9*INDEX(Stat_Phasing!$D$18:$K$26,MATCH($B9,Stat_Phasing!$B$18:$B$26,0),MATCH(AA$4,Stat_Phasing!$D$17:$K$17))</f>
        <v>0</v>
      </c>
      <c r="AB9" s="38">
        <f>$J9*INDEX(Stat_Phasing!$D$18:$K$26,MATCH($B9,Stat_Phasing!$B$18:$B$26,0),MATCH(AB$4,Stat_Phasing!$D$17:$K$17))</f>
        <v>0</v>
      </c>
      <c r="AC9" s="38">
        <f>$J9*INDEX(Stat_Phasing!$D$18:$K$26,MATCH($B9,Stat_Phasing!$B$18:$B$26,0),MATCH(AC$4,Stat_Phasing!$D$17:$K$17))</f>
        <v>0</v>
      </c>
      <c r="AD9" s="38">
        <f>$J9*INDEX(Stat_Phasing!$D$18:$K$26,MATCH($B9,Stat_Phasing!$B$18:$B$26,0),MATCH(AD$4,Stat_Phasing!$D$17:$K$17))</f>
        <v>0</v>
      </c>
      <c r="AE9" s="38"/>
      <c r="AF9" s="38">
        <f>SUM($K9:$L9)*INDEX(Stat_Phasing!$D$30:$K$38,MATCH($B9,Stat_Phasing!$B$30:$B$38,0),MATCH(AF$4,Stat_Phasing!$D$29:$K$29))</f>
        <v>0</v>
      </c>
      <c r="AG9" s="38">
        <f>SUM($K9:$L9)*INDEX(Stat_Phasing!$D$30:$K$38,MATCH($B9,Stat_Phasing!$B$30:$B$38,0),MATCH(AG$4,Stat_Phasing!$D$29:$K$29))</f>
        <v>0</v>
      </c>
      <c r="AH9" s="38">
        <f>SUM($K9:$L9)*INDEX(Stat_Phasing!$D$30:$K$38,MATCH($B9,Stat_Phasing!$B$30:$B$38,0),MATCH(AH$4,Stat_Phasing!$D$29:$K$29))</f>
        <v>0</v>
      </c>
      <c r="AI9" s="38">
        <f>SUM($K9:$L9)*INDEX(Stat_Phasing!$D$30:$K$38,MATCH($B9,Stat_Phasing!$B$30:$B$38,0),MATCH(AI$4,Stat_Phasing!$D$29:$K$29))</f>
        <v>0</v>
      </c>
      <c r="AJ9" s="38">
        <f>SUM($K9:$L9)*INDEX(Stat_Phasing!$D$30:$K$38,MATCH($B9,Stat_Phasing!$B$30:$B$38,0),MATCH(AJ$4,Stat_Phasing!$D$29:$K$29))</f>
        <v>0</v>
      </c>
      <c r="AK9" s="38">
        <f>SUM($K9:$L9)*INDEX(Stat_Phasing!$D$30:$K$38,MATCH($B9,Stat_Phasing!$B$30:$B$38,0),MATCH(AK$4,Stat_Phasing!$D$29:$K$29))</f>
        <v>0</v>
      </c>
      <c r="AL9" s="38">
        <f>SUM($K9:$L9)*INDEX(Stat_Phasing!$D$30:$K$38,MATCH($B9,Stat_Phasing!$B$30:$B$38,0),MATCH(AL$4,Stat_Phasing!$D$29:$K$29))</f>
        <v>0</v>
      </c>
      <c r="AM9" s="38">
        <f>SUM($K9:$L9)*INDEX(Stat_Phasing!$D$30:$K$38,MATCH($B9,Stat_Phasing!$B$30:$B$38,0),MATCH(AM$4,Stat_Phasing!$D$29:$K$29))</f>
        <v>0</v>
      </c>
      <c r="AN9" s="38"/>
      <c r="AO9" s="38">
        <f>$M9*INDEX(Stat_Phasing!$D$42:$K$50,MATCH($B9,Stat_Phasing!$B$42:$B$50,0),MATCH(AO$4,Stat_Phasing!$D$41:$K$41))</f>
        <v>0</v>
      </c>
      <c r="AP9" s="38">
        <f>$M9*INDEX(Stat_Phasing!$D$42:$K$50,MATCH($B9,Stat_Phasing!$B$42:$B$50,0),MATCH(AP$4,Stat_Phasing!$D$41:$K$41))</f>
        <v>0</v>
      </c>
      <c r="AQ9" s="38">
        <f>$M9*INDEX(Stat_Phasing!$D$42:$K$50,MATCH($B9,Stat_Phasing!$B$42:$B$50,0),MATCH(AQ$4,Stat_Phasing!$D$41:$K$41))</f>
        <v>0</v>
      </c>
      <c r="AR9" s="38">
        <f>$M9*INDEX(Stat_Phasing!$D$42:$K$50,MATCH($B9,Stat_Phasing!$B$42:$B$50,0),MATCH(AR$4,Stat_Phasing!$D$41:$K$41))</f>
        <v>0</v>
      </c>
      <c r="AS9" s="38">
        <f>$M9*INDEX(Stat_Phasing!$D$42:$K$50,MATCH($B9,Stat_Phasing!$B$42:$B$50,0),MATCH(AS$4,Stat_Phasing!$D$41:$K$41))</f>
        <v>0</v>
      </c>
      <c r="AT9" s="38">
        <f>$M9*INDEX(Stat_Phasing!$D$42:$K$50,MATCH($B9,Stat_Phasing!$B$42:$B$50,0),MATCH(AT$4,Stat_Phasing!$D$41:$K$41))</f>
        <v>0</v>
      </c>
      <c r="AU9" s="38">
        <f>$M9*INDEX(Stat_Phasing!$D$42:$K$50,MATCH($B9,Stat_Phasing!$B$42:$B$50,0),MATCH(AU$4,Stat_Phasing!$D$41:$K$41))</f>
        <v>0</v>
      </c>
      <c r="AV9" s="38">
        <f>$M9*INDEX(Stat_Phasing!$D$42:$K$50,MATCH($B9,Stat_Phasing!$B$42:$B$50,0),MATCH(AV$4,Stat_Phasing!$D$41:$K$41))</f>
        <v>0</v>
      </c>
      <c r="AW9" s="6"/>
      <c r="AX9" s="6">
        <f t="shared" ref="AX9:AX36" si="17">N9+W9+AF9+AO9</f>
        <v>0</v>
      </c>
      <c r="AY9" s="6">
        <f t="shared" ref="AY9:AY36" si="18">O9+X9+AG9+AP9</f>
        <v>0</v>
      </c>
      <c r="AZ9" s="6">
        <f t="shared" ref="AZ9:AZ36" si="19">P9+Y9+AH9+AQ9</f>
        <v>0</v>
      </c>
      <c r="BA9" s="6">
        <f t="shared" ref="BA9:BA36" si="20">Q9+Z9+AI9+AR9</f>
        <v>0</v>
      </c>
      <c r="BB9" s="6">
        <f t="shared" ref="BB9:BB36" si="21">R9+AA9+AJ9+AS9</f>
        <v>0</v>
      </c>
      <c r="BC9" s="6">
        <f t="shared" si="5"/>
        <v>0</v>
      </c>
      <c r="BD9" s="6">
        <f t="shared" si="6"/>
        <v>0</v>
      </c>
      <c r="BE9" s="6">
        <f t="shared" si="7"/>
        <v>0</v>
      </c>
      <c r="BG9" s="14">
        <f t="shared" si="8"/>
        <v>0</v>
      </c>
      <c r="BH9" s="38">
        <f t="shared" si="15"/>
        <v>0</v>
      </c>
      <c r="BJ9" s="15"/>
      <c r="BK9" s="15"/>
      <c r="BL9" s="15"/>
      <c r="BM9" s="15"/>
      <c r="BO9" s="15"/>
      <c r="BP9" s="15"/>
      <c r="BQ9" s="15"/>
      <c r="BR9" s="15"/>
      <c r="BT9" s="16"/>
      <c r="BU9" s="16"/>
      <c r="BV9" s="16"/>
      <c r="BW9" s="16"/>
    </row>
    <row r="10" spans="2:75" x14ac:dyDescent="0.3">
      <c r="B10" s="175" t="str">
        <f>STN_2</f>
        <v>ELM</v>
      </c>
      <c r="C10" s="17">
        <f>INDEX(Schedule!$C$4:$E$12,MATCH($B10,Schedule!$B$4:$B$12,0),1)</f>
        <v>43282</v>
      </c>
      <c r="D10" s="17">
        <f>INDEX(Schedule!$C$4:$E$12,MATCH($B10,Schedule!$B$4:$B$12,0),2)</f>
        <v>43647</v>
      </c>
      <c r="E10" s="17">
        <f>INDEX(Schedule!$C$4:$E$12,MATCH($B10,Schedule!$B$4:$B$12,0),3)</f>
        <v>44105</v>
      </c>
      <c r="F10" s="20" t="s">
        <v>42</v>
      </c>
      <c r="G10" s="20" t="s">
        <v>18</v>
      </c>
      <c r="H10" s="20" t="str">
        <f t="shared" si="9"/>
        <v>SubtransmissionAugmentation</v>
      </c>
      <c r="I10" s="390">
        <f>INDEX(ELM_Det!$K$110:$O$114,MATCH($H10,ELM_Det!$F$110:$F$114,0),MATCH(I$3,ELM_Det!$K$4:$O$4,0))</f>
        <v>1253.1621294807364</v>
      </c>
      <c r="J10" s="390">
        <f>INDEX(ELM_Det!$K$110:$O$114,MATCH($H10,ELM_Det!$F$110:$F$114,0),MATCH(J$3,ELM_Det!$K$4:$O$4,0))</f>
        <v>415.41461816961925</v>
      </c>
      <c r="K10" s="390">
        <f>INDEX(ELM_Det!$K$110:$O$114,MATCH($H10,ELM_Det!$F$110:$F$114,0),MATCH(K$3,ELM_Det!$K$4:$O$4,0))</f>
        <v>325.06429555408585</v>
      </c>
      <c r="L10" s="390">
        <f>INDEX(ELM_Det!$K$110:$O$114,MATCH($H10,ELM_Det!$F$110:$F$114,0),MATCH(L$3,ELM_Det!$K$4:$O$4,0))</f>
        <v>1667.0143896954903</v>
      </c>
      <c r="M10" s="390">
        <f>INDEX(ELM_Det!$K$110:$O$114,MATCH($H10,ELM_Det!$F$110:$F$114,0),MATCH(M$3,ELM_Det!$K$4:$O$4,0))</f>
        <v>364.22858172427084</v>
      </c>
      <c r="N10" s="38">
        <f>$I10*INDEX(Stat_Phasing!$D$6:$K$14,MATCH($B10,Stat_Phasing!$B$6:$B$14,0),MATCH(N$4,Stat_Phasing!$D$5:$K$5))</f>
        <v>0</v>
      </c>
      <c r="O10" s="38">
        <f>$I10*INDEX(Stat_Phasing!$D$6:$K$14,MATCH($B10,Stat_Phasing!$B$6:$B$14,0),MATCH(O$4,Stat_Phasing!$D$5:$K$5))</f>
        <v>0</v>
      </c>
      <c r="P10" s="38">
        <f>$I10*INDEX(Stat_Phasing!$D$6:$K$14,MATCH($B10,Stat_Phasing!$B$6:$B$14,0),MATCH(P$4,Stat_Phasing!$D$5:$K$5))</f>
        <v>82.708700545728604</v>
      </c>
      <c r="Q10" s="38">
        <f>$I10*INDEX(Stat_Phasing!$D$6:$K$14,MATCH($B10,Stat_Phasing!$B$6:$B$14,0),MATCH(Q$4,Stat_Phasing!$D$5:$K$5))</f>
        <v>1107.795322460971</v>
      </c>
      <c r="R10" s="38">
        <f>$I10*INDEX(Stat_Phasing!$D$6:$K$14,MATCH($B10,Stat_Phasing!$B$6:$B$14,0),MATCH(R$4,Stat_Phasing!$D$5:$K$5))</f>
        <v>62.658106474036828</v>
      </c>
      <c r="S10" s="38">
        <f>$I10*INDEX(Stat_Phasing!$D$6:$K$14,MATCH($B10,Stat_Phasing!$B$6:$B$14,0),MATCH(S$4,Stat_Phasing!$D$5:$K$5))</f>
        <v>0</v>
      </c>
      <c r="T10" s="38">
        <f>$I10*INDEX(Stat_Phasing!$D$6:$K$14,MATCH($B10,Stat_Phasing!$B$6:$B$14,0),MATCH(T$4,Stat_Phasing!$D$5:$K$5))</f>
        <v>0</v>
      </c>
      <c r="U10" s="38">
        <f>$I10*INDEX(Stat_Phasing!$D$6:$K$14,MATCH($B10,Stat_Phasing!$B$6:$B$14,0),MATCH(U$4,Stat_Phasing!$D$5:$K$5))</f>
        <v>0</v>
      </c>
      <c r="V10" s="38"/>
      <c r="W10" s="38">
        <f>$J10*INDEX(Stat_Phasing!$D$18:$K$26,MATCH($B10,Stat_Phasing!$B$18:$B$26,0),MATCH(W$4,Stat_Phasing!$D$17:$K$17))</f>
        <v>0</v>
      </c>
      <c r="X10" s="38">
        <f>$J10*INDEX(Stat_Phasing!$D$18:$K$26,MATCH($B10,Stat_Phasing!$B$18:$B$26,0),MATCH(X$4,Stat_Phasing!$D$17:$K$17))</f>
        <v>0</v>
      </c>
      <c r="Y10" s="38">
        <f>$J10*INDEX(Stat_Phasing!$D$18:$K$26,MATCH($B10,Stat_Phasing!$B$18:$B$26,0),MATCH(Y$4,Stat_Phasing!$D$17:$K$17))</f>
        <v>68.543411997987178</v>
      </c>
      <c r="Z10" s="38">
        <f>$J10*INDEX(Stat_Phasing!$D$18:$K$26,MATCH($B10,Stat_Phasing!$B$18:$B$26,0),MATCH(Z$4,Stat_Phasing!$D$17:$K$17))</f>
        <v>326.10047526315105</v>
      </c>
      <c r="AA10" s="38">
        <f>$J10*INDEX(Stat_Phasing!$D$18:$K$26,MATCH($B10,Stat_Phasing!$B$18:$B$26,0),MATCH(AA$4,Stat_Phasing!$D$17:$K$17))</f>
        <v>20.770730908480964</v>
      </c>
      <c r="AB10" s="38">
        <f>$J10*INDEX(Stat_Phasing!$D$18:$K$26,MATCH($B10,Stat_Phasing!$B$18:$B$26,0),MATCH(AB$4,Stat_Phasing!$D$17:$K$17))</f>
        <v>0</v>
      </c>
      <c r="AC10" s="38">
        <f>$J10*INDEX(Stat_Phasing!$D$18:$K$26,MATCH($B10,Stat_Phasing!$B$18:$B$26,0),MATCH(AC$4,Stat_Phasing!$D$17:$K$17))</f>
        <v>0</v>
      </c>
      <c r="AD10" s="38">
        <f>$J10*INDEX(Stat_Phasing!$D$18:$K$26,MATCH($B10,Stat_Phasing!$B$18:$B$26,0),MATCH(AD$4,Stat_Phasing!$D$17:$K$17))</f>
        <v>0</v>
      </c>
      <c r="AE10" s="38"/>
      <c r="AF10" s="38">
        <f>SUM($K10:$L10)*INDEX(Stat_Phasing!$D$30:$K$38,MATCH($B10,Stat_Phasing!$B$30:$B$38,0),MATCH(AF$4,Stat_Phasing!$D$29:$K$29))</f>
        <v>0</v>
      </c>
      <c r="AG10" s="38">
        <f>SUM($K10:$L10)*INDEX(Stat_Phasing!$D$30:$K$38,MATCH($B10,Stat_Phasing!$B$30:$B$38,0),MATCH(AG$4,Stat_Phasing!$D$29:$K$29))</f>
        <v>0</v>
      </c>
      <c r="AH10" s="38">
        <f>SUM($K10:$L10)*INDEX(Stat_Phasing!$D$30:$K$38,MATCH($B10,Stat_Phasing!$B$30:$B$38,0),MATCH(AH$4,Stat_Phasing!$D$29:$K$29))</f>
        <v>394.43157967941613</v>
      </c>
      <c r="AI10" s="38">
        <f>SUM($K10:$L10)*INDEX(Stat_Phasing!$D$30:$K$38,MATCH($B10,Stat_Phasing!$B$30:$B$38,0),MATCH(AI$4,Stat_Phasing!$D$29:$K$29))</f>
        <v>1458.2015976026898</v>
      </c>
      <c r="AJ10" s="38">
        <f>SUM($K10:$L10)*INDEX(Stat_Phasing!$D$30:$K$38,MATCH($B10,Stat_Phasing!$B$30:$B$38,0),MATCH(AJ$4,Stat_Phasing!$D$29:$K$29))</f>
        <v>99.603934262478816</v>
      </c>
      <c r="AK10" s="38">
        <f>SUM($K10:$L10)*INDEX(Stat_Phasing!$D$30:$K$38,MATCH($B10,Stat_Phasing!$B$30:$B$38,0),MATCH(AK$4,Stat_Phasing!$D$29:$K$29))</f>
        <v>39.841573704991525</v>
      </c>
      <c r="AL10" s="38">
        <f>SUM($K10:$L10)*INDEX(Stat_Phasing!$D$30:$K$38,MATCH($B10,Stat_Phasing!$B$30:$B$38,0),MATCH(AL$4,Stat_Phasing!$D$29:$K$29))</f>
        <v>0</v>
      </c>
      <c r="AM10" s="38">
        <f>SUM($K10:$L10)*INDEX(Stat_Phasing!$D$30:$K$38,MATCH($B10,Stat_Phasing!$B$30:$B$38,0),MATCH(AM$4,Stat_Phasing!$D$29:$K$29))</f>
        <v>0</v>
      </c>
      <c r="AN10" s="38"/>
      <c r="AO10" s="38">
        <f>$M10*INDEX(Stat_Phasing!$D$42:$K$50,MATCH($B10,Stat_Phasing!$B$42:$B$50,0),MATCH(AO$4,Stat_Phasing!$D$41:$K$41))</f>
        <v>0</v>
      </c>
      <c r="AP10" s="38">
        <f>$M10*INDEX(Stat_Phasing!$D$42:$K$50,MATCH($B10,Stat_Phasing!$B$42:$B$50,0),MATCH(AP$4,Stat_Phasing!$D$41:$K$41))</f>
        <v>0</v>
      </c>
      <c r="AQ10" s="38">
        <f>$M10*INDEX(Stat_Phasing!$D$42:$K$50,MATCH($B10,Stat_Phasing!$B$42:$B$50,0),MATCH(AQ$4,Stat_Phasing!$D$41:$K$41))</f>
        <v>0</v>
      </c>
      <c r="AR10" s="38">
        <f>$M10*INDEX(Stat_Phasing!$D$42:$K$50,MATCH($B10,Stat_Phasing!$B$42:$B$50,0),MATCH(AR$4,Stat_Phasing!$D$41:$K$41))</f>
        <v>192.31269115041502</v>
      </c>
      <c r="AS10" s="38">
        <f>$M10*INDEX(Stat_Phasing!$D$42:$K$50,MATCH($B10,Stat_Phasing!$B$42:$B$50,0),MATCH(AS$4,Stat_Phasing!$D$41:$K$41))</f>
        <v>153.70446148764231</v>
      </c>
      <c r="AT10" s="38">
        <f>$M10*INDEX(Stat_Phasing!$D$42:$K$50,MATCH($B10,Stat_Phasing!$B$42:$B$50,0),MATCH(AT$4,Stat_Phasing!$D$41:$K$41))</f>
        <v>18.211429086213542</v>
      </c>
      <c r="AU10" s="38">
        <f>$M10*INDEX(Stat_Phasing!$D$42:$K$50,MATCH($B10,Stat_Phasing!$B$42:$B$50,0),MATCH(AU$4,Stat_Phasing!$D$41:$K$41))</f>
        <v>0</v>
      </c>
      <c r="AV10" s="38">
        <f>$M10*INDEX(Stat_Phasing!$D$42:$K$50,MATCH($B10,Stat_Phasing!$B$42:$B$50,0),MATCH(AV$4,Stat_Phasing!$D$41:$K$41))</f>
        <v>0</v>
      </c>
      <c r="AW10" s="6"/>
      <c r="AX10" s="6">
        <f t="shared" si="17"/>
        <v>0</v>
      </c>
      <c r="AY10" s="6">
        <f t="shared" si="18"/>
        <v>0</v>
      </c>
      <c r="AZ10" s="6">
        <f t="shared" si="19"/>
        <v>545.68369222313186</v>
      </c>
      <c r="BA10" s="6">
        <f t="shared" si="20"/>
        <v>3084.4100864772272</v>
      </c>
      <c r="BB10" s="6">
        <f t="shared" si="21"/>
        <v>336.73723313263895</v>
      </c>
      <c r="BC10" s="6">
        <f t="shared" si="5"/>
        <v>58.053002791205067</v>
      </c>
      <c r="BD10" s="6">
        <f t="shared" si="6"/>
        <v>0</v>
      </c>
      <c r="BE10" s="6">
        <f t="shared" si="7"/>
        <v>0</v>
      </c>
      <c r="BG10" s="14">
        <f t="shared" si="8"/>
        <v>4024.8840146242032</v>
      </c>
      <c r="BH10" s="38">
        <f t="shared" si="15"/>
        <v>0</v>
      </c>
      <c r="BJ10" s="15"/>
      <c r="BK10" s="15"/>
      <c r="BL10" s="15"/>
      <c r="BM10" s="15"/>
      <c r="BO10" s="15"/>
      <c r="BP10" s="15"/>
      <c r="BQ10" s="15"/>
      <c r="BR10" s="15"/>
      <c r="BT10" s="16"/>
      <c r="BU10" s="16"/>
      <c r="BV10" s="16"/>
      <c r="BW10" s="16"/>
    </row>
    <row r="11" spans="2:75" x14ac:dyDescent="0.3">
      <c r="B11" s="175" t="str">
        <f>STN_2</f>
        <v>ELM</v>
      </c>
      <c r="C11" s="17">
        <f>INDEX(Schedule!$C$4:$E$12,MATCH($B11,Schedule!$B$4:$B$12,0),1)</f>
        <v>43282</v>
      </c>
      <c r="D11" s="17">
        <f>INDEX(Schedule!$C$4:$E$12,MATCH($B11,Schedule!$B$4:$B$12,0),2)</f>
        <v>43647</v>
      </c>
      <c r="E11" s="17">
        <f>INDEX(Schedule!$C$4:$E$12,MATCH($B11,Schedule!$B$4:$B$12,0),3)</f>
        <v>44105</v>
      </c>
      <c r="F11" s="20" t="s">
        <v>44</v>
      </c>
      <c r="G11" s="20" t="s">
        <v>18</v>
      </c>
      <c r="H11" s="20" t="str">
        <f t="shared" si="9"/>
        <v>SubtransmissionReplacement</v>
      </c>
      <c r="I11" s="390">
        <f>INDEX(ELM_Det!$K$110:$O$114,MATCH($H11,ELM_Det!$F$110:$F$114,0),MATCH(I$3,ELM_Det!$K$4:$O$4,0))</f>
        <v>0</v>
      </c>
      <c r="J11" s="390">
        <f>INDEX(ELM_Det!$K$110:$O$114,MATCH($H11,ELM_Det!$F$110:$F$114,0),MATCH(J$3,ELM_Det!$K$4:$O$4,0))</f>
        <v>0</v>
      </c>
      <c r="K11" s="390">
        <f>INDEX(ELM_Det!$K$110:$O$114,MATCH($H11,ELM_Det!$F$110:$F$114,0),MATCH(K$3,ELM_Det!$K$4:$O$4,0))</f>
        <v>0</v>
      </c>
      <c r="L11" s="390">
        <f>INDEX(ELM_Det!$K$110:$O$114,MATCH($H11,ELM_Det!$F$110:$F$114,0),MATCH(L$3,ELM_Det!$K$4:$O$4,0))</f>
        <v>0</v>
      </c>
      <c r="M11" s="390">
        <f>INDEX(ELM_Det!$K$110:$O$114,MATCH($H11,ELM_Det!$F$110:$F$114,0),MATCH(M$3,ELM_Det!$K$4:$O$4,0))</f>
        <v>0</v>
      </c>
      <c r="N11" s="38">
        <f>$I11*INDEX(Stat_Phasing!$D$6:$K$14,MATCH($B11,Stat_Phasing!$B$6:$B$14,0),MATCH(N$4,Stat_Phasing!$D$5:$K$5))</f>
        <v>0</v>
      </c>
      <c r="O11" s="38">
        <f>$I11*INDEX(Stat_Phasing!$D$6:$K$14,MATCH($B11,Stat_Phasing!$B$6:$B$14,0),MATCH(O$4,Stat_Phasing!$D$5:$K$5))</f>
        <v>0</v>
      </c>
      <c r="P11" s="38">
        <f>$I11*INDEX(Stat_Phasing!$D$6:$K$14,MATCH($B11,Stat_Phasing!$B$6:$B$14,0),MATCH(P$4,Stat_Phasing!$D$5:$K$5))</f>
        <v>0</v>
      </c>
      <c r="Q11" s="38">
        <f>$I11*INDEX(Stat_Phasing!$D$6:$K$14,MATCH($B11,Stat_Phasing!$B$6:$B$14,0),MATCH(Q$4,Stat_Phasing!$D$5:$K$5))</f>
        <v>0</v>
      </c>
      <c r="R11" s="38">
        <f>$I11*INDEX(Stat_Phasing!$D$6:$K$14,MATCH($B11,Stat_Phasing!$B$6:$B$14,0),MATCH(R$4,Stat_Phasing!$D$5:$K$5))</f>
        <v>0</v>
      </c>
      <c r="S11" s="38">
        <f>$I11*INDEX(Stat_Phasing!$D$6:$K$14,MATCH($B11,Stat_Phasing!$B$6:$B$14,0),MATCH(S$4,Stat_Phasing!$D$5:$K$5))</f>
        <v>0</v>
      </c>
      <c r="T11" s="38">
        <f>$I11*INDEX(Stat_Phasing!$D$6:$K$14,MATCH($B11,Stat_Phasing!$B$6:$B$14,0),MATCH(T$4,Stat_Phasing!$D$5:$K$5))</f>
        <v>0</v>
      </c>
      <c r="U11" s="38">
        <f>$I11*INDEX(Stat_Phasing!$D$6:$K$14,MATCH($B11,Stat_Phasing!$B$6:$B$14,0),MATCH(U$4,Stat_Phasing!$D$5:$K$5))</f>
        <v>0</v>
      </c>
      <c r="V11" s="38"/>
      <c r="W11" s="38">
        <f>$J11*INDEX(Stat_Phasing!$D$18:$K$26,MATCH($B11,Stat_Phasing!$B$18:$B$26,0),MATCH(W$4,Stat_Phasing!$D$17:$K$17))</f>
        <v>0</v>
      </c>
      <c r="X11" s="38">
        <f>$J11*INDEX(Stat_Phasing!$D$18:$K$26,MATCH($B11,Stat_Phasing!$B$18:$B$26,0),MATCH(X$4,Stat_Phasing!$D$17:$K$17))</f>
        <v>0</v>
      </c>
      <c r="Y11" s="38">
        <f>$J11*INDEX(Stat_Phasing!$D$18:$K$26,MATCH($B11,Stat_Phasing!$B$18:$B$26,0),MATCH(Y$4,Stat_Phasing!$D$17:$K$17))</f>
        <v>0</v>
      </c>
      <c r="Z11" s="38">
        <f>$J11*INDEX(Stat_Phasing!$D$18:$K$26,MATCH($B11,Stat_Phasing!$B$18:$B$26,0),MATCH(Z$4,Stat_Phasing!$D$17:$K$17))</f>
        <v>0</v>
      </c>
      <c r="AA11" s="38">
        <f>$J11*INDEX(Stat_Phasing!$D$18:$K$26,MATCH($B11,Stat_Phasing!$B$18:$B$26,0),MATCH(AA$4,Stat_Phasing!$D$17:$K$17))</f>
        <v>0</v>
      </c>
      <c r="AB11" s="38">
        <f>$J11*INDEX(Stat_Phasing!$D$18:$K$26,MATCH($B11,Stat_Phasing!$B$18:$B$26,0),MATCH(AB$4,Stat_Phasing!$D$17:$K$17))</f>
        <v>0</v>
      </c>
      <c r="AC11" s="38">
        <f>$J11*INDEX(Stat_Phasing!$D$18:$K$26,MATCH($B11,Stat_Phasing!$B$18:$B$26,0),MATCH(AC$4,Stat_Phasing!$D$17:$K$17))</f>
        <v>0</v>
      </c>
      <c r="AD11" s="38">
        <f>$J11*INDEX(Stat_Phasing!$D$18:$K$26,MATCH($B11,Stat_Phasing!$B$18:$B$26,0),MATCH(AD$4,Stat_Phasing!$D$17:$K$17))</f>
        <v>0</v>
      </c>
      <c r="AE11" s="38"/>
      <c r="AF11" s="38">
        <f>SUM($K11:$L11)*INDEX(Stat_Phasing!$D$30:$K$38,MATCH($B11,Stat_Phasing!$B$30:$B$38,0),MATCH(AF$4,Stat_Phasing!$D$29:$K$29))</f>
        <v>0</v>
      </c>
      <c r="AG11" s="38">
        <f>SUM($K11:$L11)*INDEX(Stat_Phasing!$D$30:$K$38,MATCH($B11,Stat_Phasing!$B$30:$B$38,0),MATCH(AG$4,Stat_Phasing!$D$29:$K$29))</f>
        <v>0</v>
      </c>
      <c r="AH11" s="38">
        <f>SUM($K11:$L11)*INDEX(Stat_Phasing!$D$30:$K$38,MATCH($B11,Stat_Phasing!$B$30:$B$38,0),MATCH(AH$4,Stat_Phasing!$D$29:$K$29))</f>
        <v>0</v>
      </c>
      <c r="AI11" s="38">
        <f>SUM($K11:$L11)*INDEX(Stat_Phasing!$D$30:$K$38,MATCH($B11,Stat_Phasing!$B$30:$B$38,0),MATCH(AI$4,Stat_Phasing!$D$29:$K$29))</f>
        <v>0</v>
      </c>
      <c r="AJ11" s="38">
        <f>SUM($K11:$L11)*INDEX(Stat_Phasing!$D$30:$K$38,MATCH($B11,Stat_Phasing!$B$30:$B$38,0),MATCH(AJ$4,Stat_Phasing!$D$29:$K$29))</f>
        <v>0</v>
      </c>
      <c r="AK11" s="38">
        <f>SUM($K11:$L11)*INDEX(Stat_Phasing!$D$30:$K$38,MATCH($B11,Stat_Phasing!$B$30:$B$38,0),MATCH(AK$4,Stat_Phasing!$D$29:$K$29))</f>
        <v>0</v>
      </c>
      <c r="AL11" s="38">
        <f>SUM($K11:$L11)*INDEX(Stat_Phasing!$D$30:$K$38,MATCH($B11,Stat_Phasing!$B$30:$B$38,0),MATCH(AL$4,Stat_Phasing!$D$29:$K$29))</f>
        <v>0</v>
      </c>
      <c r="AM11" s="38">
        <f>SUM($K11:$L11)*INDEX(Stat_Phasing!$D$30:$K$38,MATCH($B11,Stat_Phasing!$B$30:$B$38,0),MATCH(AM$4,Stat_Phasing!$D$29:$K$29))</f>
        <v>0</v>
      </c>
      <c r="AN11" s="38"/>
      <c r="AO11" s="38">
        <f>$M11*INDEX(Stat_Phasing!$D$42:$K$50,MATCH($B11,Stat_Phasing!$B$42:$B$50,0),MATCH(AO$4,Stat_Phasing!$D$41:$K$41))</f>
        <v>0</v>
      </c>
      <c r="AP11" s="38">
        <f>$M11*INDEX(Stat_Phasing!$D$42:$K$50,MATCH($B11,Stat_Phasing!$B$42:$B$50,0),MATCH(AP$4,Stat_Phasing!$D$41:$K$41))</f>
        <v>0</v>
      </c>
      <c r="AQ11" s="38">
        <f>$M11*INDEX(Stat_Phasing!$D$42:$K$50,MATCH($B11,Stat_Phasing!$B$42:$B$50,0),MATCH(AQ$4,Stat_Phasing!$D$41:$K$41))</f>
        <v>0</v>
      </c>
      <c r="AR11" s="38">
        <f>$M11*INDEX(Stat_Phasing!$D$42:$K$50,MATCH($B11,Stat_Phasing!$B$42:$B$50,0),MATCH(AR$4,Stat_Phasing!$D$41:$K$41))</f>
        <v>0</v>
      </c>
      <c r="AS11" s="38">
        <f>$M11*INDEX(Stat_Phasing!$D$42:$K$50,MATCH($B11,Stat_Phasing!$B$42:$B$50,0),MATCH(AS$4,Stat_Phasing!$D$41:$K$41))</f>
        <v>0</v>
      </c>
      <c r="AT11" s="38">
        <f>$M11*INDEX(Stat_Phasing!$D$42:$K$50,MATCH($B11,Stat_Phasing!$B$42:$B$50,0),MATCH(AT$4,Stat_Phasing!$D$41:$K$41))</f>
        <v>0</v>
      </c>
      <c r="AU11" s="38">
        <f>$M11*INDEX(Stat_Phasing!$D$42:$K$50,MATCH($B11,Stat_Phasing!$B$42:$B$50,0),MATCH(AU$4,Stat_Phasing!$D$41:$K$41))</f>
        <v>0</v>
      </c>
      <c r="AV11" s="38">
        <f>$M11*INDEX(Stat_Phasing!$D$42:$K$50,MATCH($B11,Stat_Phasing!$B$42:$B$50,0),MATCH(AV$4,Stat_Phasing!$D$41:$K$41))</f>
        <v>0</v>
      </c>
      <c r="AW11" s="6"/>
      <c r="AX11" s="6">
        <f t="shared" ref="AX11" si="22">N11+W11+AF11+AO11</f>
        <v>0</v>
      </c>
      <c r="AY11" s="6">
        <f t="shared" ref="AY11" si="23">O11+X11+AG11+AP11</f>
        <v>0</v>
      </c>
      <c r="AZ11" s="6">
        <f t="shared" ref="AZ11" si="24">P11+Y11+AH11+AQ11</f>
        <v>0</v>
      </c>
      <c r="BA11" s="6">
        <f t="shared" ref="BA11" si="25">Q11+Z11+AI11+AR11</f>
        <v>0</v>
      </c>
      <c r="BB11" s="6">
        <f t="shared" ref="BB11" si="26">R11+AA11+AJ11+AS11</f>
        <v>0</v>
      </c>
      <c r="BC11" s="6">
        <f t="shared" si="5"/>
        <v>0</v>
      </c>
      <c r="BD11" s="6">
        <f t="shared" si="6"/>
        <v>0</v>
      </c>
      <c r="BE11" s="6">
        <f t="shared" si="7"/>
        <v>0</v>
      </c>
      <c r="BG11" s="14">
        <f t="shared" si="8"/>
        <v>0</v>
      </c>
      <c r="BH11" s="38">
        <f t="shared" si="15"/>
        <v>0</v>
      </c>
      <c r="BJ11" s="15"/>
      <c r="BK11" s="15"/>
      <c r="BL11" s="15"/>
      <c r="BM11" s="15"/>
      <c r="BO11" s="15"/>
      <c r="BP11" s="15"/>
      <c r="BQ11" s="15"/>
      <c r="BR11" s="15"/>
      <c r="BT11" s="16"/>
      <c r="BU11" s="16"/>
      <c r="BV11" s="16"/>
      <c r="BW11" s="16"/>
    </row>
    <row r="12" spans="2:75" x14ac:dyDescent="0.3">
      <c r="B12" s="175" t="str">
        <f>STN_2</f>
        <v>ELM</v>
      </c>
      <c r="C12" s="17">
        <f>INDEX(Schedule!$C$4:$E$12,MATCH($B12,Schedule!$B$4:$B$12,0),1)</f>
        <v>43282</v>
      </c>
      <c r="D12" s="17">
        <f>INDEX(Schedule!$C$4:$E$12,MATCH($B12,Schedule!$B$4:$B$12,0),2)</f>
        <v>43647</v>
      </c>
      <c r="E12" s="17">
        <f>INDEX(Schedule!$C$4:$E$12,MATCH($B12,Schedule!$B$4:$B$12,0),3)</f>
        <v>44105</v>
      </c>
      <c r="F12" s="20" t="s">
        <v>42</v>
      </c>
      <c r="G12" s="20" t="s">
        <v>22</v>
      </c>
      <c r="H12" s="20" t="str">
        <f t="shared" si="9"/>
        <v>SCADA/Network controlAugmentation</v>
      </c>
      <c r="I12" s="390">
        <f>INDEX(ELM_Det!$K$110:$O$114,MATCH($H12,ELM_Det!$F$110:$F$114,0),MATCH(I$3,ELM_Det!$K$4:$O$4,0))</f>
        <v>2790.1285352977293</v>
      </c>
      <c r="J12" s="390">
        <f>INDEX(ELM_Det!$K$110:$O$114,MATCH($H12,ELM_Det!$F$110:$F$114,0),MATCH(J$3,ELM_Det!$K$4:$O$4,0))</f>
        <v>408.29588183038078</v>
      </c>
      <c r="K12" s="390">
        <f>INDEX(ELM_Det!$K$110:$O$114,MATCH($H12,ELM_Det!$F$110:$F$114,0),MATCH(K$3,ELM_Det!$K$4:$O$4,0))</f>
        <v>319.49384398079775</v>
      </c>
      <c r="L12" s="390">
        <f>INDEX(ELM_Det!$K$110:$O$114,MATCH($H12,ELM_Det!$F$110:$F$114,0),MATCH(L$3,ELM_Det!$K$4:$O$4,0))</f>
        <v>433.56654327808474</v>
      </c>
      <c r="M12" s="390">
        <f>INDEX(ELM_Det!$K$110:$O$114,MATCH($H12,ELM_Det!$F$110:$F$114,0),MATCH(M$3,ELM_Det!$K$4:$O$4,0))</f>
        <v>4.426942909760589</v>
      </c>
      <c r="N12" s="38">
        <f>$I12*INDEX(Stat_Phasing!$D$6:$K$14,MATCH($B12,Stat_Phasing!$B$6:$B$14,0),MATCH(N$4,Stat_Phasing!$D$5:$K$5))</f>
        <v>0</v>
      </c>
      <c r="O12" s="38">
        <f>$I12*INDEX(Stat_Phasing!$D$6:$K$14,MATCH($B12,Stat_Phasing!$B$6:$B$14,0),MATCH(O$4,Stat_Phasing!$D$5:$K$5))</f>
        <v>0</v>
      </c>
      <c r="P12" s="38">
        <f>$I12*INDEX(Stat_Phasing!$D$6:$K$14,MATCH($B12,Stat_Phasing!$B$6:$B$14,0),MATCH(P$4,Stat_Phasing!$D$5:$K$5))</f>
        <v>184.14848332965013</v>
      </c>
      <c r="Q12" s="38">
        <f>$I12*INDEX(Stat_Phasing!$D$6:$K$14,MATCH($B12,Stat_Phasing!$B$6:$B$14,0),MATCH(Q$4,Stat_Phasing!$D$5:$K$5))</f>
        <v>2466.4736252031926</v>
      </c>
      <c r="R12" s="38">
        <f>$I12*INDEX(Stat_Phasing!$D$6:$K$14,MATCH($B12,Stat_Phasing!$B$6:$B$14,0),MATCH(R$4,Stat_Phasing!$D$5:$K$5))</f>
        <v>139.50642676488647</v>
      </c>
      <c r="S12" s="38">
        <f>$I12*INDEX(Stat_Phasing!$D$6:$K$14,MATCH($B12,Stat_Phasing!$B$6:$B$14,0),MATCH(S$4,Stat_Phasing!$D$5:$K$5))</f>
        <v>0</v>
      </c>
      <c r="T12" s="38">
        <f>$I12*INDEX(Stat_Phasing!$D$6:$K$14,MATCH($B12,Stat_Phasing!$B$6:$B$14,0),MATCH(T$4,Stat_Phasing!$D$5:$K$5))</f>
        <v>0</v>
      </c>
      <c r="U12" s="38">
        <f>$I12*INDEX(Stat_Phasing!$D$6:$K$14,MATCH($B12,Stat_Phasing!$B$6:$B$14,0),MATCH(U$4,Stat_Phasing!$D$5:$K$5))</f>
        <v>0</v>
      </c>
      <c r="V12" s="38"/>
      <c r="W12" s="38">
        <f>$J12*INDEX(Stat_Phasing!$D$18:$K$26,MATCH($B12,Stat_Phasing!$B$18:$B$26,0),MATCH(W$4,Stat_Phasing!$D$17:$K$17))</f>
        <v>0</v>
      </c>
      <c r="X12" s="38">
        <f>$J12*INDEX(Stat_Phasing!$D$18:$K$26,MATCH($B12,Stat_Phasing!$B$18:$B$26,0),MATCH(X$4,Stat_Phasing!$D$17:$K$17))</f>
        <v>0</v>
      </c>
      <c r="Y12" s="38">
        <f>$J12*INDEX(Stat_Phasing!$D$18:$K$26,MATCH($B12,Stat_Phasing!$B$18:$B$26,0),MATCH(Y$4,Stat_Phasing!$D$17:$K$17))</f>
        <v>67.368820502012838</v>
      </c>
      <c r="Z12" s="38">
        <f>$J12*INDEX(Stat_Phasing!$D$18:$K$26,MATCH($B12,Stat_Phasing!$B$18:$B$26,0),MATCH(Z$4,Stat_Phasing!$D$17:$K$17))</f>
        <v>320.51226723684886</v>
      </c>
      <c r="AA12" s="38">
        <f>$J12*INDEX(Stat_Phasing!$D$18:$K$26,MATCH($B12,Stat_Phasing!$B$18:$B$26,0),MATCH(AA$4,Stat_Phasing!$D$17:$K$17))</f>
        <v>20.414794091519042</v>
      </c>
      <c r="AB12" s="38">
        <f>$J12*INDEX(Stat_Phasing!$D$18:$K$26,MATCH($B12,Stat_Phasing!$B$18:$B$26,0),MATCH(AB$4,Stat_Phasing!$D$17:$K$17))</f>
        <v>0</v>
      </c>
      <c r="AC12" s="38">
        <f>$J12*INDEX(Stat_Phasing!$D$18:$K$26,MATCH($B12,Stat_Phasing!$B$18:$B$26,0),MATCH(AC$4,Stat_Phasing!$D$17:$K$17))</f>
        <v>0</v>
      </c>
      <c r="AD12" s="38">
        <f>$J12*INDEX(Stat_Phasing!$D$18:$K$26,MATCH($B12,Stat_Phasing!$B$18:$B$26,0),MATCH(AD$4,Stat_Phasing!$D$17:$K$17))</f>
        <v>0</v>
      </c>
      <c r="AE12" s="38"/>
      <c r="AF12" s="38">
        <f>SUM($K12:$L12)*INDEX(Stat_Phasing!$D$30:$K$38,MATCH($B12,Stat_Phasing!$B$30:$B$38,0),MATCH(AF$4,Stat_Phasing!$D$29:$K$29))</f>
        <v>0</v>
      </c>
      <c r="AG12" s="38">
        <f>SUM($K12:$L12)*INDEX(Stat_Phasing!$D$30:$K$38,MATCH($B12,Stat_Phasing!$B$30:$B$38,0),MATCH(AG$4,Stat_Phasing!$D$29:$K$29))</f>
        <v>0</v>
      </c>
      <c r="AH12" s="38">
        <f>SUM($K12:$L12)*INDEX(Stat_Phasing!$D$30:$K$38,MATCH($B12,Stat_Phasing!$B$30:$B$38,0),MATCH(AH$4,Stat_Phasing!$D$29:$K$29))</f>
        <v>149.10595667725872</v>
      </c>
      <c r="AI12" s="38">
        <f>SUM($K12:$L12)*INDEX(Stat_Phasing!$D$30:$K$38,MATCH($B12,Stat_Phasing!$B$30:$B$38,0),MATCH(AI$4,Stat_Phasing!$D$29:$K$29))</f>
        <v>551.24020347350188</v>
      </c>
      <c r="AJ12" s="38">
        <f>SUM($K12:$L12)*INDEX(Stat_Phasing!$D$30:$K$38,MATCH($B12,Stat_Phasing!$B$30:$B$38,0),MATCH(AJ$4,Stat_Phasing!$D$29:$K$29))</f>
        <v>37.653019362944121</v>
      </c>
      <c r="AK12" s="38">
        <f>SUM($K12:$L12)*INDEX(Stat_Phasing!$D$30:$K$38,MATCH($B12,Stat_Phasing!$B$30:$B$38,0),MATCH(AK$4,Stat_Phasing!$D$29:$K$29))</f>
        <v>15.061207745177649</v>
      </c>
      <c r="AL12" s="38">
        <f>SUM($K12:$L12)*INDEX(Stat_Phasing!$D$30:$K$38,MATCH($B12,Stat_Phasing!$B$30:$B$38,0),MATCH(AL$4,Stat_Phasing!$D$29:$K$29))</f>
        <v>0</v>
      </c>
      <c r="AM12" s="38">
        <f>SUM($K12:$L12)*INDEX(Stat_Phasing!$D$30:$K$38,MATCH($B12,Stat_Phasing!$B$30:$B$38,0),MATCH(AM$4,Stat_Phasing!$D$29:$K$29))</f>
        <v>0</v>
      </c>
      <c r="AN12" s="38"/>
      <c r="AO12" s="38">
        <f>$M12*INDEX(Stat_Phasing!$D$42:$K$50,MATCH($B12,Stat_Phasing!$B$42:$B$50,0),MATCH(AO$4,Stat_Phasing!$D$41:$K$41))</f>
        <v>0</v>
      </c>
      <c r="AP12" s="38">
        <f>$M12*INDEX(Stat_Phasing!$D$42:$K$50,MATCH($B12,Stat_Phasing!$B$42:$B$50,0),MATCH(AP$4,Stat_Phasing!$D$41:$K$41))</f>
        <v>0</v>
      </c>
      <c r="AQ12" s="38">
        <f>$M12*INDEX(Stat_Phasing!$D$42:$K$50,MATCH($B12,Stat_Phasing!$B$42:$B$50,0),MATCH(AQ$4,Stat_Phasing!$D$41:$K$41))</f>
        <v>0</v>
      </c>
      <c r="AR12" s="38">
        <f>$M12*INDEX(Stat_Phasing!$D$42:$K$50,MATCH($B12,Stat_Phasing!$B$42:$B$50,0),MATCH(AR$4,Stat_Phasing!$D$41:$K$41))</f>
        <v>2.3374258563535912</v>
      </c>
      <c r="AS12" s="38">
        <f>$M12*INDEX(Stat_Phasing!$D$42:$K$50,MATCH($B12,Stat_Phasing!$B$42:$B$50,0),MATCH(AS$4,Stat_Phasing!$D$41:$K$41))</f>
        <v>1.8681699079189686</v>
      </c>
      <c r="AT12" s="38">
        <f>$M12*INDEX(Stat_Phasing!$D$42:$K$50,MATCH($B12,Stat_Phasing!$B$42:$B$50,0),MATCH(AT$4,Stat_Phasing!$D$41:$K$41))</f>
        <v>0.22134714548802947</v>
      </c>
      <c r="AU12" s="38">
        <f>$M12*INDEX(Stat_Phasing!$D$42:$K$50,MATCH($B12,Stat_Phasing!$B$42:$B$50,0),MATCH(AU$4,Stat_Phasing!$D$41:$K$41))</f>
        <v>0</v>
      </c>
      <c r="AV12" s="38">
        <f>$M12*INDEX(Stat_Phasing!$D$42:$K$50,MATCH($B12,Stat_Phasing!$B$42:$B$50,0),MATCH(AV$4,Stat_Phasing!$D$41:$K$41))</f>
        <v>0</v>
      </c>
      <c r="AW12" s="6"/>
      <c r="AX12" s="6">
        <f t="shared" si="17"/>
        <v>0</v>
      </c>
      <c r="AY12" s="6">
        <f t="shared" si="18"/>
        <v>0</v>
      </c>
      <c r="AZ12" s="6">
        <f t="shared" si="19"/>
        <v>400.6232605089217</v>
      </c>
      <c r="BA12" s="6">
        <f t="shared" si="20"/>
        <v>3340.5635217698969</v>
      </c>
      <c r="BB12" s="6">
        <f t="shared" si="21"/>
        <v>199.4424101272686</v>
      </c>
      <c r="BC12" s="6">
        <f t="shared" si="5"/>
        <v>15.282554890665679</v>
      </c>
      <c r="BD12" s="6">
        <f t="shared" si="6"/>
        <v>0</v>
      </c>
      <c r="BE12" s="6">
        <f t="shared" si="7"/>
        <v>0</v>
      </c>
      <c r="BG12" s="14">
        <f t="shared" si="8"/>
        <v>3955.9117472967528</v>
      </c>
      <c r="BH12" s="38">
        <f t="shared" si="15"/>
        <v>0</v>
      </c>
      <c r="BJ12" s="15"/>
      <c r="BK12" s="15"/>
      <c r="BL12" s="15"/>
      <c r="BM12" s="15"/>
      <c r="BO12" s="15"/>
      <c r="BP12" s="15"/>
      <c r="BQ12" s="15"/>
      <c r="BR12" s="15"/>
      <c r="BT12" s="16"/>
      <c r="BU12" s="16"/>
      <c r="BV12" s="16"/>
      <c r="BW12" s="16"/>
    </row>
    <row r="13" spans="2:75" x14ac:dyDescent="0.3">
      <c r="B13" s="175" t="str">
        <f>STN_2</f>
        <v>ELM</v>
      </c>
      <c r="C13" s="17">
        <f>INDEX(Schedule!$C$4:$E$12,MATCH($B13,Schedule!$B$4:$B$12,0),1)</f>
        <v>43282</v>
      </c>
      <c r="D13" s="17">
        <f>INDEX(Schedule!$C$4:$E$12,MATCH($B13,Schedule!$B$4:$B$12,0),2)</f>
        <v>43647</v>
      </c>
      <c r="E13" s="17">
        <f>INDEX(Schedule!$C$4:$E$12,MATCH($B13,Schedule!$B$4:$B$12,0),3)</f>
        <v>44105</v>
      </c>
      <c r="F13" s="20" t="s">
        <v>66</v>
      </c>
      <c r="G13" s="20" t="s">
        <v>195</v>
      </c>
      <c r="H13" s="20" t="str">
        <f t="shared" ref="H13" si="27">G13&amp;F13</f>
        <v>LandNon-Network</v>
      </c>
      <c r="I13" s="390">
        <f>INDEX(ELM_Det!$K$110:$O$114,MATCH($H13,ELM_Det!$F$110:$F$114,0),MATCH(I$3,ELM_Det!$K$4:$O$4,0))</f>
        <v>0</v>
      </c>
      <c r="J13" s="390">
        <f>INDEX(ELM_Det!$K$110:$O$114,MATCH($H13,ELM_Det!$F$110:$F$114,0),MATCH(J$3,ELM_Det!$K$4:$O$4,0))</f>
        <v>0</v>
      </c>
      <c r="K13" s="390">
        <f>INDEX(ELM_Det!$K$110:$O$114,MATCH($H13,ELM_Det!$F$110:$F$114,0),MATCH(K$3,ELM_Det!$K$4:$O$4,0))</f>
        <v>0</v>
      </c>
      <c r="L13" s="390">
        <f>INDEX(ELM_Det!$K$110:$O$114,MATCH($H13,ELM_Det!$F$110:$F$114,0),MATCH(L$3,ELM_Det!$K$4:$O$4,0))</f>
        <v>0</v>
      </c>
      <c r="M13" s="390">
        <f>INDEX(ELM_Det!$K$110:$O$114,MATCH($H13,ELM_Det!$F$110:$F$114,0),MATCH(M$3,ELM_Det!$K$4:$O$4,0))</f>
        <v>0</v>
      </c>
      <c r="N13" s="38">
        <f>$I13*INDEX(Stat_Phasing!$D$6:$K$14,MATCH($B13,Stat_Phasing!$B$6:$B$14,0),MATCH(N$4,Stat_Phasing!$D$5:$K$5))</f>
        <v>0</v>
      </c>
      <c r="O13" s="38">
        <f>$I13*INDEX(Stat_Phasing!$D$6:$K$14,MATCH($B13,Stat_Phasing!$B$6:$B$14,0),MATCH(O$4,Stat_Phasing!$D$5:$K$5))</f>
        <v>0</v>
      </c>
      <c r="P13" s="38">
        <f>$I13*INDEX(Stat_Phasing!$D$6:$K$14,MATCH($B13,Stat_Phasing!$B$6:$B$14,0),MATCH(P$4,Stat_Phasing!$D$5:$K$5))</f>
        <v>0</v>
      </c>
      <c r="Q13" s="38">
        <f>$I13*INDEX(Stat_Phasing!$D$6:$K$14,MATCH($B13,Stat_Phasing!$B$6:$B$14,0),MATCH(Q$4,Stat_Phasing!$D$5:$K$5))</f>
        <v>0</v>
      </c>
      <c r="R13" s="38">
        <f>$I13*INDEX(Stat_Phasing!$D$6:$K$14,MATCH($B13,Stat_Phasing!$B$6:$B$14,0),MATCH(R$4,Stat_Phasing!$D$5:$K$5))</f>
        <v>0</v>
      </c>
      <c r="S13" s="38">
        <f>$I13*INDEX(Stat_Phasing!$D$6:$K$14,MATCH($B13,Stat_Phasing!$B$6:$B$14,0),MATCH(S$4,Stat_Phasing!$D$5:$K$5))</f>
        <v>0</v>
      </c>
      <c r="T13" s="38">
        <f>$I13*INDEX(Stat_Phasing!$D$6:$K$14,MATCH($B13,Stat_Phasing!$B$6:$B$14,0),MATCH(T$4,Stat_Phasing!$D$5:$K$5))</f>
        <v>0</v>
      </c>
      <c r="U13" s="38">
        <f>$I13*INDEX(Stat_Phasing!$D$6:$K$14,MATCH($B13,Stat_Phasing!$B$6:$B$14,0),MATCH(U$4,Stat_Phasing!$D$5:$K$5))</f>
        <v>0</v>
      </c>
      <c r="V13" s="38"/>
      <c r="W13" s="38">
        <f>$J13*INDEX(Stat_Phasing!$D$18:$K$26,MATCH($B13,Stat_Phasing!$B$18:$B$26,0),MATCH(W$4,Stat_Phasing!$D$17:$K$17))</f>
        <v>0</v>
      </c>
      <c r="X13" s="38">
        <f>$J13*INDEX(Stat_Phasing!$D$18:$K$26,MATCH($B13,Stat_Phasing!$B$18:$B$26,0),MATCH(X$4,Stat_Phasing!$D$17:$K$17))</f>
        <v>0</v>
      </c>
      <c r="Y13" s="38">
        <f>$J13*INDEX(Stat_Phasing!$D$18:$K$26,MATCH($B13,Stat_Phasing!$B$18:$B$26,0),MATCH(Y$4,Stat_Phasing!$D$17:$K$17))</f>
        <v>0</v>
      </c>
      <c r="Z13" s="38">
        <f>$J13*INDEX(Stat_Phasing!$D$18:$K$26,MATCH($B13,Stat_Phasing!$B$18:$B$26,0),MATCH(Z$4,Stat_Phasing!$D$17:$K$17))</f>
        <v>0</v>
      </c>
      <c r="AA13" s="38">
        <f>$J13*INDEX(Stat_Phasing!$D$18:$K$26,MATCH($B13,Stat_Phasing!$B$18:$B$26,0),MATCH(AA$4,Stat_Phasing!$D$17:$K$17))</f>
        <v>0</v>
      </c>
      <c r="AB13" s="38">
        <f>$J13*INDEX(Stat_Phasing!$D$18:$K$26,MATCH($B13,Stat_Phasing!$B$18:$B$26,0),MATCH(AB$4,Stat_Phasing!$D$17:$K$17))</f>
        <v>0</v>
      </c>
      <c r="AC13" s="38">
        <f>$J13*INDEX(Stat_Phasing!$D$18:$K$26,MATCH($B13,Stat_Phasing!$B$18:$B$26,0),MATCH(AC$4,Stat_Phasing!$D$17:$K$17))</f>
        <v>0</v>
      </c>
      <c r="AD13" s="38">
        <f>$J13*INDEX(Stat_Phasing!$D$18:$K$26,MATCH($B13,Stat_Phasing!$B$18:$B$26,0),MATCH(AD$4,Stat_Phasing!$D$17:$K$17))</f>
        <v>0</v>
      </c>
      <c r="AE13" s="38"/>
      <c r="AF13" s="38">
        <f>SUM($K13:$L13)*INDEX(Stat_Phasing!$D$30:$K$38,MATCH($B13,Stat_Phasing!$B$30:$B$38,0),MATCH(AF$4,Stat_Phasing!$D$29:$K$29))</f>
        <v>0</v>
      </c>
      <c r="AG13" s="38">
        <f>SUM($K13:$L13)*INDEX(Stat_Phasing!$D$30:$K$38,MATCH($B13,Stat_Phasing!$B$30:$B$38,0),MATCH(AG$4,Stat_Phasing!$D$29:$K$29))</f>
        <v>0</v>
      </c>
      <c r="AH13" s="38">
        <f>SUM($K13:$L13)*INDEX(Stat_Phasing!$D$30:$K$38,MATCH($B13,Stat_Phasing!$B$30:$B$38,0),MATCH(AH$4,Stat_Phasing!$D$29:$K$29))</f>
        <v>0</v>
      </c>
      <c r="AI13" s="38">
        <f>SUM($K13:$L13)*INDEX(Stat_Phasing!$D$30:$K$38,MATCH($B13,Stat_Phasing!$B$30:$B$38,0),MATCH(AI$4,Stat_Phasing!$D$29:$K$29))</f>
        <v>0</v>
      </c>
      <c r="AJ13" s="38">
        <f>SUM($K13:$L13)*INDEX(Stat_Phasing!$D$30:$K$38,MATCH($B13,Stat_Phasing!$B$30:$B$38,0),MATCH(AJ$4,Stat_Phasing!$D$29:$K$29))</f>
        <v>0</v>
      </c>
      <c r="AK13" s="38">
        <f>SUM($K13:$L13)*INDEX(Stat_Phasing!$D$30:$K$38,MATCH($B13,Stat_Phasing!$B$30:$B$38,0),MATCH(AK$4,Stat_Phasing!$D$29:$K$29))</f>
        <v>0</v>
      </c>
      <c r="AL13" s="38">
        <f>SUM($K13:$L13)*INDEX(Stat_Phasing!$D$30:$K$38,MATCH($B13,Stat_Phasing!$B$30:$B$38,0),MATCH(AL$4,Stat_Phasing!$D$29:$K$29))</f>
        <v>0</v>
      </c>
      <c r="AM13" s="38">
        <f>SUM($K13:$L13)*INDEX(Stat_Phasing!$D$30:$K$38,MATCH($B13,Stat_Phasing!$B$30:$B$38,0),MATCH(AM$4,Stat_Phasing!$D$29:$K$29))</f>
        <v>0</v>
      </c>
      <c r="AN13" s="38"/>
      <c r="AO13" s="38">
        <f>$M13*INDEX(Stat_Phasing!$D$42:$K$50,MATCH($B13,Stat_Phasing!$B$42:$B$50,0),MATCH(AO$4,Stat_Phasing!$D$41:$K$41))</f>
        <v>0</v>
      </c>
      <c r="AP13" s="38">
        <f>$M13*INDEX(Stat_Phasing!$D$42:$K$50,MATCH($B13,Stat_Phasing!$B$42:$B$50,0),MATCH(AP$4,Stat_Phasing!$D$41:$K$41))</f>
        <v>0</v>
      </c>
      <c r="AQ13" s="38">
        <f>$M13*INDEX(Stat_Phasing!$D$42:$K$50,MATCH($B13,Stat_Phasing!$B$42:$B$50,0),MATCH(AQ$4,Stat_Phasing!$D$41:$K$41))</f>
        <v>0</v>
      </c>
      <c r="AR13" s="38">
        <f>$M13*INDEX(Stat_Phasing!$D$42:$K$50,MATCH($B13,Stat_Phasing!$B$42:$B$50,0),MATCH(AR$4,Stat_Phasing!$D$41:$K$41))</f>
        <v>0</v>
      </c>
      <c r="AS13" s="38">
        <f>$M13*INDEX(Stat_Phasing!$D$42:$K$50,MATCH($B13,Stat_Phasing!$B$42:$B$50,0),MATCH(AS$4,Stat_Phasing!$D$41:$K$41))</f>
        <v>0</v>
      </c>
      <c r="AT13" s="38">
        <f>$M13*INDEX(Stat_Phasing!$D$42:$K$50,MATCH($B13,Stat_Phasing!$B$42:$B$50,0),MATCH(AT$4,Stat_Phasing!$D$41:$K$41))</f>
        <v>0</v>
      </c>
      <c r="AU13" s="38">
        <f>$M13*INDEX(Stat_Phasing!$D$42:$K$50,MATCH($B13,Stat_Phasing!$B$42:$B$50,0),MATCH(AU$4,Stat_Phasing!$D$41:$K$41))</f>
        <v>0</v>
      </c>
      <c r="AV13" s="38">
        <f>$M13*INDEX(Stat_Phasing!$D$42:$K$50,MATCH($B13,Stat_Phasing!$B$42:$B$50,0),MATCH(AV$4,Stat_Phasing!$D$41:$K$41))</f>
        <v>0</v>
      </c>
      <c r="AW13" s="6"/>
      <c r="AX13" s="6">
        <f t="shared" si="17"/>
        <v>0</v>
      </c>
      <c r="AY13" s="6">
        <f t="shared" si="18"/>
        <v>0</v>
      </c>
      <c r="AZ13" s="6">
        <f t="shared" si="19"/>
        <v>0</v>
      </c>
      <c r="BA13" s="6">
        <f t="shared" si="20"/>
        <v>0</v>
      </c>
      <c r="BB13" s="6">
        <f t="shared" si="21"/>
        <v>0</v>
      </c>
      <c r="BC13" s="6">
        <f t="shared" si="5"/>
        <v>0</v>
      </c>
      <c r="BD13" s="6">
        <f t="shared" si="6"/>
        <v>0</v>
      </c>
      <c r="BE13" s="6">
        <f t="shared" si="7"/>
        <v>0</v>
      </c>
      <c r="BG13" s="14">
        <f t="shared" si="8"/>
        <v>0</v>
      </c>
      <c r="BH13" s="38">
        <f t="shared" si="15"/>
        <v>0</v>
      </c>
      <c r="BJ13" s="15"/>
      <c r="BK13" s="15"/>
      <c r="BL13" s="15"/>
      <c r="BM13" s="15"/>
      <c r="BO13" s="15"/>
      <c r="BP13" s="15"/>
      <c r="BQ13" s="15"/>
      <c r="BR13" s="15"/>
      <c r="BT13" s="16"/>
      <c r="BU13" s="16"/>
      <c r="BV13" s="16"/>
      <c r="BW13" s="16"/>
    </row>
    <row r="14" spans="2:75" x14ac:dyDescent="0.3">
      <c r="B14" s="175" t="str">
        <f>STN_3</f>
        <v>FGY</v>
      </c>
      <c r="C14" s="17">
        <f>INDEX(Schedule!$C$4:$E$12,MATCH($B14,Schedule!$B$4:$B$12,0),1)</f>
        <v>43330</v>
      </c>
      <c r="D14" s="17">
        <f>INDEX(Schedule!$C$4:$E$12,MATCH($B14,Schedule!$B$4:$B$12,0),2)</f>
        <v>43586</v>
      </c>
      <c r="E14" s="17">
        <f>INDEX(Schedule!$C$4:$E$12,MATCH($B14,Schedule!$B$4:$B$12,0),3)</f>
        <v>44075</v>
      </c>
      <c r="F14" s="20" t="s">
        <v>42</v>
      </c>
      <c r="G14" s="20" t="s">
        <v>18</v>
      </c>
      <c r="H14" s="20" t="str">
        <f t="shared" si="9"/>
        <v>SubtransmissionAugmentation</v>
      </c>
      <c r="I14" s="390">
        <f>INDEX(FGY_Det!$K$108:$O$112,MATCH($H14,FGY_Det!$F$108:$F$112,0),MATCH(I$3,FGY_Det!$K$4:$O$4,0))</f>
        <v>1097.2108780291599</v>
      </c>
      <c r="J14" s="390">
        <f>INDEX(FGY_Det!$K$108:$O$112,MATCH($H14,FGY_Det!$F$108:$F$112,0),MATCH(J$3,FGY_Det!$K$4:$O$4,0))</f>
        <v>417.4279811742972</v>
      </c>
      <c r="K14" s="390">
        <f>INDEX(FGY_Det!$K$108:$O$112,MATCH($H14,FGY_Det!$F$108:$F$112,0),MATCH(K$3,FGY_Det!$K$4:$O$4,0))</f>
        <v>345.53686987046046</v>
      </c>
      <c r="L14" s="390">
        <f>INDEX(FGY_Det!$K$108:$O$112,MATCH($H14,FGY_Det!$F$108:$F$112,0),MATCH(L$3,FGY_Det!$K$4:$O$4,0))</f>
        <v>2361.0799941325113</v>
      </c>
      <c r="M14" s="390">
        <f>INDEX(FGY_Det!$K$108:$O$112,MATCH($H14,FGY_Det!$F$108:$F$112,0),MATCH(M$3,FGY_Det!$K$4:$O$4,0))</f>
        <v>364.96280640198722</v>
      </c>
      <c r="N14" s="38">
        <f>$I14*INDEX(Stat_Phasing!$D$6:$K$14,MATCH($B14,Stat_Phasing!$B$6:$B$14,0),MATCH(N$4,Stat_Phasing!$D$5:$K$5))</f>
        <v>0</v>
      </c>
      <c r="O14" s="38">
        <f>$I14*INDEX(Stat_Phasing!$D$6:$K$14,MATCH($B14,Stat_Phasing!$B$6:$B$14,0),MATCH(O$4,Stat_Phasing!$D$5:$K$5))</f>
        <v>0</v>
      </c>
      <c r="P14" s="38">
        <f>$I14*INDEX(Stat_Phasing!$D$6:$K$14,MATCH($B14,Stat_Phasing!$B$6:$B$14,0),MATCH(P$4,Stat_Phasing!$D$5:$K$5))</f>
        <v>65.832652681749593</v>
      </c>
      <c r="Q14" s="38">
        <f>$I14*INDEX(Stat_Phasing!$D$6:$K$14,MATCH($B14,Stat_Phasing!$B$6:$B$14,0),MATCH(Q$4,Stat_Phasing!$D$5:$K$5))</f>
        <v>669.29863559778732</v>
      </c>
      <c r="R14" s="38">
        <f>$I14*INDEX(Stat_Phasing!$D$6:$K$14,MATCH($B14,Stat_Phasing!$B$6:$B$14,0),MATCH(R$4,Stat_Phasing!$D$5:$K$5))</f>
        <v>362.07958974962276</v>
      </c>
      <c r="S14" s="38">
        <f>$I14*INDEX(Stat_Phasing!$D$6:$K$14,MATCH($B14,Stat_Phasing!$B$6:$B$14,0),MATCH(S$4,Stat_Phasing!$D$5:$K$5))</f>
        <v>0</v>
      </c>
      <c r="T14" s="38">
        <f>$I14*INDEX(Stat_Phasing!$D$6:$K$14,MATCH($B14,Stat_Phasing!$B$6:$B$14,0),MATCH(T$4,Stat_Phasing!$D$5:$K$5))</f>
        <v>0</v>
      </c>
      <c r="U14" s="38">
        <f>$I14*INDEX(Stat_Phasing!$D$6:$K$14,MATCH($B14,Stat_Phasing!$B$6:$B$14,0),MATCH(U$4,Stat_Phasing!$D$5:$K$5))</f>
        <v>0</v>
      </c>
      <c r="V14" s="38"/>
      <c r="W14" s="38">
        <f>$J14*INDEX(Stat_Phasing!$D$18:$K$26,MATCH($B14,Stat_Phasing!$B$18:$B$26,0),MATCH(W$4,Stat_Phasing!$D$17:$K$17))</f>
        <v>0</v>
      </c>
      <c r="X14" s="38">
        <f>$J14*INDEX(Stat_Phasing!$D$18:$K$26,MATCH($B14,Stat_Phasing!$B$18:$B$26,0),MATCH(X$4,Stat_Phasing!$D$17:$K$17))</f>
        <v>0</v>
      </c>
      <c r="Y14" s="38">
        <f>$J14*INDEX(Stat_Phasing!$D$18:$K$26,MATCH($B14,Stat_Phasing!$B$18:$B$26,0),MATCH(Y$4,Stat_Phasing!$D$17:$K$17))</f>
        <v>68.875616893759045</v>
      </c>
      <c r="Z14" s="38">
        <f>$J14*INDEX(Stat_Phasing!$D$18:$K$26,MATCH($B14,Stat_Phasing!$B$18:$B$26,0),MATCH(Z$4,Stat_Phasing!$D$17:$K$17))</f>
        <v>223.32396992824903</v>
      </c>
      <c r="AA14" s="38">
        <f>$J14*INDEX(Stat_Phasing!$D$18:$K$26,MATCH($B14,Stat_Phasing!$B$18:$B$26,0),MATCH(AA$4,Stat_Phasing!$D$17:$K$17))</f>
        <v>104.3569952935743</v>
      </c>
      <c r="AB14" s="38">
        <f>$J14*INDEX(Stat_Phasing!$D$18:$K$26,MATCH($B14,Stat_Phasing!$B$18:$B$26,0),MATCH(AB$4,Stat_Phasing!$D$17:$K$17))</f>
        <v>20.871399058714861</v>
      </c>
      <c r="AC14" s="38">
        <f>$J14*INDEX(Stat_Phasing!$D$18:$K$26,MATCH($B14,Stat_Phasing!$B$18:$B$26,0),MATCH(AC$4,Stat_Phasing!$D$17:$K$17))</f>
        <v>0</v>
      </c>
      <c r="AD14" s="38">
        <f>$J14*INDEX(Stat_Phasing!$D$18:$K$26,MATCH($B14,Stat_Phasing!$B$18:$B$26,0),MATCH(AD$4,Stat_Phasing!$D$17:$K$17))</f>
        <v>0</v>
      </c>
      <c r="AE14" s="38"/>
      <c r="AF14" s="38">
        <f>SUM($K14:$L14)*INDEX(Stat_Phasing!$D$30:$K$38,MATCH($B14,Stat_Phasing!$B$30:$B$38,0),MATCH(AF$4,Stat_Phasing!$D$29:$K$29))</f>
        <v>0</v>
      </c>
      <c r="AG14" s="38">
        <f>SUM($K14:$L14)*INDEX(Stat_Phasing!$D$30:$K$38,MATCH($B14,Stat_Phasing!$B$30:$B$38,0),MATCH(AG$4,Stat_Phasing!$D$29:$K$29))</f>
        <v>0</v>
      </c>
      <c r="AH14" s="38">
        <f>SUM($K14:$L14)*INDEX(Stat_Phasing!$D$30:$K$38,MATCH($B14,Stat_Phasing!$B$30:$B$38,0),MATCH(AH$4,Stat_Phasing!$D$29:$K$29))</f>
        <v>535.91013907258844</v>
      </c>
      <c r="AI14" s="38">
        <f>SUM($K14:$L14)*INDEX(Stat_Phasing!$D$30:$K$38,MATCH($B14,Stat_Phasing!$B$30:$B$38,0),MATCH(AI$4,Stat_Phasing!$D$29:$K$29))</f>
        <v>1223.3908225293433</v>
      </c>
      <c r="AJ14" s="38">
        <f>SUM($K14:$L14)*INDEX(Stat_Phasing!$D$30:$K$38,MATCH($B14,Stat_Phasing!$B$30:$B$38,0),MATCH(AJ$4,Stat_Phasing!$D$29:$K$29))</f>
        <v>893.1835651209808</v>
      </c>
      <c r="AK14" s="38">
        <f>SUM($K14:$L14)*INDEX(Stat_Phasing!$D$30:$K$38,MATCH($B14,Stat_Phasing!$B$30:$B$38,0),MATCH(AK$4,Stat_Phasing!$D$29:$K$29))</f>
        <v>54.132337280059438</v>
      </c>
      <c r="AL14" s="38">
        <f>SUM($K14:$L14)*INDEX(Stat_Phasing!$D$30:$K$38,MATCH($B14,Stat_Phasing!$B$30:$B$38,0),MATCH(AL$4,Stat_Phasing!$D$29:$K$29))</f>
        <v>0</v>
      </c>
      <c r="AM14" s="38">
        <f>SUM($K14:$L14)*INDEX(Stat_Phasing!$D$30:$K$38,MATCH($B14,Stat_Phasing!$B$30:$B$38,0),MATCH(AM$4,Stat_Phasing!$D$29:$K$29))</f>
        <v>0</v>
      </c>
      <c r="AN14" s="38"/>
      <c r="AO14" s="38">
        <f>$M14*INDEX(Stat_Phasing!$D$42:$K$50,MATCH($B14,Stat_Phasing!$B$42:$B$50,0),MATCH(AO$4,Stat_Phasing!$D$41:$K$41))</f>
        <v>0</v>
      </c>
      <c r="AP14" s="38">
        <f>$M14*INDEX(Stat_Phasing!$D$42:$K$50,MATCH($B14,Stat_Phasing!$B$42:$B$50,0),MATCH(AP$4,Stat_Phasing!$D$41:$K$41))</f>
        <v>0</v>
      </c>
      <c r="AQ14" s="38">
        <f>$M14*INDEX(Stat_Phasing!$D$42:$K$50,MATCH($B14,Stat_Phasing!$B$42:$B$50,0),MATCH(AQ$4,Stat_Phasing!$D$41:$K$41))</f>
        <v>0</v>
      </c>
      <c r="AR14" s="38">
        <f>$M14*INDEX(Stat_Phasing!$D$42:$K$50,MATCH($B14,Stat_Phasing!$B$42:$B$50,0),MATCH(AR$4,Stat_Phasing!$D$41:$K$41))</f>
        <v>291.97024512158981</v>
      </c>
      <c r="AS14" s="38">
        <f>$M14*INDEX(Stat_Phasing!$D$42:$K$50,MATCH($B14,Stat_Phasing!$B$42:$B$50,0),MATCH(AS$4,Stat_Phasing!$D$41:$K$41))</f>
        <v>54.744420960298079</v>
      </c>
      <c r="AT14" s="38">
        <f>$M14*INDEX(Stat_Phasing!$D$42:$K$50,MATCH($B14,Stat_Phasing!$B$42:$B$50,0),MATCH(AT$4,Stat_Phasing!$D$41:$K$41))</f>
        <v>18.248140320099363</v>
      </c>
      <c r="AU14" s="38">
        <f>$M14*INDEX(Stat_Phasing!$D$42:$K$50,MATCH($B14,Stat_Phasing!$B$42:$B$50,0),MATCH(AU$4,Stat_Phasing!$D$41:$K$41))</f>
        <v>0</v>
      </c>
      <c r="AV14" s="38">
        <f>$M14*INDEX(Stat_Phasing!$D$42:$K$50,MATCH($B14,Stat_Phasing!$B$42:$B$50,0),MATCH(AV$4,Stat_Phasing!$D$41:$K$41))</f>
        <v>0</v>
      </c>
      <c r="AW14" s="6"/>
      <c r="AX14" s="6">
        <f t="shared" si="17"/>
        <v>0</v>
      </c>
      <c r="AY14" s="6">
        <f t="shared" si="18"/>
        <v>0</v>
      </c>
      <c r="AZ14" s="6">
        <f t="shared" si="19"/>
        <v>670.6184086480971</v>
      </c>
      <c r="BA14" s="6">
        <f t="shared" si="20"/>
        <v>2407.9836731769692</v>
      </c>
      <c r="BB14" s="6">
        <f t="shared" si="21"/>
        <v>1414.364571124476</v>
      </c>
      <c r="BC14" s="6">
        <f t="shared" si="5"/>
        <v>93.25187665887367</v>
      </c>
      <c r="BD14" s="6">
        <f t="shared" si="6"/>
        <v>0</v>
      </c>
      <c r="BE14" s="6">
        <f t="shared" si="7"/>
        <v>0</v>
      </c>
      <c r="BG14" s="14">
        <f t="shared" si="8"/>
        <v>4586.2185296084162</v>
      </c>
      <c r="BH14" s="38">
        <f t="shared" si="15"/>
        <v>0</v>
      </c>
      <c r="BJ14" s="15"/>
      <c r="BK14" s="15"/>
      <c r="BL14" s="15"/>
      <c r="BM14" s="15"/>
      <c r="BO14" s="15"/>
      <c r="BP14" s="15"/>
      <c r="BQ14" s="15"/>
      <c r="BR14" s="15"/>
      <c r="BT14" s="16"/>
      <c r="BU14" s="16"/>
      <c r="BV14" s="16"/>
      <c r="BW14" s="16"/>
    </row>
    <row r="15" spans="2:75" x14ac:dyDescent="0.3">
      <c r="B15" s="175" t="str">
        <f>STN_3</f>
        <v>FGY</v>
      </c>
      <c r="C15" s="17">
        <f>INDEX(Schedule!$C$4:$E$12,MATCH($B15,Schedule!$B$4:$B$12,0),1)</f>
        <v>43330</v>
      </c>
      <c r="D15" s="17">
        <f>INDEX(Schedule!$C$4:$E$12,MATCH($B15,Schedule!$B$4:$B$12,0),2)</f>
        <v>43586</v>
      </c>
      <c r="E15" s="17">
        <f>INDEX(Schedule!$C$4:$E$12,MATCH($B15,Schedule!$B$4:$B$12,0),3)</f>
        <v>44075</v>
      </c>
      <c r="F15" s="20" t="s">
        <v>42</v>
      </c>
      <c r="G15" s="20" t="s">
        <v>22</v>
      </c>
      <c r="H15" s="20" t="str">
        <f t="shared" si="9"/>
        <v>SCADA/Network controlAugmentation</v>
      </c>
      <c r="I15" s="390">
        <f>INDEX(FGY_Det!$K$108:$O$112,MATCH($H15,FGY_Det!$F$108:$F$112,0),MATCH(I$3,FGY_Det!$K$4:$O$4,0))</f>
        <v>2816.669579496624</v>
      </c>
      <c r="J15" s="390">
        <f>INDEX(FGY_Det!$K$108:$O$112,MATCH($H15,FGY_Det!$F$108:$F$112,0),MATCH(J$3,FGY_Det!$K$4:$O$4,0))</f>
        <v>361.23451882570288</v>
      </c>
      <c r="K15" s="390">
        <f>INDEX(FGY_Det!$K$108:$O$112,MATCH($H15,FGY_Det!$F$108:$F$112,0),MATCH(K$3,FGY_Det!$K$4:$O$4,0))</f>
        <v>299.02126966442319</v>
      </c>
      <c r="L15" s="390">
        <f>INDEX(FGY_Det!$K$108:$O$112,MATCH($H15,FGY_Det!$F$108:$F$112,0),MATCH(L$3,FGY_Det!$K$4:$O$4,0))</f>
        <v>487.47708839779011</v>
      </c>
      <c r="M15" s="390">
        <f>INDEX(FGY_Det!$K$108:$O$112,MATCH($H15,FGY_Det!$F$108:$F$112,0),MATCH(M$3,FGY_Det!$K$4:$O$4,0))</f>
        <v>4.4269429097605881</v>
      </c>
      <c r="N15" s="38">
        <f>$I15*INDEX(Stat_Phasing!$D$6:$K$14,MATCH($B15,Stat_Phasing!$B$6:$B$14,0),MATCH(N$4,Stat_Phasing!$D$5:$K$5))</f>
        <v>0</v>
      </c>
      <c r="O15" s="38">
        <f>$I15*INDEX(Stat_Phasing!$D$6:$K$14,MATCH($B15,Stat_Phasing!$B$6:$B$14,0),MATCH(O$4,Stat_Phasing!$D$5:$K$5))</f>
        <v>0</v>
      </c>
      <c r="P15" s="38">
        <f>$I15*INDEX(Stat_Phasing!$D$6:$K$14,MATCH($B15,Stat_Phasing!$B$6:$B$14,0),MATCH(P$4,Stat_Phasing!$D$5:$K$5))</f>
        <v>169.00017476979744</v>
      </c>
      <c r="Q15" s="38">
        <f>$I15*INDEX(Stat_Phasing!$D$6:$K$14,MATCH($B15,Stat_Phasing!$B$6:$B$14,0),MATCH(Q$4,Stat_Phasing!$D$5:$K$5))</f>
        <v>1718.1684434929402</v>
      </c>
      <c r="R15" s="38">
        <f>$I15*INDEX(Stat_Phasing!$D$6:$K$14,MATCH($B15,Stat_Phasing!$B$6:$B$14,0),MATCH(R$4,Stat_Phasing!$D$5:$K$5))</f>
        <v>929.50096123388596</v>
      </c>
      <c r="S15" s="38">
        <f>$I15*INDEX(Stat_Phasing!$D$6:$K$14,MATCH($B15,Stat_Phasing!$B$6:$B$14,0),MATCH(S$4,Stat_Phasing!$D$5:$K$5))</f>
        <v>0</v>
      </c>
      <c r="T15" s="38">
        <f>$I15*INDEX(Stat_Phasing!$D$6:$K$14,MATCH($B15,Stat_Phasing!$B$6:$B$14,0),MATCH(T$4,Stat_Phasing!$D$5:$K$5))</f>
        <v>0</v>
      </c>
      <c r="U15" s="38">
        <f>$I15*INDEX(Stat_Phasing!$D$6:$K$14,MATCH($B15,Stat_Phasing!$B$6:$B$14,0),MATCH(U$4,Stat_Phasing!$D$5:$K$5))</f>
        <v>0</v>
      </c>
      <c r="V15" s="38"/>
      <c r="W15" s="38">
        <f>$J15*INDEX(Stat_Phasing!$D$18:$K$26,MATCH($B15,Stat_Phasing!$B$18:$B$26,0),MATCH(W$4,Stat_Phasing!$D$17:$K$17))</f>
        <v>0</v>
      </c>
      <c r="X15" s="38">
        <f>$J15*INDEX(Stat_Phasing!$D$18:$K$26,MATCH($B15,Stat_Phasing!$B$18:$B$26,0),MATCH(X$4,Stat_Phasing!$D$17:$K$17))</f>
        <v>0</v>
      </c>
      <c r="Y15" s="38">
        <f>$J15*INDEX(Stat_Phasing!$D$18:$K$26,MATCH($B15,Stat_Phasing!$B$18:$B$26,0),MATCH(Y$4,Stat_Phasing!$D$17:$K$17))</f>
        <v>59.603695606240976</v>
      </c>
      <c r="Z15" s="38">
        <f>$J15*INDEX(Stat_Phasing!$D$18:$K$26,MATCH($B15,Stat_Phasing!$B$18:$B$26,0),MATCH(Z$4,Stat_Phasing!$D$17:$K$17))</f>
        <v>193.26046757175106</v>
      </c>
      <c r="AA15" s="38">
        <f>$J15*INDEX(Stat_Phasing!$D$18:$K$26,MATCH($B15,Stat_Phasing!$B$18:$B$26,0),MATCH(AA$4,Stat_Phasing!$D$17:$K$17))</f>
        <v>90.30862970642572</v>
      </c>
      <c r="AB15" s="38">
        <f>$J15*INDEX(Stat_Phasing!$D$18:$K$26,MATCH($B15,Stat_Phasing!$B$18:$B$26,0),MATCH(AB$4,Stat_Phasing!$D$17:$K$17))</f>
        <v>18.061725941285143</v>
      </c>
      <c r="AC15" s="38">
        <f>$J15*INDEX(Stat_Phasing!$D$18:$K$26,MATCH($B15,Stat_Phasing!$B$18:$B$26,0),MATCH(AC$4,Stat_Phasing!$D$17:$K$17))</f>
        <v>0</v>
      </c>
      <c r="AD15" s="38">
        <f>$J15*INDEX(Stat_Phasing!$D$18:$K$26,MATCH($B15,Stat_Phasing!$B$18:$B$26,0),MATCH(AD$4,Stat_Phasing!$D$17:$K$17))</f>
        <v>0</v>
      </c>
      <c r="AE15" s="38"/>
      <c r="AF15" s="38">
        <f>SUM($K15:$L15)*INDEX(Stat_Phasing!$D$30:$K$38,MATCH($B15,Stat_Phasing!$B$30:$B$38,0),MATCH(AF$4,Stat_Phasing!$D$29:$K$29))</f>
        <v>0</v>
      </c>
      <c r="AG15" s="38">
        <f>SUM($K15:$L15)*INDEX(Stat_Phasing!$D$30:$K$38,MATCH($B15,Stat_Phasing!$B$30:$B$38,0),MATCH(AG$4,Stat_Phasing!$D$29:$K$29))</f>
        <v>0</v>
      </c>
      <c r="AH15" s="38">
        <f>SUM($K15:$L15)*INDEX(Stat_Phasing!$D$30:$K$38,MATCH($B15,Stat_Phasing!$B$30:$B$38,0),MATCH(AH$4,Stat_Phasing!$D$29:$K$29))</f>
        <v>155.72667489631826</v>
      </c>
      <c r="AI15" s="38">
        <f>SUM($K15:$L15)*INDEX(Stat_Phasing!$D$30:$K$38,MATCH($B15,Stat_Phasing!$B$30:$B$38,0),MATCH(AI$4,Stat_Phasing!$D$29:$K$29))</f>
        <v>355.49725784412044</v>
      </c>
      <c r="AJ15" s="38">
        <f>SUM($K15:$L15)*INDEX(Stat_Phasing!$D$30:$K$38,MATCH($B15,Stat_Phasing!$B$30:$B$38,0),MATCH(AJ$4,Stat_Phasing!$D$29:$K$29))</f>
        <v>259.54445816053044</v>
      </c>
      <c r="AK15" s="38">
        <f>SUM($K15:$L15)*INDEX(Stat_Phasing!$D$30:$K$38,MATCH($B15,Stat_Phasing!$B$30:$B$38,0),MATCH(AK$4,Stat_Phasing!$D$29:$K$29))</f>
        <v>15.729967161244268</v>
      </c>
      <c r="AL15" s="38">
        <f>SUM($K15:$L15)*INDEX(Stat_Phasing!$D$30:$K$38,MATCH($B15,Stat_Phasing!$B$30:$B$38,0),MATCH(AL$4,Stat_Phasing!$D$29:$K$29))</f>
        <v>0</v>
      </c>
      <c r="AM15" s="38">
        <f>SUM($K15:$L15)*INDEX(Stat_Phasing!$D$30:$K$38,MATCH($B15,Stat_Phasing!$B$30:$B$38,0),MATCH(AM$4,Stat_Phasing!$D$29:$K$29))</f>
        <v>0</v>
      </c>
      <c r="AN15" s="38"/>
      <c r="AO15" s="38">
        <f>$M15*INDEX(Stat_Phasing!$D$42:$K$50,MATCH($B15,Stat_Phasing!$B$42:$B$50,0),MATCH(AO$4,Stat_Phasing!$D$41:$K$41))</f>
        <v>0</v>
      </c>
      <c r="AP15" s="38">
        <f>$M15*INDEX(Stat_Phasing!$D$42:$K$50,MATCH($B15,Stat_Phasing!$B$42:$B$50,0),MATCH(AP$4,Stat_Phasing!$D$41:$K$41))</f>
        <v>0</v>
      </c>
      <c r="AQ15" s="38">
        <f>$M15*INDEX(Stat_Phasing!$D$42:$K$50,MATCH($B15,Stat_Phasing!$B$42:$B$50,0),MATCH(AQ$4,Stat_Phasing!$D$41:$K$41))</f>
        <v>0</v>
      </c>
      <c r="AR15" s="38">
        <f>$M15*INDEX(Stat_Phasing!$D$42:$K$50,MATCH($B15,Stat_Phasing!$B$42:$B$50,0),MATCH(AR$4,Stat_Phasing!$D$41:$K$41))</f>
        <v>3.5415543278084707</v>
      </c>
      <c r="AS15" s="38">
        <f>$M15*INDEX(Stat_Phasing!$D$42:$K$50,MATCH($B15,Stat_Phasing!$B$42:$B$50,0),MATCH(AS$4,Stat_Phasing!$D$41:$K$41))</f>
        <v>0.6640414364640882</v>
      </c>
      <c r="AT15" s="38">
        <f>$M15*INDEX(Stat_Phasing!$D$42:$K$50,MATCH($B15,Stat_Phasing!$B$42:$B$50,0),MATCH(AT$4,Stat_Phasing!$D$41:$K$41))</f>
        <v>0.22134714548802942</v>
      </c>
      <c r="AU15" s="38">
        <f>$M15*INDEX(Stat_Phasing!$D$42:$K$50,MATCH($B15,Stat_Phasing!$B$42:$B$50,0),MATCH(AU$4,Stat_Phasing!$D$41:$K$41))</f>
        <v>0</v>
      </c>
      <c r="AV15" s="38">
        <f>$M15*INDEX(Stat_Phasing!$D$42:$K$50,MATCH($B15,Stat_Phasing!$B$42:$B$50,0),MATCH(AV$4,Stat_Phasing!$D$41:$K$41))</f>
        <v>0</v>
      </c>
      <c r="AW15" s="6"/>
      <c r="AX15" s="6">
        <f t="shared" si="17"/>
        <v>0</v>
      </c>
      <c r="AY15" s="6">
        <f t="shared" si="18"/>
        <v>0</v>
      </c>
      <c r="AZ15" s="6">
        <f t="shared" si="19"/>
        <v>384.33054527235663</v>
      </c>
      <c r="BA15" s="6">
        <f t="shared" si="20"/>
        <v>2270.4677232366203</v>
      </c>
      <c r="BB15" s="6">
        <f t="shared" si="21"/>
        <v>1280.0180905373061</v>
      </c>
      <c r="BC15" s="6">
        <f t="shared" si="5"/>
        <v>34.01304024801744</v>
      </c>
      <c r="BD15" s="6">
        <f t="shared" si="6"/>
        <v>0</v>
      </c>
      <c r="BE15" s="6">
        <f t="shared" si="7"/>
        <v>0</v>
      </c>
      <c r="BG15" s="14">
        <f t="shared" si="8"/>
        <v>3968.8293992943004</v>
      </c>
      <c r="BH15" s="38">
        <f t="shared" si="15"/>
        <v>0</v>
      </c>
      <c r="BJ15" s="15"/>
      <c r="BK15" s="15"/>
      <c r="BL15" s="15"/>
      <c r="BM15" s="15"/>
      <c r="BO15" s="15"/>
      <c r="BP15" s="15"/>
      <c r="BQ15" s="15"/>
      <c r="BR15" s="15"/>
      <c r="BT15" s="16"/>
      <c r="BU15" s="16"/>
      <c r="BV15" s="16"/>
      <c r="BW15" s="16"/>
    </row>
    <row r="16" spans="2:75" x14ac:dyDescent="0.3">
      <c r="B16" s="175" t="str">
        <f>STN_3</f>
        <v>FGY</v>
      </c>
      <c r="C16" s="17">
        <f>INDEX(Schedule!$C$4:$E$12,MATCH($B16,Schedule!$B$4:$B$12,0),1)</f>
        <v>43330</v>
      </c>
      <c r="D16" s="17">
        <f>INDEX(Schedule!$C$4:$E$12,MATCH($B16,Schedule!$B$4:$B$12,0),2)</f>
        <v>43586</v>
      </c>
      <c r="E16" s="17">
        <f>INDEX(Schedule!$C$4:$E$12,MATCH($B16,Schedule!$B$4:$B$12,0),3)</f>
        <v>44075</v>
      </c>
      <c r="F16" s="20" t="s">
        <v>66</v>
      </c>
      <c r="G16" s="20" t="s">
        <v>195</v>
      </c>
      <c r="H16" s="20" t="str">
        <f t="shared" ref="H16" si="28">G16&amp;F16</f>
        <v>LandNon-Network</v>
      </c>
      <c r="I16" s="390">
        <f>INDEX(FGY_Det!$K$108:$O$112,MATCH($H16,FGY_Det!$F$108:$F$112,0),MATCH(I$3,FGY_Det!$K$4:$O$4,0))</f>
        <v>0</v>
      </c>
      <c r="J16" s="390">
        <f>INDEX(FGY_Det!$K$108:$O$112,MATCH($H16,FGY_Det!$F$108:$F$112,0),MATCH(J$3,FGY_Det!$K$4:$O$4,0))</f>
        <v>0</v>
      </c>
      <c r="K16" s="390">
        <f>INDEX(FGY_Det!$K$108:$O$112,MATCH($H16,FGY_Det!$F$108:$F$112,0),MATCH(K$3,FGY_Det!$K$4:$O$4,0))</f>
        <v>0</v>
      </c>
      <c r="L16" s="390">
        <f>INDEX(FGY_Det!$K$108:$O$112,MATCH($H16,FGY_Det!$F$108:$F$112,0),MATCH(L$3,FGY_Det!$K$4:$O$4,0))</f>
        <v>0</v>
      </c>
      <c r="M16" s="390">
        <f>INDEX(FGY_Det!$K$108:$O$112,MATCH($H16,FGY_Det!$F$108:$F$112,0),MATCH(M$3,FGY_Det!$K$4:$O$4,0))</f>
        <v>0</v>
      </c>
      <c r="N16" s="38">
        <f>$I16*INDEX(Stat_Phasing!$D$6:$K$14,MATCH($B16,Stat_Phasing!$B$6:$B$14,0),MATCH(N$4,Stat_Phasing!$D$5:$K$5))</f>
        <v>0</v>
      </c>
      <c r="O16" s="38">
        <f>$I16*INDEX(Stat_Phasing!$D$6:$K$14,MATCH($B16,Stat_Phasing!$B$6:$B$14,0),MATCH(O$4,Stat_Phasing!$D$5:$K$5))</f>
        <v>0</v>
      </c>
      <c r="P16" s="38">
        <f>$I16*INDEX(Stat_Phasing!$D$6:$K$14,MATCH($B16,Stat_Phasing!$B$6:$B$14,0),MATCH(P$4,Stat_Phasing!$D$5:$K$5))</f>
        <v>0</v>
      </c>
      <c r="Q16" s="38">
        <f>$I16*INDEX(Stat_Phasing!$D$6:$K$14,MATCH($B16,Stat_Phasing!$B$6:$B$14,0),MATCH(Q$4,Stat_Phasing!$D$5:$K$5))</f>
        <v>0</v>
      </c>
      <c r="R16" s="38">
        <f>$I16*INDEX(Stat_Phasing!$D$6:$K$14,MATCH($B16,Stat_Phasing!$B$6:$B$14,0),MATCH(R$4,Stat_Phasing!$D$5:$K$5))</f>
        <v>0</v>
      </c>
      <c r="S16" s="38">
        <f>$I16*INDEX(Stat_Phasing!$D$6:$K$14,MATCH($B16,Stat_Phasing!$B$6:$B$14,0),MATCH(S$4,Stat_Phasing!$D$5:$K$5))</f>
        <v>0</v>
      </c>
      <c r="T16" s="38">
        <f>$I16*INDEX(Stat_Phasing!$D$6:$K$14,MATCH($B16,Stat_Phasing!$B$6:$B$14,0),MATCH(T$4,Stat_Phasing!$D$5:$K$5))</f>
        <v>0</v>
      </c>
      <c r="U16" s="38">
        <f>$I16*INDEX(Stat_Phasing!$D$6:$K$14,MATCH($B16,Stat_Phasing!$B$6:$B$14,0),MATCH(U$4,Stat_Phasing!$D$5:$K$5))</f>
        <v>0</v>
      </c>
      <c r="V16" s="38"/>
      <c r="W16" s="38">
        <f>$J16*INDEX(Stat_Phasing!$D$18:$K$26,MATCH($B16,Stat_Phasing!$B$18:$B$26,0),MATCH(W$4,Stat_Phasing!$D$17:$K$17))</f>
        <v>0</v>
      </c>
      <c r="X16" s="38">
        <f>$J16*INDEX(Stat_Phasing!$D$18:$K$26,MATCH($B16,Stat_Phasing!$B$18:$B$26,0),MATCH(X$4,Stat_Phasing!$D$17:$K$17))</f>
        <v>0</v>
      </c>
      <c r="Y16" s="38">
        <f>$J16*INDEX(Stat_Phasing!$D$18:$K$26,MATCH($B16,Stat_Phasing!$B$18:$B$26,0),MATCH(Y$4,Stat_Phasing!$D$17:$K$17))</f>
        <v>0</v>
      </c>
      <c r="Z16" s="38">
        <f>$J16*INDEX(Stat_Phasing!$D$18:$K$26,MATCH($B16,Stat_Phasing!$B$18:$B$26,0),MATCH(Z$4,Stat_Phasing!$D$17:$K$17))</f>
        <v>0</v>
      </c>
      <c r="AA16" s="38">
        <f>$J16*INDEX(Stat_Phasing!$D$18:$K$26,MATCH($B16,Stat_Phasing!$B$18:$B$26,0),MATCH(AA$4,Stat_Phasing!$D$17:$K$17))</f>
        <v>0</v>
      </c>
      <c r="AB16" s="38">
        <f>$J16*INDEX(Stat_Phasing!$D$18:$K$26,MATCH($B16,Stat_Phasing!$B$18:$B$26,0),MATCH(AB$4,Stat_Phasing!$D$17:$K$17))</f>
        <v>0</v>
      </c>
      <c r="AC16" s="38">
        <f>$J16*INDEX(Stat_Phasing!$D$18:$K$26,MATCH($B16,Stat_Phasing!$B$18:$B$26,0),MATCH(AC$4,Stat_Phasing!$D$17:$K$17))</f>
        <v>0</v>
      </c>
      <c r="AD16" s="38">
        <f>$J16*INDEX(Stat_Phasing!$D$18:$K$26,MATCH($B16,Stat_Phasing!$B$18:$B$26,0),MATCH(AD$4,Stat_Phasing!$D$17:$K$17))</f>
        <v>0</v>
      </c>
      <c r="AE16" s="38"/>
      <c r="AF16" s="38">
        <f>SUM($K16:$L16)*INDEX(Stat_Phasing!$D$30:$K$38,MATCH($B16,Stat_Phasing!$B$30:$B$38,0),MATCH(AF$4,Stat_Phasing!$D$29:$K$29))</f>
        <v>0</v>
      </c>
      <c r="AG16" s="38">
        <f>SUM($K16:$L16)*INDEX(Stat_Phasing!$D$30:$K$38,MATCH($B16,Stat_Phasing!$B$30:$B$38,0),MATCH(AG$4,Stat_Phasing!$D$29:$K$29))</f>
        <v>0</v>
      </c>
      <c r="AH16" s="38">
        <f>SUM($K16:$L16)*INDEX(Stat_Phasing!$D$30:$K$38,MATCH($B16,Stat_Phasing!$B$30:$B$38,0),MATCH(AH$4,Stat_Phasing!$D$29:$K$29))</f>
        <v>0</v>
      </c>
      <c r="AI16" s="38">
        <f>SUM($K16:$L16)*INDEX(Stat_Phasing!$D$30:$K$38,MATCH($B16,Stat_Phasing!$B$30:$B$38,0),MATCH(AI$4,Stat_Phasing!$D$29:$K$29))</f>
        <v>0</v>
      </c>
      <c r="AJ16" s="38">
        <f>SUM($K16:$L16)*INDEX(Stat_Phasing!$D$30:$K$38,MATCH($B16,Stat_Phasing!$B$30:$B$38,0),MATCH(AJ$4,Stat_Phasing!$D$29:$K$29))</f>
        <v>0</v>
      </c>
      <c r="AK16" s="38">
        <f>SUM($K16:$L16)*INDEX(Stat_Phasing!$D$30:$K$38,MATCH($B16,Stat_Phasing!$B$30:$B$38,0),MATCH(AK$4,Stat_Phasing!$D$29:$K$29))</f>
        <v>0</v>
      </c>
      <c r="AL16" s="38">
        <f>SUM($K16:$L16)*INDEX(Stat_Phasing!$D$30:$K$38,MATCH($B16,Stat_Phasing!$B$30:$B$38,0),MATCH(AL$4,Stat_Phasing!$D$29:$K$29))</f>
        <v>0</v>
      </c>
      <c r="AM16" s="38">
        <f>SUM($K16:$L16)*INDEX(Stat_Phasing!$D$30:$K$38,MATCH($B16,Stat_Phasing!$B$30:$B$38,0),MATCH(AM$4,Stat_Phasing!$D$29:$K$29))</f>
        <v>0</v>
      </c>
      <c r="AN16" s="38"/>
      <c r="AO16" s="38">
        <f>$M16*INDEX(Stat_Phasing!$D$42:$K$50,MATCH($B16,Stat_Phasing!$B$42:$B$50,0),MATCH(AO$4,Stat_Phasing!$D$41:$K$41))</f>
        <v>0</v>
      </c>
      <c r="AP16" s="38">
        <f>$M16*INDEX(Stat_Phasing!$D$42:$K$50,MATCH($B16,Stat_Phasing!$B$42:$B$50,0),MATCH(AP$4,Stat_Phasing!$D$41:$K$41))</f>
        <v>0</v>
      </c>
      <c r="AQ16" s="38">
        <f>$M16*INDEX(Stat_Phasing!$D$42:$K$50,MATCH($B16,Stat_Phasing!$B$42:$B$50,0),MATCH(AQ$4,Stat_Phasing!$D$41:$K$41))</f>
        <v>0</v>
      </c>
      <c r="AR16" s="38">
        <f>$M16*INDEX(Stat_Phasing!$D$42:$K$50,MATCH($B16,Stat_Phasing!$B$42:$B$50,0),MATCH(AR$4,Stat_Phasing!$D$41:$K$41))</f>
        <v>0</v>
      </c>
      <c r="AS16" s="38">
        <f>$M16*INDEX(Stat_Phasing!$D$42:$K$50,MATCH($B16,Stat_Phasing!$B$42:$B$50,0),MATCH(AS$4,Stat_Phasing!$D$41:$K$41))</f>
        <v>0</v>
      </c>
      <c r="AT16" s="38">
        <f>$M16*INDEX(Stat_Phasing!$D$42:$K$50,MATCH($B16,Stat_Phasing!$B$42:$B$50,0),MATCH(AT$4,Stat_Phasing!$D$41:$K$41))</f>
        <v>0</v>
      </c>
      <c r="AU16" s="38">
        <f>$M16*INDEX(Stat_Phasing!$D$42:$K$50,MATCH($B16,Stat_Phasing!$B$42:$B$50,0),MATCH(AU$4,Stat_Phasing!$D$41:$K$41))</f>
        <v>0</v>
      </c>
      <c r="AV16" s="38">
        <f>$M16*INDEX(Stat_Phasing!$D$42:$K$50,MATCH($B16,Stat_Phasing!$B$42:$B$50,0),MATCH(AV$4,Stat_Phasing!$D$41:$K$41))</f>
        <v>0</v>
      </c>
      <c r="AW16" s="6"/>
      <c r="AX16" s="6">
        <f t="shared" si="17"/>
        <v>0</v>
      </c>
      <c r="AY16" s="6">
        <f t="shared" si="18"/>
        <v>0</v>
      </c>
      <c r="AZ16" s="6">
        <f t="shared" si="19"/>
        <v>0</v>
      </c>
      <c r="BA16" s="6">
        <f t="shared" si="20"/>
        <v>0</v>
      </c>
      <c r="BB16" s="6">
        <f t="shared" si="21"/>
        <v>0</v>
      </c>
      <c r="BC16" s="6">
        <f t="shared" si="5"/>
        <v>0</v>
      </c>
      <c r="BD16" s="6">
        <f t="shared" si="6"/>
        <v>0</v>
      </c>
      <c r="BE16" s="6">
        <f t="shared" si="7"/>
        <v>0</v>
      </c>
      <c r="BG16" s="14">
        <f t="shared" si="8"/>
        <v>0</v>
      </c>
      <c r="BH16" s="38">
        <f t="shared" si="15"/>
        <v>0</v>
      </c>
      <c r="BJ16" s="15"/>
      <c r="BK16" s="15"/>
      <c r="BL16" s="15"/>
      <c r="BM16" s="15"/>
      <c r="BO16" s="15"/>
      <c r="BP16" s="15"/>
      <c r="BQ16" s="15"/>
      <c r="BR16" s="15"/>
      <c r="BT16" s="16"/>
      <c r="BU16" s="16"/>
      <c r="BV16" s="16"/>
      <c r="BW16" s="16"/>
    </row>
    <row r="17" spans="2:75" x14ac:dyDescent="0.3">
      <c r="B17" s="175" t="str">
        <f>STN_4</f>
        <v>WOTS22</v>
      </c>
      <c r="C17" s="17">
        <f>INDEX(Schedule!$C$4:$E$12,MATCH($B17,Schedule!$B$4:$B$12,0),1)</f>
        <v>43238</v>
      </c>
      <c r="D17" s="17">
        <f>INDEX(Schedule!$C$4:$E$12,MATCH($B17,Schedule!$B$4:$B$12,0),2)</f>
        <v>43525</v>
      </c>
      <c r="E17" s="17">
        <f>INDEX(Schedule!$C$4:$E$12,MATCH($B17,Schedule!$B$4:$B$12,0),3)</f>
        <v>44061</v>
      </c>
      <c r="F17" s="20" t="s">
        <v>42</v>
      </c>
      <c r="G17" s="20" t="s">
        <v>18</v>
      </c>
      <c r="H17" s="20" t="str">
        <f t="shared" si="9"/>
        <v>SubtransmissionAugmentation</v>
      </c>
      <c r="I17" s="390">
        <f>INDEX(WOTS22_Det!$K$107:$O$111,MATCH($H17,WOTS22_Det!$F$107:$F$111,0),MATCH(I$3,WOTS22_Det!$K$4:$O$4,0))</f>
        <v>858.64268623752616</v>
      </c>
      <c r="J17" s="390">
        <f>INDEX(WOTS22_Det!$K$107:$O$111,MATCH($H17,WOTS22_Det!$F$107:$F$111,0),MATCH(J$3,WOTS22_Det!$K$4:$O$4,0))</f>
        <v>386.89046611305633</v>
      </c>
      <c r="K17" s="390">
        <f>INDEX(WOTS22_Det!$K$107:$O$111,MATCH($H17,WOTS22_Det!$F$107:$F$111,0),MATCH(K$3,WOTS22_Det!$K$4:$O$4,0))</f>
        <v>276.31282917385323</v>
      </c>
      <c r="L17" s="390">
        <f>INDEX(WOTS22_Det!$K$107:$O$111,MATCH($H17,WOTS22_Det!$F$107:$F$111,0),MATCH(L$3,WOTS22_Det!$K$4:$O$4,0))</f>
        <v>1449.3528116493212</v>
      </c>
      <c r="M17" s="390">
        <f>INDEX(WOTS22_Det!$K$107:$O$111,MATCH($H17,WOTS22_Det!$F$107:$F$111,0),MATCH(M$3,WOTS22_Det!$K$4:$O$4,0))</f>
        <v>255.27670695447344</v>
      </c>
      <c r="N17" s="38">
        <f>$I17*INDEX(Stat_Phasing!$D$6:$K$14,MATCH($B17,Stat_Phasing!$B$6:$B$14,0),MATCH(N$4,Stat_Phasing!$D$5:$K$5))</f>
        <v>0</v>
      </c>
      <c r="O17" s="38">
        <f>$I17*INDEX(Stat_Phasing!$D$6:$K$14,MATCH($B17,Stat_Phasing!$B$6:$B$14,0),MATCH(O$4,Stat_Phasing!$D$5:$K$5))</f>
        <v>0</v>
      </c>
      <c r="P17" s="38">
        <f>$I17*INDEX(Stat_Phasing!$D$6:$K$14,MATCH($B17,Stat_Phasing!$B$6:$B$14,0),MATCH(P$4,Stat_Phasing!$D$5:$K$5))</f>
        <v>85.864268623752622</v>
      </c>
      <c r="Q17" s="38">
        <f>$I17*INDEX(Stat_Phasing!$D$6:$K$14,MATCH($B17,Stat_Phasing!$B$6:$B$14,0),MATCH(Q$4,Stat_Phasing!$D$5:$K$5))</f>
        <v>772.77841761377351</v>
      </c>
      <c r="R17" s="38">
        <f>$I17*INDEX(Stat_Phasing!$D$6:$K$14,MATCH($B17,Stat_Phasing!$B$6:$B$14,0),MATCH(R$4,Stat_Phasing!$D$5:$K$5))</f>
        <v>0</v>
      </c>
      <c r="S17" s="38">
        <f>$I17*INDEX(Stat_Phasing!$D$6:$K$14,MATCH($B17,Stat_Phasing!$B$6:$B$14,0),MATCH(S$4,Stat_Phasing!$D$5:$K$5))</f>
        <v>0</v>
      </c>
      <c r="T17" s="38">
        <f>$I17*INDEX(Stat_Phasing!$D$6:$K$14,MATCH($B17,Stat_Phasing!$B$6:$B$14,0),MATCH(T$4,Stat_Phasing!$D$5:$K$5))</f>
        <v>0</v>
      </c>
      <c r="U17" s="38">
        <f>$I17*INDEX(Stat_Phasing!$D$6:$K$14,MATCH($B17,Stat_Phasing!$B$6:$B$14,0),MATCH(U$4,Stat_Phasing!$D$5:$K$5))</f>
        <v>0</v>
      </c>
      <c r="V17" s="38"/>
      <c r="W17" s="38">
        <f>$J17*INDEX(Stat_Phasing!$D$18:$K$26,MATCH($B17,Stat_Phasing!$B$18:$B$26,0),MATCH(W$4,Stat_Phasing!$D$17:$K$17))</f>
        <v>0</v>
      </c>
      <c r="X17" s="38">
        <f>$J17*INDEX(Stat_Phasing!$D$18:$K$26,MATCH($B17,Stat_Phasing!$B$18:$B$26,0),MATCH(X$4,Stat_Phasing!$D$17:$K$17))</f>
        <v>0</v>
      </c>
      <c r="Y17" s="38">
        <f>$J17*INDEX(Stat_Phasing!$D$18:$K$26,MATCH($B17,Stat_Phasing!$B$18:$B$26,0),MATCH(Y$4,Stat_Phasing!$D$17:$K$17))</f>
        <v>96.722616528264084</v>
      </c>
      <c r="Z17" s="38">
        <f>$J17*INDEX(Stat_Phasing!$D$18:$K$26,MATCH($B17,Stat_Phasing!$B$18:$B$26,0),MATCH(Z$4,Stat_Phasing!$D$17:$K$17))</f>
        <v>270.82332627913939</v>
      </c>
      <c r="AA17" s="38">
        <f>$J17*INDEX(Stat_Phasing!$D$18:$K$26,MATCH($B17,Stat_Phasing!$B$18:$B$26,0),MATCH(AA$4,Stat_Phasing!$D$17:$K$17))</f>
        <v>19.344523305652817</v>
      </c>
      <c r="AB17" s="38">
        <f>$J17*INDEX(Stat_Phasing!$D$18:$K$26,MATCH($B17,Stat_Phasing!$B$18:$B$26,0),MATCH(AB$4,Stat_Phasing!$D$17:$K$17))</f>
        <v>0</v>
      </c>
      <c r="AC17" s="38">
        <f>$J17*INDEX(Stat_Phasing!$D$18:$K$26,MATCH($B17,Stat_Phasing!$B$18:$B$26,0),MATCH(AC$4,Stat_Phasing!$D$17:$K$17))</f>
        <v>0</v>
      </c>
      <c r="AD17" s="38">
        <f>$J17*INDEX(Stat_Phasing!$D$18:$K$26,MATCH($B17,Stat_Phasing!$B$18:$B$26,0),MATCH(AD$4,Stat_Phasing!$D$17:$K$17))</f>
        <v>0</v>
      </c>
      <c r="AE17" s="38"/>
      <c r="AF17" s="38">
        <f>SUM($K17:$L17)*INDEX(Stat_Phasing!$D$30:$K$38,MATCH($B17,Stat_Phasing!$B$30:$B$38,0),MATCH(AF$4,Stat_Phasing!$D$29:$K$29))</f>
        <v>0</v>
      </c>
      <c r="AG17" s="38">
        <f>SUM($K17:$L17)*INDEX(Stat_Phasing!$D$30:$K$38,MATCH($B17,Stat_Phasing!$B$30:$B$38,0),MATCH(AG$4,Stat_Phasing!$D$29:$K$29))</f>
        <v>0</v>
      </c>
      <c r="AH17" s="38">
        <f>SUM($K17:$L17)*INDEX(Stat_Phasing!$D$30:$K$38,MATCH($B17,Stat_Phasing!$B$30:$B$38,0),MATCH(AH$4,Stat_Phasing!$D$29:$K$29))</f>
        <v>517.69969224695228</v>
      </c>
      <c r="AI17" s="38">
        <f>SUM($K17:$L17)*INDEX(Stat_Phasing!$D$30:$K$38,MATCH($B17,Stat_Phasing!$B$30:$B$38,0),MATCH(AI$4,Stat_Phasing!$D$29:$K$29))</f>
        <v>1173.4526357597588</v>
      </c>
      <c r="AJ17" s="38">
        <f>SUM($K17:$L17)*INDEX(Stat_Phasing!$D$30:$K$38,MATCH($B17,Stat_Phasing!$B$30:$B$38,0),MATCH(AJ$4,Stat_Phasing!$D$29:$K$29))</f>
        <v>34.51331281646349</v>
      </c>
      <c r="AK17" s="38">
        <f>SUM($K17:$L17)*INDEX(Stat_Phasing!$D$30:$K$38,MATCH($B17,Stat_Phasing!$B$30:$B$38,0),MATCH(AK$4,Stat_Phasing!$D$29:$K$29))</f>
        <v>0</v>
      </c>
      <c r="AL17" s="38">
        <f>SUM($K17:$L17)*INDEX(Stat_Phasing!$D$30:$K$38,MATCH($B17,Stat_Phasing!$B$30:$B$38,0),MATCH(AL$4,Stat_Phasing!$D$29:$K$29))</f>
        <v>0</v>
      </c>
      <c r="AM17" s="38">
        <f>SUM($K17:$L17)*INDEX(Stat_Phasing!$D$30:$K$38,MATCH($B17,Stat_Phasing!$B$30:$B$38,0),MATCH(AM$4,Stat_Phasing!$D$29:$K$29))</f>
        <v>0</v>
      </c>
      <c r="AN17" s="38"/>
      <c r="AO17" s="38">
        <f>$M17*INDEX(Stat_Phasing!$D$42:$K$50,MATCH($B17,Stat_Phasing!$B$42:$B$50,0),MATCH(AO$4,Stat_Phasing!$D$41:$K$41))</f>
        <v>0</v>
      </c>
      <c r="AP17" s="38">
        <f>$M17*INDEX(Stat_Phasing!$D$42:$K$50,MATCH($B17,Stat_Phasing!$B$42:$B$50,0),MATCH(AP$4,Stat_Phasing!$D$41:$K$41))</f>
        <v>0</v>
      </c>
      <c r="AQ17" s="38">
        <f>$M17*INDEX(Stat_Phasing!$D$42:$K$50,MATCH($B17,Stat_Phasing!$B$42:$B$50,0),MATCH(AQ$4,Stat_Phasing!$D$41:$K$41))</f>
        <v>0</v>
      </c>
      <c r="AR17" s="38">
        <f>$M17*INDEX(Stat_Phasing!$D$42:$K$50,MATCH($B17,Stat_Phasing!$B$42:$B$50,0),MATCH(AR$4,Stat_Phasing!$D$41:$K$41))</f>
        <v>242.5128716067498</v>
      </c>
      <c r="AS17" s="38">
        <f>$M17*INDEX(Stat_Phasing!$D$42:$K$50,MATCH($B17,Stat_Phasing!$B$42:$B$50,0),MATCH(AS$4,Stat_Phasing!$D$41:$K$41))</f>
        <v>12.763835347723672</v>
      </c>
      <c r="AT17" s="38">
        <f>$M17*INDEX(Stat_Phasing!$D$42:$K$50,MATCH($B17,Stat_Phasing!$B$42:$B$50,0),MATCH(AT$4,Stat_Phasing!$D$41:$K$41))</f>
        <v>0</v>
      </c>
      <c r="AU17" s="38">
        <f>$M17*INDEX(Stat_Phasing!$D$42:$K$50,MATCH($B17,Stat_Phasing!$B$42:$B$50,0),MATCH(AU$4,Stat_Phasing!$D$41:$K$41))</f>
        <v>0</v>
      </c>
      <c r="AV17" s="38">
        <f>$M17*INDEX(Stat_Phasing!$D$42:$K$50,MATCH($B17,Stat_Phasing!$B$42:$B$50,0),MATCH(AV$4,Stat_Phasing!$D$41:$K$41))</f>
        <v>0</v>
      </c>
      <c r="AW17" s="6"/>
      <c r="AX17" s="6">
        <f t="shared" si="17"/>
        <v>0</v>
      </c>
      <c r="AY17" s="6">
        <f t="shared" si="18"/>
        <v>0</v>
      </c>
      <c r="AZ17" s="6">
        <f t="shared" si="19"/>
        <v>700.28657739896903</v>
      </c>
      <c r="BA17" s="6">
        <f t="shared" si="20"/>
        <v>2459.5672512594215</v>
      </c>
      <c r="BB17" s="6">
        <f t="shared" si="21"/>
        <v>66.621671469839981</v>
      </c>
      <c r="BC17" s="6">
        <f t="shared" si="5"/>
        <v>0</v>
      </c>
      <c r="BD17" s="6">
        <f t="shared" si="6"/>
        <v>0</v>
      </c>
      <c r="BE17" s="6">
        <f t="shared" si="7"/>
        <v>0</v>
      </c>
      <c r="BG17" s="14">
        <f t="shared" si="8"/>
        <v>3226.4755001282306</v>
      </c>
      <c r="BH17" s="38">
        <f t="shared" si="15"/>
        <v>0</v>
      </c>
      <c r="BJ17" s="15"/>
      <c r="BK17" s="15"/>
      <c r="BL17" s="15"/>
      <c r="BM17" s="15"/>
      <c r="BO17" s="15"/>
      <c r="BP17" s="15"/>
      <c r="BQ17" s="15"/>
      <c r="BR17" s="15"/>
      <c r="BT17" s="16"/>
      <c r="BU17" s="16"/>
      <c r="BV17" s="16"/>
      <c r="BW17" s="16"/>
    </row>
    <row r="18" spans="2:75" x14ac:dyDescent="0.3">
      <c r="B18" s="175" t="str">
        <f>STN_4</f>
        <v>WOTS22</v>
      </c>
      <c r="C18" s="17">
        <f>INDEX(Schedule!$C$4:$E$12,MATCH($B18,Schedule!$B$4:$B$12,0),1)</f>
        <v>43238</v>
      </c>
      <c r="D18" s="17">
        <f>INDEX(Schedule!$C$4:$E$12,MATCH($B18,Schedule!$B$4:$B$12,0),2)</f>
        <v>43525</v>
      </c>
      <c r="E18" s="17">
        <f>INDEX(Schedule!$C$4:$E$12,MATCH($B18,Schedule!$B$4:$B$12,0),3)</f>
        <v>44061</v>
      </c>
      <c r="F18" s="20" t="s">
        <v>42</v>
      </c>
      <c r="G18" s="20" t="s">
        <v>22</v>
      </c>
      <c r="H18" s="20" t="str">
        <f t="shared" si="9"/>
        <v>SCADA/Network controlAugmentation</v>
      </c>
      <c r="I18" s="390">
        <f>INDEX(WOTS22_Det!$K$107:$O$111,MATCH($H18,WOTS22_Det!$F$107:$F$111,0),MATCH(I$3,WOTS22_Det!$K$4:$O$4,0))</f>
        <v>2596.3894155923886</v>
      </c>
      <c r="J18" s="390">
        <f>INDEX(WOTS22_Det!$K$107:$O$111,MATCH($H18,WOTS22_Det!$F$107:$F$111,0),MATCH(J$3,WOTS22_Det!$K$4:$O$4,0))</f>
        <v>446.19003388694358</v>
      </c>
      <c r="K18" s="390">
        <f>INDEX(WOTS22_Det!$K$107:$O$111,MATCH($H18,WOTS22_Det!$F$107:$F$111,0),MATCH(K$3,WOTS22_Det!$K$4:$O$4,0))</f>
        <v>318.66391501219323</v>
      </c>
      <c r="L18" s="390">
        <f>INDEX(WOTS22_Det!$K$107:$O$111,MATCH($H18,WOTS22_Det!$F$107:$F$111,0),MATCH(L$3,WOTS22_Det!$K$4:$O$4,0))</f>
        <v>355.33431491712713</v>
      </c>
      <c r="M18" s="390">
        <f>INDEX(WOTS22_Det!$K$107:$O$111,MATCH($H18,WOTS22_Det!$F$107:$F$111,0),MATCH(M$3,WOTS22_Det!$K$4:$O$4,0))</f>
        <v>4.426942909760589</v>
      </c>
      <c r="N18" s="38">
        <f>$I18*INDEX(Stat_Phasing!$D$6:$K$14,MATCH($B18,Stat_Phasing!$B$6:$B$14,0),MATCH(N$4,Stat_Phasing!$D$5:$K$5))</f>
        <v>0</v>
      </c>
      <c r="O18" s="38">
        <f>$I18*INDEX(Stat_Phasing!$D$6:$K$14,MATCH($B18,Stat_Phasing!$B$6:$B$14,0),MATCH(O$4,Stat_Phasing!$D$5:$K$5))</f>
        <v>0</v>
      </c>
      <c r="P18" s="38">
        <f>$I18*INDEX(Stat_Phasing!$D$6:$K$14,MATCH($B18,Stat_Phasing!$B$6:$B$14,0),MATCH(P$4,Stat_Phasing!$D$5:$K$5))</f>
        <v>259.63894155923884</v>
      </c>
      <c r="Q18" s="38">
        <f>$I18*INDEX(Stat_Phasing!$D$6:$K$14,MATCH($B18,Stat_Phasing!$B$6:$B$14,0),MATCH(Q$4,Stat_Phasing!$D$5:$K$5))</f>
        <v>2336.7504740331497</v>
      </c>
      <c r="R18" s="38">
        <f>$I18*INDEX(Stat_Phasing!$D$6:$K$14,MATCH($B18,Stat_Phasing!$B$6:$B$14,0),MATCH(R$4,Stat_Phasing!$D$5:$K$5))</f>
        <v>0</v>
      </c>
      <c r="S18" s="38">
        <f>$I18*INDEX(Stat_Phasing!$D$6:$K$14,MATCH($B18,Stat_Phasing!$B$6:$B$14,0),MATCH(S$4,Stat_Phasing!$D$5:$K$5))</f>
        <v>0</v>
      </c>
      <c r="T18" s="38">
        <f>$I18*INDEX(Stat_Phasing!$D$6:$K$14,MATCH($B18,Stat_Phasing!$B$6:$B$14,0),MATCH(T$4,Stat_Phasing!$D$5:$K$5))</f>
        <v>0</v>
      </c>
      <c r="U18" s="38">
        <f>$I18*INDEX(Stat_Phasing!$D$6:$K$14,MATCH($B18,Stat_Phasing!$B$6:$B$14,0),MATCH(U$4,Stat_Phasing!$D$5:$K$5))</f>
        <v>0</v>
      </c>
      <c r="V18" s="38"/>
      <c r="W18" s="38">
        <f>$J18*INDEX(Stat_Phasing!$D$18:$K$26,MATCH($B18,Stat_Phasing!$B$18:$B$26,0),MATCH(W$4,Stat_Phasing!$D$17:$K$17))</f>
        <v>0</v>
      </c>
      <c r="X18" s="38">
        <f>$J18*INDEX(Stat_Phasing!$D$18:$K$26,MATCH($B18,Stat_Phasing!$B$18:$B$26,0),MATCH(X$4,Stat_Phasing!$D$17:$K$17))</f>
        <v>0</v>
      </c>
      <c r="Y18" s="38">
        <f>$J18*INDEX(Stat_Phasing!$D$18:$K$26,MATCH($B18,Stat_Phasing!$B$18:$B$26,0),MATCH(Y$4,Stat_Phasing!$D$17:$K$17))</f>
        <v>111.5475084717359</v>
      </c>
      <c r="Z18" s="38">
        <f>$J18*INDEX(Stat_Phasing!$D$18:$K$26,MATCH($B18,Stat_Phasing!$B$18:$B$26,0),MATCH(Z$4,Stat_Phasing!$D$17:$K$17))</f>
        <v>312.33302372086047</v>
      </c>
      <c r="AA18" s="38">
        <f>$J18*INDEX(Stat_Phasing!$D$18:$K$26,MATCH($B18,Stat_Phasing!$B$18:$B$26,0),MATCH(AA$4,Stat_Phasing!$D$17:$K$17))</f>
        <v>22.30950169434718</v>
      </c>
      <c r="AB18" s="38">
        <f>$J18*INDEX(Stat_Phasing!$D$18:$K$26,MATCH($B18,Stat_Phasing!$B$18:$B$26,0),MATCH(AB$4,Stat_Phasing!$D$17:$K$17))</f>
        <v>0</v>
      </c>
      <c r="AC18" s="38">
        <f>$J18*INDEX(Stat_Phasing!$D$18:$K$26,MATCH($B18,Stat_Phasing!$B$18:$B$26,0),MATCH(AC$4,Stat_Phasing!$D$17:$K$17))</f>
        <v>0</v>
      </c>
      <c r="AD18" s="38">
        <f>$J18*INDEX(Stat_Phasing!$D$18:$K$26,MATCH($B18,Stat_Phasing!$B$18:$B$26,0),MATCH(AD$4,Stat_Phasing!$D$17:$K$17))</f>
        <v>0</v>
      </c>
      <c r="AE18" s="38"/>
      <c r="AF18" s="38">
        <f>SUM($K18:$L18)*INDEX(Stat_Phasing!$D$30:$K$38,MATCH($B18,Stat_Phasing!$B$30:$B$38,0),MATCH(AF$4,Stat_Phasing!$D$29:$K$29))</f>
        <v>0</v>
      </c>
      <c r="AG18" s="38">
        <f>SUM($K18:$L18)*INDEX(Stat_Phasing!$D$30:$K$38,MATCH($B18,Stat_Phasing!$B$30:$B$38,0),MATCH(AG$4,Stat_Phasing!$D$29:$K$29))</f>
        <v>0</v>
      </c>
      <c r="AH18" s="38">
        <f>SUM($K18:$L18)*INDEX(Stat_Phasing!$D$30:$K$38,MATCH($B18,Stat_Phasing!$B$30:$B$38,0),MATCH(AH$4,Stat_Phasing!$D$29:$K$29))</f>
        <v>202.19946897879609</v>
      </c>
      <c r="AI18" s="38">
        <f>SUM($K18:$L18)*INDEX(Stat_Phasing!$D$30:$K$38,MATCH($B18,Stat_Phasing!$B$30:$B$38,0),MATCH(AI$4,Stat_Phasing!$D$29:$K$29))</f>
        <v>458.31879635193786</v>
      </c>
      <c r="AJ18" s="38">
        <f>SUM($K18:$L18)*INDEX(Stat_Phasing!$D$30:$K$38,MATCH($B18,Stat_Phasing!$B$30:$B$38,0),MATCH(AJ$4,Stat_Phasing!$D$29:$K$29))</f>
        <v>13.479964598586408</v>
      </c>
      <c r="AK18" s="38">
        <f>SUM($K18:$L18)*INDEX(Stat_Phasing!$D$30:$K$38,MATCH($B18,Stat_Phasing!$B$30:$B$38,0),MATCH(AK$4,Stat_Phasing!$D$29:$K$29))</f>
        <v>0</v>
      </c>
      <c r="AL18" s="38">
        <f>SUM($K18:$L18)*INDEX(Stat_Phasing!$D$30:$K$38,MATCH($B18,Stat_Phasing!$B$30:$B$38,0),MATCH(AL$4,Stat_Phasing!$D$29:$K$29))</f>
        <v>0</v>
      </c>
      <c r="AM18" s="38">
        <f>SUM($K18:$L18)*INDEX(Stat_Phasing!$D$30:$K$38,MATCH($B18,Stat_Phasing!$B$30:$B$38,0),MATCH(AM$4,Stat_Phasing!$D$29:$K$29))</f>
        <v>0</v>
      </c>
      <c r="AN18" s="38"/>
      <c r="AO18" s="38">
        <f>$M18*INDEX(Stat_Phasing!$D$42:$K$50,MATCH($B18,Stat_Phasing!$B$42:$B$50,0),MATCH(AO$4,Stat_Phasing!$D$41:$K$41))</f>
        <v>0</v>
      </c>
      <c r="AP18" s="38">
        <f>$M18*INDEX(Stat_Phasing!$D$42:$K$50,MATCH($B18,Stat_Phasing!$B$42:$B$50,0),MATCH(AP$4,Stat_Phasing!$D$41:$K$41))</f>
        <v>0</v>
      </c>
      <c r="AQ18" s="38">
        <f>$M18*INDEX(Stat_Phasing!$D$42:$K$50,MATCH($B18,Stat_Phasing!$B$42:$B$50,0),MATCH(AQ$4,Stat_Phasing!$D$41:$K$41))</f>
        <v>0</v>
      </c>
      <c r="AR18" s="38">
        <f>$M18*INDEX(Stat_Phasing!$D$42:$K$50,MATCH($B18,Stat_Phasing!$B$42:$B$50,0),MATCH(AR$4,Stat_Phasing!$D$41:$K$41))</f>
        <v>4.2055957642725597</v>
      </c>
      <c r="AS18" s="38">
        <f>$M18*INDEX(Stat_Phasing!$D$42:$K$50,MATCH($B18,Stat_Phasing!$B$42:$B$50,0),MATCH(AS$4,Stat_Phasing!$D$41:$K$41))</f>
        <v>0.22134714548802947</v>
      </c>
      <c r="AT18" s="38">
        <f>$M18*INDEX(Stat_Phasing!$D$42:$K$50,MATCH($B18,Stat_Phasing!$B$42:$B$50,0),MATCH(AT$4,Stat_Phasing!$D$41:$K$41))</f>
        <v>0</v>
      </c>
      <c r="AU18" s="38">
        <f>$M18*INDEX(Stat_Phasing!$D$42:$K$50,MATCH($B18,Stat_Phasing!$B$42:$B$50,0),MATCH(AU$4,Stat_Phasing!$D$41:$K$41))</f>
        <v>0</v>
      </c>
      <c r="AV18" s="38">
        <f>$M18*INDEX(Stat_Phasing!$D$42:$K$50,MATCH($B18,Stat_Phasing!$B$42:$B$50,0),MATCH(AV$4,Stat_Phasing!$D$41:$K$41))</f>
        <v>0</v>
      </c>
      <c r="AW18" s="6"/>
      <c r="AX18" s="6">
        <f t="shared" si="17"/>
        <v>0</v>
      </c>
      <c r="AY18" s="6">
        <f t="shared" si="18"/>
        <v>0</v>
      </c>
      <c r="AZ18" s="6">
        <f t="shared" si="19"/>
        <v>573.38591900977087</v>
      </c>
      <c r="BA18" s="6">
        <f t="shared" si="20"/>
        <v>3111.6078898702208</v>
      </c>
      <c r="BB18" s="6">
        <f t="shared" si="21"/>
        <v>36.010813438421621</v>
      </c>
      <c r="BC18" s="6">
        <f t="shared" si="5"/>
        <v>0</v>
      </c>
      <c r="BD18" s="6">
        <f t="shared" si="6"/>
        <v>0</v>
      </c>
      <c r="BE18" s="6">
        <f t="shared" si="7"/>
        <v>0</v>
      </c>
      <c r="BG18" s="14">
        <f t="shared" si="8"/>
        <v>3721.0046223184136</v>
      </c>
      <c r="BH18" s="38">
        <f t="shared" si="15"/>
        <v>0</v>
      </c>
      <c r="BJ18" s="15"/>
      <c r="BK18" s="15"/>
      <c r="BL18" s="15"/>
      <c r="BM18" s="15"/>
      <c r="BO18" s="15"/>
      <c r="BP18" s="15"/>
      <c r="BQ18" s="15"/>
      <c r="BR18" s="15"/>
      <c r="BT18" s="16"/>
      <c r="BU18" s="16"/>
      <c r="BV18" s="16"/>
      <c r="BW18" s="16"/>
    </row>
    <row r="19" spans="2:75" x14ac:dyDescent="0.3">
      <c r="B19" s="175" t="str">
        <f>STN_4</f>
        <v>WOTS22</v>
      </c>
      <c r="C19" s="17">
        <f>INDEX(Schedule!$C$4:$E$12,MATCH($B19,Schedule!$B$4:$B$12,0),1)</f>
        <v>43238</v>
      </c>
      <c r="D19" s="17">
        <f>INDEX(Schedule!$C$4:$E$12,MATCH($B19,Schedule!$B$4:$B$12,0),2)</f>
        <v>43525</v>
      </c>
      <c r="E19" s="17">
        <f>INDEX(Schedule!$C$4:$E$12,MATCH($B19,Schedule!$B$4:$B$12,0),3)</f>
        <v>44061</v>
      </c>
      <c r="F19" s="20" t="s">
        <v>66</v>
      </c>
      <c r="G19" s="20" t="s">
        <v>195</v>
      </c>
      <c r="H19" s="20" t="str">
        <f t="shared" si="9"/>
        <v>LandNon-Network</v>
      </c>
      <c r="I19" s="390">
        <f>INDEX(WOTS22_Det!$K$107:$O$111,MATCH($H19,WOTS22_Det!$F$107:$F$111,0),MATCH(I$3,WOTS22_Det!$K$4:$O$4,0))</f>
        <v>0</v>
      </c>
      <c r="J19" s="390">
        <f>INDEX(WOTS22_Det!$K$107:$O$111,MATCH($H19,WOTS22_Det!$F$107:$F$111,0),MATCH(J$3,WOTS22_Det!$K$4:$O$4,0))</f>
        <v>0</v>
      </c>
      <c r="K19" s="390">
        <f>INDEX(WOTS22_Det!$K$107:$O$111,MATCH($H19,WOTS22_Det!$F$107:$F$111,0),MATCH(K$3,WOTS22_Det!$K$4:$O$4,0))</f>
        <v>0</v>
      </c>
      <c r="L19" s="390">
        <f>INDEX(WOTS22_Det!$K$107:$O$111,MATCH($H19,WOTS22_Det!$F$107:$F$111,0),MATCH(L$3,WOTS22_Det!$K$4:$O$4,0))</f>
        <v>0</v>
      </c>
      <c r="M19" s="390">
        <f>INDEX(WOTS22_Det!$K$107:$O$111,MATCH($H19,WOTS22_Det!$F$107:$F$111,0),MATCH(M$3,WOTS22_Det!$K$4:$O$4,0))</f>
        <v>0</v>
      </c>
      <c r="N19" s="38">
        <f>$I19*INDEX(Stat_Phasing!$D$6:$K$14,MATCH($B19,Stat_Phasing!$B$6:$B$14,0),MATCH(N$4,Stat_Phasing!$D$5:$K$5))</f>
        <v>0</v>
      </c>
      <c r="O19" s="38">
        <f>$I19*INDEX(Stat_Phasing!$D$6:$K$14,MATCH($B19,Stat_Phasing!$B$6:$B$14,0),MATCH(O$4,Stat_Phasing!$D$5:$K$5))</f>
        <v>0</v>
      </c>
      <c r="P19" s="38">
        <f>$I19*INDEX(Stat_Phasing!$D$6:$K$14,MATCH($B19,Stat_Phasing!$B$6:$B$14,0),MATCH(P$4,Stat_Phasing!$D$5:$K$5))</f>
        <v>0</v>
      </c>
      <c r="Q19" s="38">
        <f>$I19*INDEX(Stat_Phasing!$D$6:$K$14,MATCH($B19,Stat_Phasing!$B$6:$B$14,0),MATCH(Q$4,Stat_Phasing!$D$5:$K$5))</f>
        <v>0</v>
      </c>
      <c r="R19" s="38">
        <f>$I19*INDEX(Stat_Phasing!$D$6:$K$14,MATCH($B19,Stat_Phasing!$B$6:$B$14,0),MATCH(R$4,Stat_Phasing!$D$5:$K$5))</f>
        <v>0</v>
      </c>
      <c r="S19" s="38">
        <f>$I19*INDEX(Stat_Phasing!$D$6:$K$14,MATCH($B19,Stat_Phasing!$B$6:$B$14,0),MATCH(S$4,Stat_Phasing!$D$5:$K$5))</f>
        <v>0</v>
      </c>
      <c r="T19" s="38">
        <f>$I19*INDEX(Stat_Phasing!$D$6:$K$14,MATCH($B19,Stat_Phasing!$B$6:$B$14,0),MATCH(T$4,Stat_Phasing!$D$5:$K$5))</f>
        <v>0</v>
      </c>
      <c r="U19" s="38">
        <f>$I19*INDEX(Stat_Phasing!$D$6:$K$14,MATCH($B19,Stat_Phasing!$B$6:$B$14,0),MATCH(U$4,Stat_Phasing!$D$5:$K$5))</f>
        <v>0</v>
      </c>
      <c r="V19" s="38"/>
      <c r="W19" s="38">
        <f>$J19*INDEX(Stat_Phasing!$D$18:$K$26,MATCH($B19,Stat_Phasing!$B$18:$B$26,0),MATCH(W$4,Stat_Phasing!$D$17:$K$17))</f>
        <v>0</v>
      </c>
      <c r="X19" s="38">
        <f>$J19*INDEX(Stat_Phasing!$D$18:$K$26,MATCH($B19,Stat_Phasing!$B$18:$B$26,0),MATCH(X$4,Stat_Phasing!$D$17:$K$17))</f>
        <v>0</v>
      </c>
      <c r="Y19" s="38">
        <f>$J19*INDEX(Stat_Phasing!$D$18:$K$26,MATCH($B19,Stat_Phasing!$B$18:$B$26,0),MATCH(Y$4,Stat_Phasing!$D$17:$K$17))</f>
        <v>0</v>
      </c>
      <c r="Z19" s="38">
        <f>$J19*INDEX(Stat_Phasing!$D$18:$K$26,MATCH($B19,Stat_Phasing!$B$18:$B$26,0),MATCH(Z$4,Stat_Phasing!$D$17:$K$17))</f>
        <v>0</v>
      </c>
      <c r="AA19" s="38">
        <f>$J19*INDEX(Stat_Phasing!$D$18:$K$26,MATCH($B19,Stat_Phasing!$B$18:$B$26,0),MATCH(AA$4,Stat_Phasing!$D$17:$K$17))</f>
        <v>0</v>
      </c>
      <c r="AB19" s="38">
        <f>$J19*INDEX(Stat_Phasing!$D$18:$K$26,MATCH($B19,Stat_Phasing!$B$18:$B$26,0),MATCH(AB$4,Stat_Phasing!$D$17:$K$17))</f>
        <v>0</v>
      </c>
      <c r="AC19" s="38">
        <f>$J19*INDEX(Stat_Phasing!$D$18:$K$26,MATCH($B19,Stat_Phasing!$B$18:$B$26,0),MATCH(AC$4,Stat_Phasing!$D$17:$K$17))</f>
        <v>0</v>
      </c>
      <c r="AD19" s="38">
        <f>$J19*INDEX(Stat_Phasing!$D$18:$K$26,MATCH($B19,Stat_Phasing!$B$18:$B$26,0),MATCH(AD$4,Stat_Phasing!$D$17:$K$17))</f>
        <v>0</v>
      </c>
      <c r="AE19" s="38"/>
      <c r="AF19" s="38">
        <f>SUM($K19:$L19)*INDEX(Stat_Phasing!$D$30:$K$38,MATCH($B19,Stat_Phasing!$B$30:$B$38,0),MATCH(AF$4,Stat_Phasing!$D$29:$K$29))</f>
        <v>0</v>
      </c>
      <c r="AG19" s="38">
        <f>SUM($K19:$L19)*INDEX(Stat_Phasing!$D$30:$K$38,MATCH($B19,Stat_Phasing!$B$30:$B$38,0),MATCH(AG$4,Stat_Phasing!$D$29:$K$29))</f>
        <v>0</v>
      </c>
      <c r="AH19" s="38">
        <f>SUM($K19:$L19)*INDEX(Stat_Phasing!$D$30:$K$38,MATCH($B19,Stat_Phasing!$B$30:$B$38,0),MATCH(AH$4,Stat_Phasing!$D$29:$K$29))</f>
        <v>0</v>
      </c>
      <c r="AI19" s="38">
        <f>SUM($K19:$L19)*INDEX(Stat_Phasing!$D$30:$K$38,MATCH($B19,Stat_Phasing!$B$30:$B$38,0),MATCH(AI$4,Stat_Phasing!$D$29:$K$29))</f>
        <v>0</v>
      </c>
      <c r="AJ19" s="38">
        <f>SUM($K19:$L19)*INDEX(Stat_Phasing!$D$30:$K$38,MATCH($B19,Stat_Phasing!$B$30:$B$38,0),MATCH(AJ$4,Stat_Phasing!$D$29:$K$29))</f>
        <v>0</v>
      </c>
      <c r="AK19" s="38">
        <f>SUM($K19:$L19)*INDEX(Stat_Phasing!$D$30:$K$38,MATCH($B19,Stat_Phasing!$B$30:$B$38,0),MATCH(AK$4,Stat_Phasing!$D$29:$K$29))</f>
        <v>0</v>
      </c>
      <c r="AL19" s="38">
        <f>SUM($K19:$L19)*INDEX(Stat_Phasing!$D$30:$K$38,MATCH($B19,Stat_Phasing!$B$30:$B$38,0),MATCH(AL$4,Stat_Phasing!$D$29:$K$29))</f>
        <v>0</v>
      </c>
      <c r="AM19" s="38">
        <f>SUM($K19:$L19)*INDEX(Stat_Phasing!$D$30:$K$38,MATCH($B19,Stat_Phasing!$B$30:$B$38,0),MATCH(AM$4,Stat_Phasing!$D$29:$K$29))</f>
        <v>0</v>
      </c>
      <c r="AN19" s="38"/>
      <c r="AO19" s="38">
        <f>$M19*INDEX(Stat_Phasing!$D$42:$K$50,MATCH($B19,Stat_Phasing!$B$42:$B$50,0),MATCH(AO$4,Stat_Phasing!$D$41:$K$41))</f>
        <v>0</v>
      </c>
      <c r="AP19" s="38">
        <f>$M19*INDEX(Stat_Phasing!$D$42:$K$50,MATCH($B19,Stat_Phasing!$B$42:$B$50,0),MATCH(AP$4,Stat_Phasing!$D$41:$K$41))</f>
        <v>0</v>
      </c>
      <c r="AQ19" s="38">
        <f>$M19*INDEX(Stat_Phasing!$D$42:$K$50,MATCH($B19,Stat_Phasing!$B$42:$B$50,0),MATCH(AQ$4,Stat_Phasing!$D$41:$K$41))</f>
        <v>0</v>
      </c>
      <c r="AR19" s="38">
        <f>$M19*INDEX(Stat_Phasing!$D$42:$K$50,MATCH($B19,Stat_Phasing!$B$42:$B$50,0),MATCH(AR$4,Stat_Phasing!$D$41:$K$41))</f>
        <v>0</v>
      </c>
      <c r="AS19" s="38">
        <f>$M19*INDEX(Stat_Phasing!$D$42:$K$50,MATCH($B19,Stat_Phasing!$B$42:$B$50,0),MATCH(AS$4,Stat_Phasing!$D$41:$K$41))</f>
        <v>0</v>
      </c>
      <c r="AT19" s="38">
        <f>$M19*INDEX(Stat_Phasing!$D$42:$K$50,MATCH($B19,Stat_Phasing!$B$42:$B$50,0),MATCH(AT$4,Stat_Phasing!$D$41:$K$41))</f>
        <v>0</v>
      </c>
      <c r="AU19" s="38">
        <f>$M19*INDEX(Stat_Phasing!$D$42:$K$50,MATCH($B19,Stat_Phasing!$B$42:$B$50,0),MATCH(AU$4,Stat_Phasing!$D$41:$K$41))</f>
        <v>0</v>
      </c>
      <c r="AV19" s="38">
        <f>$M19*INDEX(Stat_Phasing!$D$42:$K$50,MATCH($B19,Stat_Phasing!$B$42:$B$50,0),MATCH(AV$4,Stat_Phasing!$D$41:$K$41))</f>
        <v>0</v>
      </c>
      <c r="AW19" s="6"/>
      <c r="AX19" s="6">
        <f t="shared" si="17"/>
        <v>0</v>
      </c>
      <c r="AY19" s="6">
        <f t="shared" si="18"/>
        <v>0</v>
      </c>
      <c r="AZ19" s="6">
        <f t="shared" si="19"/>
        <v>0</v>
      </c>
      <c r="BA19" s="6">
        <f t="shared" si="20"/>
        <v>0</v>
      </c>
      <c r="BB19" s="6">
        <f t="shared" si="21"/>
        <v>0</v>
      </c>
      <c r="BC19" s="6">
        <f t="shared" si="5"/>
        <v>0</v>
      </c>
      <c r="BD19" s="6">
        <f t="shared" si="6"/>
        <v>0</v>
      </c>
      <c r="BE19" s="6">
        <f t="shared" si="7"/>
        <v>0</v>
      </c>
      <c r="BG19" s="14">
        <f t="shared" si="8"/>
        <v>0</v>
      </c>
      <c r="BH19" s="38">
        <f t="shared" si="15"/>
        <v>0</v>
      </c>
      <c r="BJ19" s="15"/>
      <c r="BK19" s="15"/>
      <c r="BL19" s="15"/>
      <c r="BM19" s="15"/>
      <c r="BO19" s="15"/>
      <c r="BP19" s="15"/>
      <c r="BQ19" s="15"/>
      <c r="BR19" s="15"/>
      <c r="BT19" s="16"/>
      <c r="BU19" s="16"/>
      <c r="BV19" s="16"/>
      <c r="BW19" s="16"/>
    </row>
    <row r="20" spans="2:75" x14ac:dyDescent="0.3">
      <c r="B20" s="175" t="str">
        <f>STN_5</f>
        <v>MOE</v>
      </c>
      <c r="C20" s="17">
        <f>INDEX(Schedule!$C$4:$E$12,MATCH($B20,Schedule!$B$4:$B$12,0),1)</f>
        <v>43330</v>
      </c>
      <c r="D20" s="17">
        <f>INDEX(Schedule!$C$4:$E$12,MATCH($B20,Schedule!$B$4:$B$12,0),2)</f>
        <v>43739</v>
      </c>
      <c r="E20" s="17">
        <f>INDEX(Schedule!$C$4:$E$12,MATCH($B20,Schedule!$B$4:$B$12,0),3)</f>
        <v>44136</v>
      </c>
      <c r="F20" s="20" t="s">
        <v>42</v>
      </c>
      <c r="G20" s="20" t="s">
        <v>18</v>
      </c>
      <c r="H20" s="20" t="str">
        <f t="shared" si="9"/>
        <v>SubtransmissionAugmentation</v>
      </c>
      <c r="I20" s="390">
        <f>INDEX(MOE_Det!$K$111:$O$115,MATCH($H20,MOE_Det!$F$111:$F$115,0),MATCH(I$3,MOE_Det!$K$4:$O$4,0))</f>
        <v>1144.4069010992209</v>
      </c>
      <c r="J20" s="390">
        <f>INDEX(MOE_Det!$K$111:$O$115,MATCH($H20,MOE_Det!$F$111:$F$115,0),MATCH(J$3,MOE_Det!$K$4:$O$4,0))</f>
        <v>404.20667487682738</v>
      </c>
      <c r="K20" s="390">
        <f>INDEX(MOE_Det!$K$111:$O$115,MATCH($H20,MOE_Det!$F$111:$F$115,0),MATCH(K$3,MOE_Det!$K$4:$O$4,0))</f>
        <v>307.94699093856883</v>
      </c>
      <c r="L20" s="390">
        <f>INDEX(MOE_Det!$K$111:$O$115,MATCH($H20,MOE_Det!$F$111:$F$115,0),MATCH(L$3,MOE_Det!$K$4:$O$4,0))</f>
        <v>1714.1243019401263</v>
      </c>
      <c r="M20" s="390">
        <f>INDEX(MOE_Det!$K$111:$O$115,MATCH($H20,MOE_Det!$F$111:$F$115,0),MATCH(M$3,MOE_Det!$K$4:$O$4,0))</f>
        <v>367.68362975716309</v>
      </c>
      <c r="N20" s="38">
        <f>$I20*INDEX(Stat_Phasing!$D$6:$K$14,MATCH($B20,Stat_Phasing!$B$6:$B$14,0),MATCH(N$4,Stat_Phasing!$D$5:$K$5))</f>
        <v>0</v>
      </c>
      <c r="O20" s="38">
        <f>$I20*INDEX(Stat_Phasing!$D$6:$K$14,MATCH($B20,Stat_Phasing!$B$6:$B$14,0),MATCH(O$4,Stat_Phasing!$D$5:$K$5))</f>
        <v>0</v>
      </c>
      <c r="P20" s="38">
        <f>$I20*INDEX(Stat_Phasing!$D$6:$K$14,MATCH($B20,Stat_Phasing!$B$6:$B$14,0),MATCH(P$4,Stat_Phasing!$D$5:$K$5))</f>
        <v>57.220345054961051</v>
      </c>
      <c r="Q20" s="38">
        <f>$I20*INDEX(Stat_Phasing!$D$6:$K$14,MATCH($B20,Stat_Phasing!$B$6:$B$14,0),MATCH(Q$4,Stat_Phasing!$D$5:$K$5))</f>
        <v>543.59327802212988</v>
      </c>
      <c r="R20" s="38">
        <f>$I20*INDEX(Stat_Phasing!$D$6:$K$14,MATCH($B20,Stat_Phasing!$B$6:$B$14,0),MATCH(R$4,Stat_Phasing!$D$5:$K$5))</f>
        <v>543.59327802212988</v>
      </c>
      <c r="S20" s="38">
        <f>$I20*INDEX(Stat_Phasing!$D$6:$K$14,MATCH($B20,Stat_Phasing!$B$6:$B$14,0),MATCH(S$4,Stat_Phasing!$D$5:$K$5))</f>
        <v>0</v>
      </c>
      <c r="T20" s="38">
        <f>$I20*INDEX(Stat_Phasing!$D$6:$K$14,MATCH($B20,Stat_Phasing!$B$6:$B$14,0),MATCH(T$4,Stat_Phasing!$D$5:$K$5))</f>
        <v>0</v>
      </c>
      <c r="U20" s="38">
        <f>$I20*INDEX(Stat_Phasing!$D$6:$K$14,MATCH($B20,Stat_Phasing!$B$6:$B$14,0),MATCH(U$4,Stat_Phasing!$D$5:$K$5))</f>
        <v>0</v>
      </c>
      <c r="V20" s="38"/>
      <c r="W20" s="38">
        <f>$J20*INDEX(Stat_Phasing!$D$18:$K$26,MATCH($B20,Stat_Phasing!$B$18:$B$26,0),MATCH(W$4,Stat_Phasing!$D$17:$K$17))</f>
        <v>0</v>
      </c>
      <c r="X20" s="38">
        <f>$J20*INDEX(Stat_Phasing!$D$18:$K$26,MATCH($B20,Stat_Phasing!$B$18:$B$26,0),MATCH(X$4,Stat_Phasing!$D$17:$K$17))</f>
        <v>0</v>
      </c>
      <c r="Y20" s="38">
        <f>$J20*INDEX(Stat_Phasing!$D$18:$K$26,MATCH($B20,Stat_Phasing!$B$18:$B$26,0),MATCH(Y$4,Stat_Phasing!$D$17:$K$17))</f>
        <v>50.525834359603422</v>
      </c>
      <c r="Z20" s="38">
        <f>$J20*INDEX(Stat_Phasing!$D$18:$K$26,MATCH($B20,Stat_Phasing!$B$18:$B$26,0),MATCH(Z$4,Stat_Phasing!$D$17:$K$17))</f>
        <v>141.47233620688957</v>
      </c>
      <c r="AA20" s="38">
        <f>$J20*INDEX(Stat_Phasing!$D$18:$K$26,MATCH($B20,Stat_Phasing!$B$18:$B$26,0),MATCH(AA$4,Stat_Phasing!$D$17:$K$17))</f>
        <v>191.998170566493</v>
      </c>
      <c r="AB20" s="38">
        <f>$J20*INDEX(Stat_Phasing!$D$18:$K$26,MATCH($B20,Stat_Phasing!$B$18:$B$26,0),MATCH(AB$4,Stat_Phasing!$D$17:$K$17))</f>
        <v>20.210333743841371</v>
      </c>
      <c r="AC20" s="38">
        <f>$J20*INDEX(Stat_Phasing!$D$18:$K$26,MATCH($B20,Stat_Phasing!$B$18:$B$26,0),MATCH(AC$4,Stat_Phasing!$D$17:$K$17))</f>
        <v>0</v>
      </c>
      <c r="AD20" s="38">
        <f>$J20*INDEX(Stat_Phasing!$D$18:$K$26,MATCH($B20,Stat_Phasing!$B$18:$B$26,0),MATCH(AD$4,Stat_Phasing!$D$17:$K$17))</f>
        <v>0</v>
      </c>
      <c r="AE20" s="38"/>
      <c r="AF20" s="38">
        <f>SUM($K20:$L20)*INDEX(Stat_Phasing!$D$30:$K$38,MATCH($B20,Stat_Phasing!$B$30:$B$38,0),MATCH(AF$4,Stat_Phasing!$D$29:$K$29))</f>
        <v>0</v>
      </c>
      <c r="AG20" s="38">
        <f>SUM($K20:$L20)*INDEX(Stat_Phasing!$D$30:$K$38,MATCH($B20,Stat_Phasing!$B$30:$B$38,0),MATCH(AG$4,Stat_Phasing!$D$29:$K$29))</f>
        <v>0</v>
      </c>
      <c r="AH20" s="38">
        <f>SUM($K20:$L20)*INDEX(Stat_Phasing!$D$30:$K$38,MATCH($B20,Stat_Phasing!$B$30:$B$38,0),MATCH(AH$4,Stat_Phasing!$D$29:$K$29))</f>
        <v>303.31069393180428</v>
      </c>
      <c r="AI20" s="38">
        <f>SUM($K20:$L20)*INDEX(Stat_Phasing!$D$30:$K$38,MATCH($B20,Stat_Phasing!$B$30:$B$38,0),MATCH(AI$4,Stat_Phasing!$D$29:$K$29))</f>
        <v>940.26315118859316</v>
      </c>
      <c r="AJ20" s="38">
        <f>SUM($K20:$L20)*INDEX(Stat_Phasing!$D$30:$K$38,MATCH($B20,Stat_Phasing!$B$30:$B$38,0),MATCH(AJ$4,Stat_Phasing!$D$29:$K$29))</f>
        <v>738.05602190072375</v>
      </c>
      <c r="AK20" s="38">
        <f>SUM($K20:$L20)*INDEX(Stat_Phasing!$D$30:$K$38,MATCH($B20,Stat_Phasing!$B$30:$B$38,0),MATCH(AK$4,Stat_Phasing!$D$29:$K$29))</f>
        <v>40.441425857573904</v>
      </c>
      <c r="AL20" s="38">
        <f>SUM($K20:$L20)*INDEX(Stat_Phasing!$D$30:$K$38,MATCH($B20,Stat_Phasing!$B$30:$B$38,0),MATCH(AL$4,Stat_Phasing!$D$29:$K$29))</f>
        <v>0</v>
      </c>
      <c r="AM20" s="38">
        <f>SUM($K20:$L20)*INDEX(Stat_Phasing!$D$30:$K$38,MATCH($B20,Stat_Phasing!$B$30:$B$38,0),MATCH(AM$4,Stat_Phasing!$D$29:$K$29))</f>
        <v>0</v>
      </c>
      <c r="AN20" s="38"/>
      <c r="AO20" s="38">
        <f>$M20*INDEX(Stat_Phasing!$D$42:$K$50,MATCH($B20,Stat_Phasing!$B$42:$B$50,0),MATCH(AO$4,Stat_Phasing!$D$41:$K$41))</f>
        <v>0</v>
      </c>
      <c r="AP20" s="38">
        <f>$M20*INDEX(Stat_Phasing!$D$42:$K$50,MATCH($B20,Stat_Phasing!$B$42:$B$50,0),MATCH(AP$4,Stat_Phasing!$D$41:$K$41))</f>
        <v>0</v>
      </c>
      <c r="AQ20" s="38">
        <f>$M20*INDEX(Stat_Phasing!$D$42:$K$50,MATCH($B20,Stat_Phasing!$B$42:$B$50,0),MATCH(AQ$4,Stat_Phasing!$D$41:$K$41))</f>
        <v>0</v>
      </c>
      <c r="AR20" s="38">
        <f>$M20*INDEX(Stat_Phasing!$D$42:$K$50,MATCH($B20,Stat_Phasing!$B$42:$B$50,0),MATCH(AR$4,Stat_Phasing!$D$41:$K$41))</f>
        <v>147.07345190286523</v>
      </c>
      <c r="AS20" s="38">
        <f>$M20*INDEX(Stat_Phasing!$D$42:$K$50,MATCH($B20,Stat_Phasing!$B$42:$B$50,0),MATCH(AS$4,Stat_Phasing!$D$41:$K$41))</f>
        <v>202.22599636643972</v>
      </c>
      <c r="AT20" s="38">
        <f>$M20*INDEX(Stat_Phasing!$D$42:$K$50,MATCH($B20,Stat_Phasing!$B$42:$B$50,0),MATCH(AT$4,Stat_Phasing!$D$41:$K$41))</f>
        <v>18.384181487858154</v>
      </c>
      <c r="AU20" s="38">
        <f>$M20*INDEX(Stat_Phasing!$D$42:$K$50,MATCH($B20,Stat_Phasing!$B$42:$B$50,0),MATCH(AU$4,Stat_Phasing!$D$41:$K$41))</f>
        <v>0</v>
      </c>
      <c r="AV20" s="38">
        <f>$M20*INDEX(Stat_Phasing!$D$42:$K$50,MATCH($B20,Stat_Phasing!$B$42:$B$50,0),MATCH(AV$4,Stat_Phasing!$D$41:$K$41))</f>
        <v>0</v>
      </c>
      <c r="AW20" s="6"/>
      <c r="AX20" s="6">
        <f t="shared" si="17"/>
        <v>0</v>
      </c>
      <c r="AY20" s="6">
        <f t="shared" si="18"/>
        <v>0</v>
      </c>
      <c r="AZ20" s="6">
        <f t="shared" si="19"/>
        <v>411.05687334636877</v>
      </c>
      <c r="BA20" s="6">
        <f t="shared" si="20"/>
        <v>1772.4022173204778</v>
      </c>
      <c r="BB20" s="6">
        <f t="shared" si="21"/>
        <v>1675.8734668557863</v>
      </c>
      <c r="BC20" s="6">
        <f t="shared" si="5"/>
        <v>79.035941089273436</v>
      </c>
      <c r="BD20" s="6">
        <f t="shared" si="6"/>
        <v>0</v>
      </c>
      <c r="BE20" s="6">
        <f t="shared" si="7"/>
        <v>0</v>
      </c>
      <c r="BG20" s="14">
        <f t="shared" si="8"/>
        <v>3938.368498611906</v>
      </c>
      <c r="BH20" s="38">
        <f t="shared" si="15"/>
        <v>0</v>
      </c>
      <c r="BJ20" s="15"/>
      <c r="BK20" s="15"/>
      <c r="BL20" s="15"/>
      <c r="BM20" s="15"/>
      <c r="BO20" s="15"/>
      <c r="BP20" s="15"/>
      <c r="BQ20" s="15"/>
      <c r="BR20" s="15"/>
      <c r="BT20" s="16"/>
      <c r="BU20" s="16"/>
      <c r="BV20" s="16"/>
      <c r="BW20" s="16"/>
    </row>
    <row r="21" spans="2:75" x14ac:dyDescent="0.3">
      <c r="B21" s="175" t="str">
        <f>STN_5</f>
        <v>MOE</v>
      </c>
      <c r="C21" s="17">
        <f>INDEX(Schedule!$C$4:$E$12,MATCH($B21,Schedule!$B$4:$B$12,0),1)</f>
        <v>43330</v>
      </c>
      <c r="D21" s="17">
        <f>INDEX(Schedule!$C$4:$E$12,MATCH($B21,Schedule!$B$4:$B$12,0),2)</f>
        <v>43739</v>
      </c>
      <c r="E21" s="17">
        <f>INDEX(Schedule!$C$4:$E$12,MATCH($B21,Schedule!$B$4:$B$12,0),3)</f>
        <v>44136</v>
      </c>
      <c r="F21" s="20" t="s">
        <v>44</v>
      </c>
      <c r="G21" s="20" t="s">
        <v>18</v>
      </c>
      <c r="H21" s="20" t="str">
        <f t="shared" si="9"/>
        <v>SubtransmissionReplacement</v>
      </c>
      <c r="I21" s="390">
        <f>INDEX(MOE_Det!$K$111:$O$115,MATCH($H21,MOE_Det!$F$111:$F$115,0),MATCH(I$3,MOE_Det!$K$4:$O$4,0))</f>
        <v>0</v>
      </c>
      <c r="J21" s="390">
        <f>INDEX(MOE_Det!$K$111:$O$115,MATCH($H21,MOE_Det!$F$111:$F$115,0),MATCH(J$3,MOE_Det!$K$4:$O$4,0))</f>
        <v>0</v>
      </c>
      <c r="K21" s="390">
        <f>INDEX(MOE_Det!$K$111:$O$115,MATCH($H21,MOE_Det!$F$111:$F$115,0),MATCH(K$3,MOE_Det!$K$4:$O$4,0))</f>
        <v>0</v>
      </c>
      <c r="L21" s="390">
        <f>INDEX(MOE_Det!$K$111:$O$115,MATCH($H21,MOE_Det!$F$111:$F$115,0),MATCH(L$3,MOE_Det!$K$4:$O$4,0))</f>
        <v>0</v>
      </c>
      <c r="M21" s="390">
        <f>INDEX(MOE_Det!$K$111:$O$115,MATCH($H21,MOE_Det!$F$111:$F$115,0),MATCH(M$3,MOE_Det!$K$4:$O$4,0))</f>
        <v>0</v>
      </c>
      <c r="N21" s="38">
        <f>$I21*INDEX(Stat_Phasing!$D$6:$K$14,MATCH($B21,Stat_Phasing!$B$6:$B$14,0),MATCH(N$4,Stat_Phasing!$D$5:$K$5))</f>
        <v>0</v>
      </c>
      <c r="O21" s="38">
        <f>$I21*INDEX(Stat_Phasing!$D$6:$K$14,MATCH($B21,Stat_Phasing!$B$6:$B$14,0),MATCH(O$4,Stat_Phasing!$D$5:$K$5))</f>
        <v>0</v>
      </c>
      <c r="P21" s="38">
        <f>$I21*INDEX(Stat_Phasing!$D$6:$K$14,MATCH($B21,Stat_Phasing!$B$6:$B$14,0),MATCH(P$4,Stat_Phasing!$D$5:$K$5))</f>
        <v>0</v>
      </c>
      <c r="Q21" s="38">
        <f>$I21*INDEX(Stat_Phasing!$D$6:$K$14,MATCH($B21,Stat_Phasing!$B$6:$B$14,0),MATCH(Q$4,Stat_Phasing!$D$5:$K$5))</f>
        <v>0</v>
      </c>
      <c r="R21" s="38">
        <f>$I21*INDEX(Stat_Phasing!$D$6:$K$14,MATCH($B21,Stat_Phasing!$B$6:$B$14,0),MATCH(R$4,Stat_Phasing!$D$5:$K$5))</f>
        <v>0</v>
      </c>
      <c r="S21" s="38">
        <f>$I21*INDEX(Stat_Phasing!$D$6:$K$14,MATCH($B21,Stat_Phasing!$B$6:$B$14,0),MATCH(S$4,Stat_Phasing!$D$5:$K$5))</f>
        <v>0</v>
      </c>
      <c r="T21" s="38">
        <f>$I21*INDEX(Stat_Phasing!$D$6:$K$14,MATCH($B21,Stat_Phasing!$B$6:$B$14,0),MATCH(T$4,Stat_Phasing!$D$5:$K$5))</f>
        <v>0</v>
      </c>
      <c r="U21" s="38">
        <f>$I21*INDEX(Stat_Phasing!$D$6:$K$14,MATCH($B21,Stat_Phasing!$B$6:$B$14,0),MATCH(U$4,Stat_Phasing!$D$5:$K$5))</f>
        <v>0</v>
      </c>
      <c r="V21" s="38"/>
      <c r="W21" s="38">
        <f>$J21*INDEX(Stat_Phasing!$D$18:$K$26,MATCH($B21,Stat_Phasing!$B$18:$B$26,0),MATCH(W$4,Stat_Phasing!$D$17:$K$17))</f>
        <v>0</v>
      </c>
      <c r="X21" s="38">
        <f>$J21*INDEX(Stat_Phasing!$D$18:$K$26,MATCH($B21,Stat_Phasing!$B$18:$B$26,0),MATCH(X$4,Stat_Phasing!$D$17:$K$17))</f>
        <v>0</v>
      </c>
      <c r="Y21" s="38">
        <f>$J21*INDEX(Stat_Phasing!$D$18:$K$26,MATCH($B21,Stat_Phasing!$B$18:$B$26,0),MATCH(Y$4,Stat_Phasing!$D$17:$K$17))</f>
        <v>0</v>
      </c>
      <c r="Z21" s="38">
        <f>$J21*INDEX(Stat_Phasing!$D$18:$K$26,MATCH($B21,Stat_Phasing!$B$18:$B$26,0),MATCH(Z$4,Stat_Phasing!$D$17:$K$17))</f>
        <v>0</v>
      </c>
      <c r="AA21" s="38">
        <f>$J21*INDEX(Stat_Phasing!$D$18:$K$26,MATCH($B21,Stat_Phasing!$B$18:$B$26,0),MATCH(AA$4,Stat_Phasing!$D$17:$K$17))</f>
        <v>0</v>
      </c>
      <c r="AB21" s="38">
        <f>$J21*INDEX(Stat_Phasing!$D$18:$K$26,MATCH($B21,Stat_Phasing!$B$18:$B$26,0),MATCH(AB$4,Stat_Phasing!$D$17:$K$17))</f>
        <v>0</v>
      </c>
      <c r="AC21" s="38">
        <f>$J21*INDEX(Stat_Phasing!$D$18:$K$26,MATCH($B21,Stat_Phasing!$B$18:$B$26,0),MATCH(AC$4,Stat_Phasing!$D$17:$K$17))</f>
        <v>0</v>
      </c>
      <c r="AD21" s="38">
        <f>$J21*INDEX(Stat_Phasing!$D$18:$K$26,MATCH($B21,Stat_Phasing!$B$18:$B$26,0),MATCH(AD$4,Stat_Phasing!$D$17:$K$17))</f>
        <v>0</v>
      </c>
      <c r="AE21" s="38"/>
      <c r="AF21" s="38">
        <f>SUM($K21:$L21)*INDEX(Stat_Phasing!$D$30:$K$38,MATCH($B21,Stat_Phasing!$B$30:$B$38,0),MATCH(AF$4,Stat_Phasing!$D$29:$K$29))</f>
        <v>0</v>
      </c>
      <c r="AG21" s="38">
        <f>SUM($K21:$L21)*INDEX(Stat_Phasing!$D$30:$K$38,MATCH($B21,Stat_Phasing!$B$30:$B$38,0),MATCH(AG$4,Stat_Phasing!$D$29:$K$29))</f>
        <v>0</v>
      </c>
      <c r="AH21" s="38">
        <f>SUM($K21:$L21)*INDEX(Stat_Phasing!$D$30:$K$38,MATCH($B21,Stat_Phasing!$B$30:$B$38,0),MATCH(AH$4,Stat_Phasing!$D$29:$K$29))</f>
        <v>0</v>
      </c>
      <c r="AI21" s="38">
        <f>SUM($K21:$L21)*INDEX(Stat_Phasing!$D$30:$K$38,MATCH($B21,Stat_Phasing!$B$30:$B$38,0),MATCH(AI$4,Stat_Phasing!$D$29:$K$29))</f>
        <v>0</v>
      </c>
      <c r="AJ21" s="38">
        <f>SUM($K21:$L21)*INDEX(Stat_Phasing!$D$30:$K$38,MATCH($B21,Stat_Phasing!$B$30:$B$38,0),MATCH(AJ$4,Stat_Phasing!$D$29:$K$29))</f>
        <v>0</v>
      </c>
      <c r="AK21" s="38">
        <f>SUM($K21:$L21)*INDEX(Stat_Phasing!$D$30:$K$38,MATCH($B21,Stat_Phasing!$B$30:$B$38,0),MATCH(AK$4,Stat_Phasing!$D$29:$K$29))</f>
        <v>0</v>
      </c>
      <c r="AL21" s="38">
        <f>SUM($K21:$L21)*INDEX(Stat_Phasing!$D$30:$K$38,MATCH($B21,Stat_Phasing!$B$30:$B$38,0),MATCH(AL$4,Stat_Phasing!$D$29:$K$29))</f>
        <v>0</v>
      </c>
      <c r="AM21" s="38">
        <f>SUM($K21:$L21)*INDEX(Stat_Phasing!$D$30:$K$38,MATCH($B21,Stat_Phasing!$B$30:$B$38,0),MATCH(AM$4,Stat_Phasing!$D$29:$K$29))</f>
        <v>0</v>
      </c>
      <c r="AN21" s="38"/>
      <c r="AO21" s="38">
        <f>$M21*INDEX(Stat_Phasing!$D$42:$K$50,MATCH($B21,Stat_Phasing!$B$42:$B$50,0),MATCH(AO$4,Stat_Phasing!$D$41:$K$41))</f>
        <v>0</v>
      </c>
      <c r="AP21" s="38">
        <f>$M21*INDEX(Stat_Phasing!$D$42:$K$50,MATCH($B21,Stat_Phasing!$B$42:$B$50,0),MATCH(AP$4,Stat_Phasing!$D$41:$K$41))</f>
        <v>0</v>
      </c>
      <c r="AQ21" s="38">
        <f>$M21*INDEX(Stat_Phasing!$D$42:$K$50,MATCH($B21,Stat_Phasing!$B$42:$B$50,0),MATCH(AQ$4,Stat_Phasing!$D$41:$K$41))</f>
        <v>0</v>
      </c>
      <c r="AR21" s="38">
        <f>$M21*INDEX(Stat_Phasing!$D$42:$K$50,MATCH($B21,Stat_Phasing!$B$42:$B$50,0),MATCH(AR$4,Stat_Phasing!$D$41:$K$41))</f>
        <v>0</v>
      </c>
      <c r="AS21" s="38">
        <f>$M21*INDEX(Stat_Phasing!$D$42:$K$50,MATCH($B21,Stat_Phasing!$B$42:$B$50,0),MATCH(AS$4,Stat_Phasing!$D$41:$K$41))</f>
        <v>0</v>
      </c>
      <c r="AT21" s="38">
        <f>$M21*INDEX(Stat_Phasing!$D$42:$K$50,MATCH($B21,Stat_Phasing!$B$42:$B$50,0),MATCH(AT$4,Stat_Phasing!$D$41:$K$41))</f>
        <v>0</v>
      </c>
      <c r="AU21" s="38">
        <f>$M21*INDEX(Stat_Phasing!$D$42:$K$50,MATCH($B21,Stat_Phasing!$B$42:$B$50,0),MATCH(AU$4,Stat_Phasing!$D$41:$K$41))</f>
        <v>0</v>
      </c>
      <c r="AV21" s="38">
        <f>$M21*INDEX(Stat_Phasing!$D$42:$K$50,MATCH($B21,Stat_Phasing!$B$42:$B$50,0),MATCH(AV$4,Stat_Phasing!$D$41:$K$41))</f>
        <v>0</v>
      </c>
      <c r="AW21" s="6"/>
      <c r="AX21" s="6">
        <f t="shared" ref="AX21" si="29">N21+W21+AF21+AO21</f>
        <v>0</v>
      </c>
      <c r="AY21" s="6">
        <f t="shared" ref="AY21" si="30">O21+X21+AG21+AP21</f>
        <v>0</v>
      </c>
      <c r="AZ21" s="6">
        <f t="shared" ref="AZ21" si="31">P21+Y21+AH21+AQ21</f>
        <v>0</v>
      </c>
      <c r="BA21" s="6">
        <f t="shared" ref="BA21" si="32">Q21+Z21+AI21+AR21</f>
        <v>0</v>
      </c>
      <c r="BB21" s="6">
        <f t="shared" ref="BB21" si="33">R21+AA21+AJ21+AS21</f>
        <v>0</v>
      </c>
      <c r="BC21" s="6">
        <f t="shared" si="5"/>
        <v>0</v>
      </c>
      <c r="BD21" s="6">
        <f t="shared" si="6"/>
        <v>0</v>
      </c>
      <c r="BE21" s="6">
        <f t="shared" si="7"/>
        <v>0</v>
      </c>
      <c r="BG21" s="14">
        <f t="shared" si="8"/>
        <v>0</v>
      </c>
      <c r="BH21" s="38">
        <f t="shared" ref="BH21" si="34">BG21-SUM(I21:M21)</f>
        <v>0</v>
      </c>
      <c r="BJ21" s="15"/>
      <c r="BK21" s="15"/>
      <c r="BL21" s="15"/>
      <c r="BM21" s="15"/>
      <c r="BO21" s="15"/>
      <c r="BP21" s="15"/>
      <c r="BQ21" s="15"/>
      <c r="BR21" s="15"/>
      <c r="BT21" s="16"/>
      <c r="BU21" s="16"/>
      <c r="BV21" s="16"/>
      <c r="BW21" s="16"/>
    </row>
    <row r="22" spans="2:75" x14ac:dyDescent="0.3">
      <c r="B22" s="175" t="str">
        <f>STN_5</f>
        <v>MOE</v>
      </c>
      <c r="C22" s="17">
        <f>INDEX(Schedule!$C$4:$E$12,MATCH($B22,Schedule!$B$4:$B$12,0),1)</f>
        <v>43330</v>
      </c>
      <c r="D22" s="17">
        <f>INDEX(Schedule!$C$4:$E$12,MATCH($B22,Schedule!$B$4:$B$12,0),2)</f>
        <v>43739</v>
      </c>
      <c r="E22" s="17">
        <f>INDEX(Schedule!$C$4:$E$12,MATCH($B22,Schedule!$B$4:$B$12,0),3)</f>
        <v>44136</v>
      </c>
      <c r="F22" s="20" t="s">
        <v>42</v>
      </c>
      <c r="G22" s="20" t="s">
        <v>22</v>
      </c>
      <c r="H22" s="20" t="str">
        <f t="shared" si="9"/>
        <v>SCADA/Network controlAugmentation</v>
      </c>
      <c r="I22" s="390">
        <f>INDEX(MOE_Det!$K$111:$O$115,MATCH($H22,MOE_Det!$F$111:$F$115,0),MATCH(I$3,MOE_Det!$K$4:$O$4,0))</f>
        <v>3012.9725960712094</v>
      </c>
      <c r="J22" s="390">
        <f>INDEX(MOE_Det!$K$111:$O$115,MATCH($H22,MOE_Det!$F$111:$F$115,0),MATCH(J$3,MOE_Det!$K$4:$O$4,0))</f>
        <v>441.83082512317259</v>
      </c>
      <c r="K22" s="390">
        <f>INDEX(MOE_Det!$K$111:$O$115,MATCH($H22,MOE_Det!$F$111:$F$115,0),MATCH(K$3,MOE_Det!$K$4:$O$4,0))</f>
        <v>336.61114859631476</v>
      </c>
      <c r="L22" s="390">
        <f>INDEX(MOE_Det!$K$111:$O$115,MATCH($H22,MOE_Det!$F$111:$F$115,0),MATCH(L$3,MOE_Det!$K$4:$O$4,0))</f>
        <v>502.46292817679557</v>
      </c>
      <c r="M22" s="390">
        <f>INDEX(MOE_Det!$K$111:$O$115,MATCH($H22,MOE_Det!$F$111:$F$115,0),MATCH(M$3,MOE_Det!$K$4:$O$4,0))</f>
        <v>11.080117863720073</v>
      </c>
      <c r="N22" s="38">
        <f>$I22*INDEX(Stat_Phasing!$D$6:$K$14,MATCH($B22,Stat_Phasing!$B$6:$B$14,0),MATCH(N$4,Stat_Phasing!$D$5:$K$5))</f>
        <v>0</v>
      </c>
      <c r="O22" s="38">
        <f>$I22*INDEX(Stat_Phasing!$D$6:$K$14,MATCH($B22,Stat_Phasing!$B$6:$B$14,0),MATCH(O$4,Stat_Phasing!$D$5:$K$5))</f>
        <v>0</v>
      </c>
      <c r="P22" s="38">
        <f>$I22*INDEX(Stat_Phasing!$D$6:$K$14,MATCH($B22,Stat_Phasing!$B$6:$B$14,0),MATCH(P$4,Stat_Phasing!$D$5:$K$5))</f>
        <v>150.64862980356048</v>
      </c>
      <c r="Q22" s="38">
        <f>$I22*INDEX(Stat_Phasing!$D$6:$K$14,MATCH($B22,Stat_Phasing!$B$6:$B$14,0),MATCH(Q$4,Stat_Phasing!$D$5:$K$5))</f>
        <v>1431.1619831338244</v>
      </c>
      <c r="R22" s="38">
        <f>$I22*INDEX(Stat_Phasing!$D$6:$K$14,MATCH($B22,Stat_Phasing!$B$6:$B$14,0),MATCH(R$4,Stat_Phasing!$D$5:$K$5))</f>
        <v>1431.1619831338244</v>
      </c>
      <c r="S22" s="38">
        <f>$I22*INDEX(Stat_Phasing!$D$6:$K$14,MATCH($B22,Stat_Phasing!$B$6:$B$14,0),MATCH(S$4,Stat_Phasing!$D$5:$K$5))</f>
        <v>0</v>
      </c>
      <c r="T22" s="38">
        <f>$I22*INDEX(Stat_Phasing!$D$6:$K$14,MATCH($B22,Stat_Phasing!$B$6:$B$14,0),MATCH(T$4,Stat_Phasing!$D$5:$K$5))</f>
        <v>0</v>
      </c>
      <c r="U22" s="38">
        <f>$I22*INDEX(Stat_Phasing!$D$6:$K$14,MATCH($B22,Stat_Phasing!$B$6:$B$14,0),MATCH(U$4,Stat_Phasing!$D$5:$K$5))</f>
        <v>0</v>
      </c>
      <c r="V22" s="38"/>
      <c r="W22" s="38">
        <f>$J22*INDEX(Stat_Phasing!$D$18:$K$26,MATCH($B22,Stat_Phasing!$B$18:$B$26,0),MATCH(W$4,Stat_Phasing!$D$17:$K$17))</f>
        <v>0</v>
      </c>
      <c r="X22" s="38">
        <f>$J22*INDEX(Stat_Phasing!$D$18:$K$26,MATCH($B22,Stat_Phasing!$B$18:$B$26,0),MATCH(X$4,Stat_Phasing!$D$17:$K$17))</f>
        <v>0</v>
      </c>
      <c r="Y22" s="38">
        <f>$J22*INDEX(Stat_Phasing!$D$18:$K$26,MATCH($B22,Stat_Phasing!$B$18:$B$26,0),MATCH(Y$4,Stat_Phasing!$D$17:$K$17))</f>
        <v>55.228853140396573</v>
      </c>
      <c r="Z22" s="38">
        <f>$J22*INDEX(Stat_Phasing!$D$18:$K$26,MATCH($B22,Stat_Phasing!$B$18:$B$26,0),MATCH(Z$4,Stat_Phasing!$D$17:$K$17))</f>
        <v>154.6407887931104</v>
      </c>
      <c r="AA22" s="38">
        <f>$J22*INDEX(Stat_Phasing!$D$18:$K$26,MATCH($B22,Stat_Phasing!$B$18:$B$26,0),MATCH(AA$4,Stat_Phasing!$D$17:$K$17))</f>
        <v>209.86964193350698</v>
      </c>
      <c r="AB22" s="38">
        <f>$J22*INDEX(Stat_Phasing!$D$18:$K$26,MATCH($B22,Stat_Phasing!$B$18:$B$26,0),MATCH(AB$4,Stat_Phasing!$D$17:$K$17))</f>
        <v>22.091541256158632</v>
      </c>
      <c r="AC22" s="38">
        <f>$J22*INDEX(Stat_Phasing!$D$18:$K$26,MATCH($B22,Stat_Phasing!$B$18:$B$26,0),MATCH(AC$4,Stat_Phasing!$D$17:$K$17))</f>
        <v>0</v>
      </c>
      <c r="AD22" s="38">
        <f>$J22*INDEX(Stat_Phasing!$D$18:$K$26,MATCH($B22,Stat_Phasing!$B$18:$B$26,0),MATCH(AD$4,Stat_Phasing!$D$17:$K$17))</f>
        <v>0</v>
      </c>
      <c r="AE22" s="38"/>
      <c r="AF22" s="38">
        <f>SUM($K22:$L22)*INDEX(Stat_Phasing!$D$30:$K$38,MATCH($B22,Stat_Phasing!$B$30:$B$38,0),MATCH(AF$4,Stat_Phasing!$D$29:$K$29))</f>
        <v>0</v>
      </c>
      <c r="AG22" s="38">
        <f>SUM($K22:$L22)*INDEX(Stat_Phasing!$D$30:$K$38,MATCH($B22,Stat_Phasing!$B$30:$B$38,0),MATCH(AG$4,Stat_Phasing!$D$29:$K$29))</f>
        <v>0</v>
      </c>
      <c r="AH22" s="38">
        <f>SUM($K22:$L22)*INDEX(Stat_Phasing!$D$30:$K$38,MATCH($B22,Stat_Phasing!$B$30:$B$38,0),MATCH(AH$4,Stat_Phasing!$D$29:$K$29))</f>
        <v>125.86111151596656</v>
      </c>
      <c r="AI22" s="38">
        <f>SUM($K22:$L22)*INDEX(Stat_Phasing!$D$30:$K$38,MATCH($B22,Stat_Phasing!$B$30:$B$38,0),MATCH(AI$4,Stat_Phasing!$D$29:$K$29))</f>
        <v>390.16944569949629</v>
      </c>
      <c r="AJ22" s="38">
        <f>SUM($K22:$L22)*INDEX(Stat_Phasing!$D$30:$K$38,MATCH($B22,Stat_Phasing!$B$30:$B$38,0),MATCH(AJ$4,Stat_Phasing!$D$29:$K$29))</f>
        <v>306.26203802218527</v>
      </c>
      <c r="AK22" s="38">
        <f>SUM($K22:$L22)*INDEX(Stat_Phasing!$D$30:$K$38,MATCH($B22,Stat_Phasing!$B$30:$B$38,0),MATCH(AK$4,Stat_Phasing!$D$29:$K$29))</f>
        <v>16.781481535462209</v>
      </c>
      <c r="AL22" s="38">
        <f>SUM($K22:$L22)*INDEX(Stat_Phasing!$D$30:$K$38,MATCH($B22,Stat_Phasing!$B$30:$B$38,0),MATCH(AL$4,Stat_Phasing!$D$29:$K$29))</f>
        <v>0</v>
      </c>
      <c r="AM22" s="38">
        <f>SUM($K22:$L22)*INDEX(Stat_Phasing!$D$30:$K$38,MATCH($B22,Stat_Phasing!$B$30:$B$38,0),MATCH(AM$4,Stat_Phasing!$D$29:$K$29))</f>
        <v>0</v>
      </c>
      <c r="AN22" s="38"/>
      <c r="AO22" s="38">
        <f>$M22*INDEX(Stat_Phasing!$D$42:$K$50,MATCH($B22,Stat_Phasing!$B$42:$B$50,0),MATCH(AO$4,Stat_Phasing!$D$41:$K$41))</f>
        <v>0</v>
      </c>
      <c r="AP22" s="38">
        <f>$M22*INDEX(Stat_Phasing!$D$42:$K$50,MATCH($B22,Stat_Phasing!$B$42:$B$50,0),MATCH(AP$4,Stat_Phasing!$D$41:$K$41))</f>
        <v>0</v>
      </c>
      <c r="AQ22" s="38">
        <f>$M22*INDEX(Stat_Phasing!$D$42:$K$50,MATCH($B22,Stat_Phasing!$B$42:$B$50,0),MATCH(AQ$4,Stat_Phasing!$D$41:$K$41))</f>
        <v>0</v>
      </c>
      <c r="AR22" s="38">
        <f>$M22*INDEX(Stat_Phasing!$D$42:$K$50,MATCH($B22,Stat_Phasing!$B$42:$B$50,0),MATCH(AR$4,Stat_Phasing!$D$41:$K$41))</f>
        <v>4.4320471454880295</v>
      </c>
      <c r="AS22" s="38">
        <f>$M22*INDEX(Stat_Phasing!$D$42:$K$50,MATCH($B22,Stat_Phasing!$B$42:$B$50,0),MATCH(AS$4,Stat_Phasing!$D$41:$K$41))</f>
        <v>6.0940648250460407</v>
      </c>
      <c r="AT22" s="38">
        <f>$M22*INDEX(Stat_Phasing!$D$42:$K$50,MATCH($B22,Stat_Phasing!$B$42:$B$50,0),MATCH(AT$4,Stat_Phasing!$D$41:$K$41))</f>
        <v>0.55400589318600368</v>
      </c>
      <c r="AU22" s="38">
        <f>$M22*INDEX(Stat_Phasing!$D$42:$K$50,MATCH($B22,Stat_Phasing!$B$42:$B$50,0),MATCH(AU$4,Stat_Phasing!$D$41:$K$41))</f>
        <v>0</v>
      </c>
      <c r="AV22" s="38">
        <f>$M22*INDEX(Stat_Phasing!$D$42:$K$50,MATCH($B22,Stat_Phasing!$B$42:$B$50,0),MATCH(AV$4,Stat_Phasing!$D$41:$K$41))</f>
        <v>0</v>
      </c>
      <c r="AW22" s="6"/>
      <c r="AX22" s="6">
        <f t="shared" si="17"/>
        <v>0</v>
      </c>
      <c r="AY22" s="6">
        <f t="shared" si="18"/>
        <v>0</v>
      </c>
      <c r="AZ22" s="6">
        <f t="shared" si="19"/>
        <v>331.7385944599236</v>
      </c>
      <c r="BA22" s="6">
        <f t="shared" si="20"/>
        <v>1980.4042647719191</v>
      </c>
      <c r="BB22" s="6">
        <f t="shared" si="21"/>
        <v>1953.3877279145624</v>
      </c>
      <c r="BC22" s="6">
        <f t="shared" si="5"/>
        <v>39.427028684806842</v>
      </c>
      <c r="BD22" s="6">
        <f t="shared" si="6"/>
        <v>0</v>
      </c>
      <c r="BE22" s="6">
        <f t="shared" si="7"/>
        <v>0</v>
      </c>
      <c r="BG22" s="14">
        <f t="shared" si="8"/>
        <v>4304.957615831212</v>
      </c>
      <c r="BH22" s="38">
        <f t="shared" si="15"/>
        <v>0</v>
      </c>
      <c r="BJ22" s="15"/>
      <c r="BK22" s="15"/>
      <c r="BL22" s="15"/>
      <c r="BM22" s="15"/>
      <c r="BO22" s="15"/>
      <c r="BP22" s="15"/>
      <c r="BQ22" s="15"/>
      <c r="BR22" s="15"/>
      <c r="BT22" s="16"/>
      <c r="BU22" s="16"/>
      <c r="BV22" s="16"/>
      <c r="BW22" s="16"/>
    </row>
    <row r="23" spans="2:75" x14ac:dyDescent="0.3">
      <c r="B23" s="175" t="str">
        <f>STN_5</f>
        <v>MOE</v>
      </c>
      <c r="C23" s="17">
        <f>INDEX(Schedule!$C$4:$E$12,MATCH($B23,Schedule!$B$4:$B$12,0),1)</f>
        <v>43330</v>
      </c>
      <c r="D23" s="17">
        <f>INDEX(Schedule!$C$4:$E$12,MATCH($B23,Schedule!$B$4:$B$12,0),2)</f>
        <v>43739</v>
      </c>
      <c r="E23" s="17">
        <f>INDEX(Schedule!$C$4:$E$12,MATCH($B23,Schedule!$B$4:$B$12,0),3)</f>
        <v>44136</v>
      </c>
      <c r="F23" s="20" t="s">
        <v>66</v>
      </c>
      <c r="G23" s="20" t="s">
        <v>195</v>
      </c>
      <c r="H23" s="20" t="str">
        <f t="shared" ref="H23" si="35">G23&amp;F23</f>
        <v>LandNon-Network</v>
      </c>
      <c r="I23" s="390">
        <f>INDEX(MOE_Det!$K$111:$O$115,MATCH($H23,MOE_Det!$F$111:$F$115,0),MATCH(I$3,MOE_Det!$K$4:$O$4,0))</f>
        <v>0</v>
      </c>
      <c r="J23" s="390">
        <f>INDEX(MOE_Det!$K$111:$O$115,MATCH($H23,MOE_Det!$F$111:$F$115,0),MATCH(J$3,MOE_Det!$K$4:$O$4,0))</f>
        <v>0</v>
      </c>
      <c r="K23" s="390">
        <f>INDEX(MOE_Det!$K$111:$O$115,MATCH($H23,MOE_Det!$F$111:$F$115,0),MATCH(K$3,MOE_Det!$K$4:$O$4,0))</f>
        <v>0</v>
      </c>
      <c r="L23" s="390">
        <f>INDEX(MOE_Det!$K$111:$O$115,MATCH($H23,MOE_Det!$F$111:$F$115,0),MATCH(L$3,MOE_Det!$K$4:$O$4,0))</f>
        <v>0</v>
      </c>
      <c r="M23" s="390">
        <f>INDEX(MOE_Det!$K$111:$O$115,MATCH($H23,MOE_Det!$F$111:$F$115,0),MATCH(M$3,MOE_Det!$K$4:$O$4,0))</f>
        <v>0</v>
      </c>
      <c r="N23" s="38">
        <f>$I23*INDEX(Stat_Phasing!$D$6:$K$14,MATCH($B23,Stat_Phasing!$B$6:$B$14,0),MATCH(N$4,Stat_Phasing!$D$5:$K$5))</f>
        <v>0</v>
      </c>
      <c r="O23" s="38">
        <f>$I23*INDEX(Stat_Phasing!$D$6:$K$14,MATCH($B23,Stat_Phasing!$B$6:$B$14,0),MATCH(O$4,Stat_Phasing!$D$5:$K$5))</f>
        <v>0</v>
      </c>
      <c r="P23" s="38">
        <f>$I23*INDEX(Stat_Phasing!$D$6:$K$14,MATCH($B23,Stat_Phasing!$B$6:$B$14,0),MATCH(P$4,Stat_Phasing!$D$5:$K$5))</f>
        <v>0</v>
      </c>
      <c r="Q23" s="38">
        <f>$I23*INDEX(Stat_Phasing!$D$6:$K$14,MATCH($B23,Stat_Phasing!$B$6:$B$14,0),MATCH(Q$4,Stat_Phasing!$D$5:$K$5))</f>
        <v>0</v>
      </c>
      <c r="R23" s="38">
        <f>$I23*INDEX(Stat_Phasing!$D$6:$K$14,MATCH($B23,Stat_Phasing!$B$6:$B$14,0),MATCH(R$4,Stat_Phasing!$D$5:$K$5))</f>
        <v>0</v>
      </c>
      <c r="S23" s="38">
        <f>$I23*INDEX(Stat_Phasing!$D$6:$K$14,MATCH($B23,Stat_Phasing!$B$6:$B$14,0),MATCH(S$4,Stat_Phasing!$D$5:$K$5))</f>
        <v>0</v>
      </c>
      <c r="T23" s="38">
        <f>$I23*INDEX(Stat_Phasing!$D$6:$K$14,MATCH($B23,Stat_Phasing!$B$6:$B$14,0),MATCH(T$4,Stat_Phasing!$D$5:$K$5))</f>
        <v>0</v>
      </c>
      <c r="U23" s="38">
        <f>$I23*INDEX(Stat_Phasing!$D$6:$K$14,MATCH($B23,Stat_Phasing!$B$6:$B$14,0),MATCH(U$4,Stat_Phasing!$D$5:$K$5))</f>
        <v>0</v>
      </c>
      <c r="V23" s="38"/>
      <c r="W23" s="38">
        <f>$J23*INDEX(Stat_Phasing!$D$18:$K$26,MATCH($B23,Stat_Phasing!$B$18:$B$26,0),MATCH(W$4,Stat_Phasing!$D$17:$K$17))</f>
        <v>0</v>
      </c>
      <c r="X23" s="38">
        <f>$J23*INDEX(Stat_Phasing!$D$18:$K$26,MATCH($B23,Stat_Phasing!$B$18:$B$26,0),MATCH(X$4,Stat_Phasing!$D$17:$K$17))</f>
        <v>0</v>
      </c>
      <c r="Y23" s="38">
        <f>$J23*INDEX(Stat_Phasing!$D$18:$K$26,MATCH($B23,Stat_Phasing!$B$18:$B$26,0),MATCH(Y$4,Stat_Phasing!$D$17:$K$17))</f>
        <v>0</v>
      </c>
      <c r="Z23" s="38">
        <f>$J23*INDEX(Stat_Phasing!$D$18:$K$26,MATCH($B23,Stat_Phasing!$B$18:$B$26,0),MATCH(Z$4,Stat_Phasing!$D$17:$K$17))</f>
        <v>0</v>
      </c>
      <c r="AA23" s="38">
        <f>$J23*INDEX(Stat_Phasing!$D$18:$K$26,MATCH($B23,Stat_Phasing!$B$18:$B$26,0),MATCH(AA$4,Stat_Phasing!$D$17:$K$17))</f>
        <v>0</v>
      </c>
      <c r="AB23" s="38">
        <f>$J23*INDEX(Stat_Phasing!$D$18:$K$26,MATCH($B23,Stat_Phasing!$B$18:$B$26,0),MATCH(AB$4,Stat_Phasing!$D$17:$K$17))</f>
        <v>0</v>
      </c>
      <c r="AC23" s="38">
        <f>$J23*INDEX(Stat_Phasing!$D$18:$K$26,MATCH($B23,Stat_Phasing!$B$18:$B$26,0),MATCH(AC$4,Stat_Phasing!$D$17:$K$17))</f>
        <v>0</v>
      </c>
      <c r="AD23" s="38">
        <f>$J23*INDEX(Stat_Phasing!$D$18:$K$26,MATCH($B23,Stat_Phasing!$B$18:$B$26,0),MATCH(AD$4,Stat_Phasing!$D$17:$K$17))</f>
        <v>0</v>
      </c>
      <c r="AE23" s="38"/>
      <c r="AF23" s="38">
        <f>SUM($K23:$L23)*INDEX(Stat_Phasing!$D$30:$K$38,MATCH($B23,Stat_Phasing!$B$30:$B$38,0),MATCH(AF$4,Stat_Phasing!$D$29:$K$29))</f>
        <v>0</v>
      </c>
      <c r="AG23" s="38">
        <f>SUM($K23:$L23)*INDEX(Stat_Phasing!$D$30:$K$38,MATCH($B23,Stat_Phasing!$B$30:$B$38,0),MATCH(AG$4,Stat_Phasing!$D$29:$K$29))</f>
        <v>0</v>
      </c>
      <c r="AH23" s="38">
        <f>SUM($K23:$L23)*INDEX(Stat_Phasing!$D$30:$K$38,MATCH($B23,Stat_Phasing!$B$30:$B$38,0),MATCH(AH$4,Stat_Phasing!$D$29:$K$29))</f>
        <v>0</v>
      </c>
      <c r="AI23" s="38">
        <f>SUM($K23:$L23)*INDEX(Stat_Phasing!$D$30:$K$38,MATCH($B23,Stat_Phasing!$B$30:$B$38,0),MATCH(AI$4,Stat_Phasing!$D$29:$K$29))</f>
        <v>0</v>
      </c>
      <c r="AJ23" s="38">
        <f>SUM($K23:$L23)*INDEX(Stat_Phasing!$D$30:$K$38,MATCH($B23,Stat_Phasing!$B$30:$B$38,0),MATCH(AJ$4,Stat_Phasing!$D$29:$K$29))</f>
        <v>0</v>
      </c>
      <c r="AK23" s="38">
        <f>SUM($K23:$L23)*INDEX(Stat_Phasing!$D$30:$K$38,MATCH($B23,Stat_Phasing!$B$30:$B$38,0),MATCH(AK$4,Stat_Phasing!$D$29:$K$29))</f>
        <v>0</v>
      </c>
      <c r="AL23" s="38">
        <f>SUM($K23:$L23)*INDEX(Stat_Phasing!$D$30:$K$38,MATCH($B23,Stat_Phasing!$B$30:$B$38,0),MATCH(AL$4,Stat_Phasing!$D$29:$K$29))</f>
        <v>0</v>
      </c>
      <c r="AM23" s="38">
        <f>SUM($K23:$L23)*INDEX(Stat_Phasing!$D$30:$K$38,MATCH($B23,Stat_Phasing!$B$30:$B$38,0),MATCH(AM$4,Stat_Phasing!$D$29:$K$29))</f>
        <v>0</v>
      </c>
      <c r="AN23" s="38"/>
      <c r="AO23" s="38">
        <f>$M23*INDEX(Stat_Phasing!$D$42:$K$50,MATCH($B23,Stat_Phasing!$B$42:$B$50,0),MATCH(AO$4,Stat_Phasing!$D$41:$K$41))</f>
        <v>0</v>
      </c>
      <c r="AP23" s="38">
        <f>$M23*INDEX(Stat_Phasing!$D$42:$K$50,MATCH($B23,Stat_Phasing!$B$42:$B$50,0),MATCH(AP$4,Stat_Phasing!$D$41:$K$41))</f>
        <v>0</v>
      </c>
      <c r="AQ23" s="38">
        <f>$M23*INDEX(Stat_Phasing!$D$42:$K$50,MATCH($B23,Stat_Phasing!$B$42:$B$50,0),MATCH(AQ$4,Stat_Phasing!$D$41:$K$41))</f>
        <v>0</v>
      </c>
      <c r="AR23" s="38">
        <f>$M23*INDEX(Stat_Phasing!$D$42:$K$50,MATCH($B23,Stat_Phasing!$B$42:$B$50,0),MATCH(AR$4,Stat_Phasing!$D$41:$K$41))</f>
        <v>0</v>
      </c>
      <c r="AS23" s="38">
        <f>$M23*INDEX(Stat_Phasing!$D$42:$K$50,MATCH($B23,Stat_Phasing!$B$42:$B$50,0),MATCH(AS$4,Stat_Phasing!$D$41:$K$41))</f>
        <v>0</v>
      </c>
      <c r="AT23" s="38">
        <f>$M23*INDEX(Stat_Phasing!$D$42:$K$50,MATCH($B23,Stat_Phasing!$B$42:$B$50,0),MATCH(AT$4,Stat_Phasing!$D$41:$K$41))</f>
        <v>0</v>
      </c>
      <c r="AU23" s="38">
        <f>$M23*INDEX(Stat_Phasing!$D$42:$K$50,MATCH($B23,Stat_Phasing!$B$42:$B$50,0),MATCH(AU$4,Stat_Phasing!$D$41:$K$41))</f>
        <v>0</v>
      </c>
      <c r="AV23" s="38">
        <f>$M23*INDEX(Stat_Phasing!$D$42:$K$50,MATCH($B23,Stat_Phasing!$B$42:$B$50,0),MATCH(AV$4,Stat_Phasing!$D$41:$K$41))</f>
        <v>0</v>
      </c>
      <c r="AW23" s="6"/>
      <c r="AX23" s="6">
        <f t="shared" si="17"/>
        <v>0</v>
      </c>
      <c r="AY23" s="6">
        <f t="shared" si="18"/>
        <v>0</v>
      </c>
      <c r="AZ23" s="6">
        <f t="shared" si="19"/>
        <v>0</v>
      </c>
      <c r="BA23" s="6">
        <f t="shared" si="20"/>
        <v>0</v>
      </c>
      <c r="BB23" s="6">
        <f t="shared" si="21"/>
        <v>0</v>
      </c>
      <c r="BC23" s="6">
        <f t="shared" si="5"/>
        <v>0</v>
      </c>
      <c r="BD23" s="6">
        <f t="shared" si="6"/>
        <v>0</v>
      </c>
      <c r="BE23" s="6">
        <f t="shared" si="7"/>
        <v>0</v>
      </c>
      <c r="BG23" s="14">
        <f t="shared" si="8"/>
        <v>0</v>
      </c>
      <c r="BH23" s="38">
        <f t="shared" si="15"/>
        <v>0</v>
      </c>
      <c r="BJ23" s="15"/>
      <c r="BK23" s="15"/>
      <c r="BL23" s="15"/>
      <c r="BM23" s="15"/>
      <c r="BO23" s="15"/>
      <c r="BP23" s="15"/>
      <c r="BQ23" s="15"/>
      <c r="BR23" s="15"/>
      <c r="BT23" s="16"/>
      <c r="BU23" s="16"/>
      <c r="BV23" s="16"/>
      <c r="BW23" s="16"/>
    </row>
    <row r="24" spans="2:75" x14ac:dyDescent="0.3">
      <c r="B24" s="175" t="str">
        <f>STN_6</f>
        <v>BGE</v>
      </c>
      <c r="C24" s="17">
        <f>INDEX(Schedule!$C$4:$E$12,MATCH($B24,Schedule!$B$4:$B$12,0),1)</f>
        <v>43282</v>
      </c>
      <c r="D24" s="17">
        <f>INDEX(Schedule!$C$4:$E$12,MATCH($B24,Schedule!$B$4:$B$12,0),2)</f>
        <v>43617</v>
      </c>
      <c r="E24" s="17">
        <f>INDEX(Schedule!$C$4:$E$12,MATCH($B24,Schedule!$B$4:$B$12,0),3)</f>
        <v>44013</v>
      </c>
      <c r="F24" s="20" t="s">
        <v>42</v>
      </c>
      <c r="G24" s="20" t="s">
        <v>18</v>
      </c>
      <c r="H24" s="20" t="str">
        <f t="shared" si="9"/>
        <v>SubtransmissionAugmentation</v>
      </c>
      <c r="I24" s="390">
        <f>INDEX(BGE_Det!$K$112:$O$116,MATCH($H24,BGE_Det!$F$112:$F$116,0),MATCH(I$3,BGE_Det!$K$4:$O$4,0))</f>
        <v>1180.5007870004833</v>
      </c>
      <c r="J24" s="390">
        <f>INDEX(BGE_Det!$K$112:$O$116,MATCH($H24,BGE_Det!$F$112:$F$116,0),MATCH(J$3,BGE_Det!$K$4:$O$4,0))</f>
        <v>469.71225311089597</v>
      </c>
      <c r="K24" s="390">
        <f>INDEX(BGE_Det!$K$112:$O$116,MATCH($H24,BGE_Det!$F$112:$F$116,0),MATCH(K$3,BGE_Det!$K$4:$O$4,0))</f>
        <v>287.5121700665037</v>
      </c>
      <c r="L24" s="390">
        <f>INDEX(BGE_Det!$K$112:$O$116,MATCH($H24,BGE_Det!$F$112:$F$116,0),MATCH(L$3,BGE_Det!$K$4:$O$4,0))</f>
        <v>1385.9415169900212</v>
      </c>
      <c r="M24" s="390">
        <f>INDEX(BGE_Det!$K$112:$O$116,MATCH($H24,BGE_Det!$F$112:$F$116,0),MATCH(M$3,BGE_Det!$K$4:$O$4,0))</f>
        <v>377.76658540751214</v>
      </c>
      <c r="N24" s="38">
        <f>$I24*INDEX(Stat_Phasing!$D$6:$K$14,MATCH($B24,Stat_Phasing!$B$6:$B$14,0),MATCH(N$4,Stat_Phasing!$D$5:$K$5))</f>
        <v>0</v>
      </c>
      <c r="O24" s="38">
        <f>$I24*INDEX(Stat_Phasing!$D$6:$K$14,MATCH($B24,Stat_Phasing!$B$6:$B$14,0),MATCH(O$4,Stat_Phasing!$D$5:$K$5))</f>
        <v>0</v>
      </c>
      <c r="P24" s="38">
        <f>$I24*INDEX(Stat_Phasing!$D$6:$K$14,MATCH($B24,Stat_Phasing!$B$6:$B$14,0),MATCH(P$4,Stat_Phasing!$D$5:$K$5))</f>
        <v>77.913051942031899</v>
      </c>
      <c r="Q24" s="38">
        <f>$I24*INDEX(Stat_Phasing!$D$6:$K$14,MATCH($B24,Stat_Phasing!$B$6:$B$14,0),MATCH(Q$4,Stat_Phasing!$D$5:$K$5))</f>
        <v>1043.5626957084273</v>
      </c>
      <c r="R24" s="38">
        <f>$I24*INDEX(Stat_Phasing!$D$6:$K$14,MATCH($B24,Stat_Phasing!$B$6:$B$14,0),MATCH(R$4,Stat_Phasing!$D$5:$K$5))</f>
        <v>59.025039350024173</v>
      </c>
      <c r="S24" s="38">
        <f>$I24*INDEX(Stat_Phasing!$D$6:$K$14,MATCH($B24,Stat_Phasing!$B$6:$B$14,0),MATCH(S$4,Stat_Phasing!$D$5:$K$5))</f>
        <v>0</v>
      </c>
      <c r="T24" s="38">
        <f>$I24*INDEX(Stat_Phasing!$D$6:$K$14,MATCH($B24,Stat_Phasing!$B$6:$B$14,0),MATCH(T$4,Stat_Phasing!$D$5:$K$5))</f>
        <v>0</v>
      </c>
      <c r="U24" s="38">
        <f>$I24*INDEX(Stat_Phasing!$D$6:$K$14,MATCH($B24,Stat_Phasing!$B$6:$B$14,0),MATCH(U$4,Stat_Phasing!$D$5:$K$5))</f>
        <v>0</v>
      </c>
      <c r="V24" s="38"/>
      <c r="W24" s="38">
        <f>$J24*INDEX(Stat_Phasing!$D$18:$K$26,MATCH($B24,Stat_Phasing!$B$18:$B$26,0),MATCH(W$4,Stat_Phasing!$D$17:$K$17))</f>
        <v>0</v>
      </c>
      <c r="X24" s="38">
        <f>$J24*INDEX(Stat_Phasing!$D$18:$K$26,MATCH($B24,Stat_Phasing!$B$18:$B$26,0),MATCH(X$4,Stat_Phasing!$D$17:$K$17))</f>
        <v>0</v>
      </c>
      <c r="Y24" s="38">
        <f>$J24*INDEX(Stat_Phasing!$D$18:$K$26,MATCH($B24,Stat_Phasing!$B$18:$B$26,0),MATCH(Y$4,Stat_Phasing!$D$17:$K$17))</f>
        <v>77.502521763297835</v>
      </c>
      <c r="Z24" s="38">
        <f>$J24*INDEX(Stat_Phasing!$D$18:$K$26,MATCH($B24,Stat_Phasing!$B$18:$B$26,0),MATCH(Z$4,Stat_Phasing!$D$17:$K$17))</f>
        <v>354.63275109872649</v>
      </c>
      <c r="AA24" s="38">
        <f>$J24*INDEX(Stat_Phasing!$D$18:$K$26,MATCH($B24,Stat_Phasing!$B$18:$B$26,0),MATCH(AA$4,Stat_Phasing!$D$17:$K$17))</f>
        <v>37.576980248871678</v>
      </c>
      <c r="AB24" s="38">
        <f>$J24*INDEX(Stat_Phasing!$D$18:$K$26,MATCH($B24,Stat_Phasing!$B$18:$B$26,0),MATCH(AB$4,Stat_Phasing!$D$17:$K$17))</f>
        <v>0</v>
      </c>
      <c r="AC24" s="38">
        <f>$J24*INDEX(Stat_Phasing!$D$18:$K$26,MATCH($B24,Stat_Phasing!$B$18:$B$26,0),MATCH(AC$4,Stat_Phasing!$D$17:$K$17))</f>
        <v>0</v>
      </c>
      <c r="AD24" s="38">
        <f>$J24*INDEX(Stat_Phasing!$D$18:$K$26,MATCH($B24,Stat_Phasing!$B$18:$B$26,0),MATCH(AD$4,Stat_Phasing!$D$17:$K$17))</f>
        <v>0</v>
      </c>
      <c r="AE24" s="38"/>
      <c r="AF24" s="38">
        <f>SUM($K24:$L24)*INDEX(Stat_Phasing!$D$30:$K$38,MATCH($B24,Stat_Phasing!$B$30:$B$38,0),MATCH(AF$4,Stat_Phasing!$D$29:$K$29))</f>
        <v>0</v>
      </c>
      <c r="AG24" s="38">
        <f>SUM($K24:$L24)*INDEX(Stat_Phasing!$D$30:$K$38,MATCH($B24,Stat_Phasing!$B$30:$B$38,0),MATCH(AG$4,Stat_Phasing!$D$29:$K$29))</f>
        <v>0</v>
      </c>
      <c r="AH24" s="38">
        <f>SUM($K24:$L24)*INDEX(Stat_Phasing!$D$30:$K$38,MATCH($B24,Stat_Phasing!$B$30:$B$38,0),MATCH(AH$4,Stat_Phasing!$D$29:$K$29))</f>
        <v>331.34383003719194</v>
      </c>
      <c r="AI24" s="38">
        <f>SUM($K24:$L24)*INDEX(Stat_Phasing!$D$30:$K$38,MATCH($B24,Stat_Phasing!$B$30:$B$38,0),MATCH(AI$4,Stat_Phasing!$D$29:$K$29))</f>
        <v>1224.9680989253761</v>
      </c>
      <c r="AJ24" s="38">
        <f>SUM($K24:$L24)*INDEX(Stat_Phasing!$D$30:$K$38,MATCH($B24,Stat_Phasing!$B$30:$B$38,0),MATCH(AJ$4,Stat_Phasing!$D$29:$K$29))</f>
        <v>117.14175809395675</v>
      </c>
      <c r="AK24" s="38">
        <f>SUM($K24:$L24)*INDEX(Stat_Phasing!$D$30:$K$38,MATCH($B24,Stat_Phasing!$B$30:$B$38,0),MATCH(AK$4,Stat_Phasing!$D$29:$K$29))</f>
        <v>0</v>
      </c>
      <c r="AL24" s="38">
        <f>SUM($K24:$L24)*INDEX(Stat_Phasing!$D$30:$K$38,MATCH($B24,Stat_Phasing!$B$30:$B$38,0),MATCH(AL$4,Stat_Phasing!$D$29:$K$29))</f>
        <v>0</v>
      </c>
      <c r="AM24" s="38">
        <f>SUM($K24:$L24)*INDEX(Stat_Phasing!$D$30:$K$38,MATCH($B24,Stat_Phasing!$B$30:$B$38,0),MATCH(AM$4,Stat_Phasing!$D$29:$K$29))</f>
        <v>0</v>
      </c>
      <c r="AN24" s="38"/>
      <c r="AO24" s="38">
        <f>$M24*INDEX(Stat_Phasing!$D$42:$K$50,MATCH($B24,Stat_Phasing!$B$42:$B$50,0),MATCH(AO$4,Stat_Phasing!$D$41:$K$41))</f>
        <v>0</v>
      </c>
      <c r="AP24" s="38">
        <f>$M24*INDEX(Stat_Phasing!$D$42:$K$50,MATCH($B24,Stat_Phasing!$B$42:$B$50,0),MATCH(AP$4,Stat_Phasing!$D$41:$K$41))</f>
        <v>0</v>
      </c>
      <c r="AQ24" s="38">
        <f>$M24*INDEX(Stat_Phasing!$D$42:$K$50,MATCH($B24,Stat_Phasing!$B$42:$B$50,0),MATCH(AQ$4,Stat_Phasing!$D$41:$K$41))</f>
        <v>0</v>
      </c>
      <c r="AR24" s="38">
        <f>$M24*INDEX(Stat_Phasing!$D$42:$K$50,MATCH($B24,Stat_Phasing!$B$42:$B$50,0),MATCH(AR$4,Stat_Phasing!$D$41:$K$41))</f>
        <v>302.21326832600971</v>
      </c>
      <c r="AS24" s="38">
        <f>$M24*INDEX(Stat_Phasing!$D$42:$K$50,MATCH($B24,Stat_Phasing!$B$42:$B$50,0),MATCH(AS$4,Stat_Phasing!$D$41:$K$41))</f>
        <v>75.553317081502428</v>
      </c>
      <c r="AT24" s="38">
        <f>$M24*INDEX(Stat_Phasing!$D$42:$K$50,MATCH($B24,Stat_Phasing!$B$42:$B$50,0),MATCH(AT$4,Stat_Phasing!$D$41:$K$41))</f>
        <v>0</v>
      </c>
      <c r="AU24" s="38">
        <f>$M24*INDEX(Stat_Phasing!$D$42:$K$50,MATCH($B24,Stat_Phasing!$B$42:$B$50,0),MATCH(AU$4,Stat_Phasing!$D$41:$K$41))</f>
        <v>0</v>
      </c>
      <c r="AV24" s="38">
        <f>$M24*INDEX(Stat_Phasing!$D$42:$K$50,MATCH($B24,Stat_Phasing!$B$42:$B$50,0),MATCH(AV$4,Stat_Phasing!$D$41:$K$41))</f>
        <v>0</v>
      </c>
      <c r="AW24" s="6"/>
      <c r="AX24" s="6">
        <f t="shared" si="17"/>
        <v>0</v>
      </c>
      <c r="AY24" s="6">
        <f t="shared" si="18"/>
        <v>0</v>
      </c>
      <c r="AZ24" s="6">
        <f t="shared" si="19"/>
        <v>486.75940374252167</v>
      </c>
      <c r="BA24" s="6">
        <f t="shared" si="20"/>
        <v>2925.3768140585398</v>
      </c>
      <c r="BB24" s="6">
        <f t="shared" si="21"/>
        <v>289.29709477435506</v>
      </c>
      <c r="BC24" s="6">
        <f t="shared" si="5"/>
        <v>0</v>
      </c>
      <c r="BD24" s="6">
        <f t="shared" si="6"/>
        <v>0</v>
      </c>
      <c r="BE24" s="6">
        <f t="shared" si="7"/>
        <v>0</v>
      </c>
      <c r="BG24" s="14">
        <f t="shared" si="8"/>
        <v>3701.4333125754165</v>
      </c>
      <c r="BH24" s="38">
        <f t="shared" si="15"/>
        <v>0</v>
      </c>
      <c r="BJ24" s="15"/>
      <c r="BK24" s="15"/>
      <c r="BL24" s="15"/>
      <c r="BM24" s="15"/>
      <c r="BO24" s="15"/>
      <c r="BP24" s="15"/>
      <c r="BQ24" s="15"/>
      <c r="BR24" s="15"/>
      <c r="BT24" s="16"/>
      <c r="BU24" s="16"/>
      <c r="BV24" s="16"/>
      <c r="BW24" s="16"/>
    </row>
    <row r="25" spans="2:75" x14ac:dyDescent="0.3">
      <c r="B25" s="175" t="str">
        <f>STN_6</f>
        <v>BGE</v>
      </c>
      <c r="C25" s="17">
        <f>INDEX(Schedule!$C$4:$E$12,MATCH($B25,Schedule!$B$4:$B$12,0),1)</f>
        <v>43282</v>
      </c>
      <c r="D25" s="17">
        <f>INDEX(Schedule!$C$4:$E$12,MATCH($B25,Schedule!$B$4:$B$12,0),2)</f>
        <v>43617</v>
      </c>
      <c r="E25" s="17">
        <f>INDEX(Schedule!$C$4:$E$12,MATCH($B25,Schedule!$B$4:$B$12,0),3)</f>
        <v>44013</v>
      </c>
      <c r="F25" s="20" t="s">
        <v>44</v>
      </c>
      <c r="G25" s="20" t="s">
        <v>18</v>
      </c>
      <c r="H25" s="20" t="str">
        <f t="shared" si="9"/>
        <v>SubtransmissionReplacement</v>
      </c>
      <c r="I25" s="390">
        <f>INDEX(BGE_Det!$K$112:$O$116,MATCH($H25,BGE_Det!$F$112:$F$116,0),MATCH(I$3,BGE_Det!$K$4:$O$4,0))</f>
        <v>0</v>
      </c>
      <c r="J25" s="390">
        <f>INDEX(BGE_Det!$K$112:$O$116,MATCH($H25,BGE_Det!$F$112:$F$116,0),MATCH(J$3,BGE_Det!$K$4:$O$4,0))</f>
        <v>0</v>
      </c>
      <c r="K25" s="390">
        <f>INDEX(BGE_Det!$K$112:$O$116,MATCH($H25,BGE_Det!$F$112:$F$116,0),MATCH(K$3,BGE_Det!$K$4:$O$4,0))</f>
        <v>0</v>
      </c>
      <c r="L25" s="390">
        <f>INDEX(BGE_Det!$K$112:$O$116,MATCH($H25,BGE_Det!$F$112:$F$116,0),MATCH(L$3,BGE_Det!$K$4:$O$4,0))</f>
        <v>0</v>
      </c>
      <c r="M25" s="390">
        <f>INDEX(BGE_Det!$K$112:$O$116,MATCH($H25,BGE_Det!$F$112:$F$116,0),MATCH(M$3,BGE_Det!$K$4:$O$4,0))</f>
        <v>0</v>
      </c>
      <c r="N25" s="38">
        <f>$I25*INDEX(Stat_Phasing!$D$6:$K$14,MATCH($B25,Stat_Phasing!$B$6:$B$14,0),MATCH(N$4,Stat_Phasing!$D$5:$K$5))</f>
        <v>0</v>
      </c>
      <c r="O25" s="38">
        <f>$I25*INDEX(Stat_Phasing!$D$6:$K$14,MATCH($B25,Stat_Phasing!$B$6:$B$14,0),MATCH(O$4,Stat_Phasing!$D$5:$K$5))</f>
        <v>0</v>
      </c>
      <c r="P25" s="38">
        <f>$I25*INDEX(Stat_Phasing!$D$6:$K$14,MATCH($B25,Stat_Phasing!$B$6:$B$14,0),MATCH(P$4,Stat_Phasing!$D$5:$K$5))</f>
        <v>0</v>
      </c>
      <c r="Q25" s="38">
        <f>$I25*INDEX(Stat_Phasing!$D$6:$K$14,MATCH($B25,Stat_Phasing!$B$6:$B$14,0),MATCH(Q$4,Stat_Phasing!$D$5:$K$5))</f>
        <v>0</v>
      </c>
      <c r="R25" s="38">
        <f>$I25*INDEX(Stat_Phasing!$D$6:$K$14,MATCH($B25,Stat_Phasing!$B$6:$B$14,0),MATCH(R$4,Stat_Phasing!$D$5:$K$5))</f>
        <v>0</v>
      </c>
      <c r="S25" s="38">
        <f>$I25*INDEX(Stat_Phasing!$D$6:$K$14,MATCH($B25,Stat_Phasing!$B$6:$B$14,0),MATCH(S$4,Stat_Phasing!$D$5:$K$5))</f>
        <v>0</v>
      </c>
      <c r="T25" s="38">
        <f>$I25*INDEX(Stat_Phasing!$D$6:$K$14,MATCH($B25,Stat_Phasing!$B$6:$B$14,0),MATCH(T$4,Stat_Phasing!$D$5:$K$5))</f>
        <v>0</v>
      </c>
      <c r="U25" s="38">
        <f>$I25*INDEX(Stat_Phasing!$D$6:$K$14,MATCH($B25,Stat_Phasing!$B$6:$B$14,0),MATCH(U$4,Stat_Phasing!$D$5:$K$5))</f>
        <v>0</v>
      </c>
      <c r="V25" s="38"/>
      <c r="W25" s="38">
        <f>$J25*INDEX(Stat_Phasing!$D$18:$K$26,MATCH($B25,Stat_Phasing!$B$18:$B$26,0),MATCH(W$4,Stat_Phasing!$D$17:$K$17))</f>
        <v>0</v>
      </c>
      <c r="X25" s="38">
        <f>$J25*INDEX(Stat_Phasing!$D$18:$K$26,MATCH($B25,Stat_Phasing!$B$18:$B$26,0),MATCH(X$4,Stat_Phasing!$D$17:$K$17))</f>
        <v>0</v>
      </c>
      <c r="Y25" s="38">
        <f>$J25*INDEX(Stat_Phasing!$D$18:$K$26,MATCH($B25,Stat_Phasing!$B$18:$B$26,0),MATCH(Y$4,Stat_Phasing!$D$17:$K$17))</f>
        <v>0</v>
      </c>
      <c r="Z25" s="38">
        <f>$J25*INDEX(Stat_Phasing!$D$18:$K$26,MATCH($B25,Stat_Phasing!$B$18:$B$26,0),MATCH(Z$4,Stat_Phasing!$D$17:$K$17))</f>
        <v>0</v>
      </c>
      <c r="AA25" s="38">
        <f>$J25*INDEX(Stat_Phasing!$D$18:$K$26,MATCH($B25,Stat_Phasing!$B$18:$B$26,0),MATCH(AA$4,Stat_Phasing!$D$17:$K$17))</f>
        <v>0</v>
      </c>
      <c r="AB25" s="38">
        <f>$J25*INDEX(Stat_Phasing!$D$18:$K$26,MATCH($B25,Stat_Phasing!$B$18:$B$26,0),MATCH(AB$4,Stat_Phasing!$D$17:$K$17))</f>
        <v>0</v>
      </c>
      <c r="AC25" s="38">
        <f>$J25*INDEX(Stat_Phasing!$D$18:$K$26,MATCH($B25,Stat_Phasing!$B$18:$B$26,0),MATCH(AC$4,Stat_Phasing!$D$17:$K$17))</f>
        <v>0</v>
      </c>
      <c r="AD25" s="38">
        <f>$J25*INDEX(Stat_Phasing!$D$18:$K$26,MATCH($B25,Stat_Phasing!$B$18:$B$26,0),MATCH(AD$4,Stat_Phasing!$D$17:$K$17))</f>
        <v>0</v>
      </c>
      <c r="AE25" s="38"/>
      <c r="AF25" s="38">
        <f>SUM($K25:$L25)*INDEX(Stat_Phasing!$D$30:$K$38,MATCH($B25,Stat_Phasing!$B$30:$B$38,0),MATCH(AF$4,Stat_Phasing!$D$29:$K$29))</f>
        <v>0</v>
      </c>
      <c r="AG25" s="38">
        <f>SUM($K25:$L25)*INDEX(Stat_Phasing!$D$30:$K$38,MATCH($B25,Stat_Phasing!$B$30:$B$38,0),MATCH(AG$4,Stat_Phasing!$D$29:$K$29))</f>
        <v>0</v>
      </c>
      <c r="AH25" s="38">
        <f>SUM($K25:$L25)*INDEX(Stat_Phasing!$D$30:$K$38,MATCH($B25,Stat_Phasing!$B$30:$B$38,0),MATCH(AH$4,Stat_Phasing!$D$29:$K$29))</f>
        <v>0</v>
      </c>
      <c r="AI25" s="38">
        <f>SUM($K25:$L25)*INDEX(Stat_Phasing!$D$30:$K$38,MATCH($B25,Stat_Phasing!$B$30:$B$38,0),MATCH(AI$4,Stat_Phasing!$D$29:$K$29))</f>
        <v>0</v>
      </c>
      <c r="AJ25" s="38">
        <f>SUM($K25:$L25)*INDEX(Stat_Phasing!$D$30:$K$38,MATCH($B25,Stat_Phasing!$B$30:$B$38,0),MATCH(AJ$4,Stat_Phasing!$D$29:$K$29))</f>
        <v>0</v>
      </c>
      <c r="AK25" s="38">
        <f>SUM($K25:$L25)*INDEX(Stat_Phasing!$D$30:$K$38,MATCH($B25,Stat_Phasing!$B$30:$B$38,0),MATCH(AK$4,Stat_Phasing!$D$29:$K$29))</f>
        <v>0</v>
      </c>
      <c r="AL25" s="38">
        <f>SUM($K25:$L25)*INDEX(Stat_Phasing!$D$30:$K$38,MATCH($B25,Stat_Phasing!$B$30:$B$38,0),MATCH(AL$4,Stat_Phasing!$D$29:$K$29))</f>
        <v>0</v>
      </c>
      <c r="AM25" s="38">
        <f>SUM($K25:$L25)*INDEX(Stat_Phasing!$D$30:$K$38,MATCH($B25,Stat_Phasing!$B$30:$B$38,0),MATCH(AM$4,Stat_Phasing!$D$29:$K$29))</f>
        <v>0</v>
      </c>
      <c r="AN25" s="38"/>
      <c r="AO25" s="38">
        <f>$M25*INDEX(Stat_Phasing!$D$42:$K$50,MATCH($B25,Stat_Phasing!$B$42:$B$50,0),MATCH(AO$4,Stat_Phasing!$D$41:$K$41))</f>
        <v>0</v>
      </c>
      <c r="AP25" s="38">
        <f>$M25*INDEX(Stat_Phasing!$D$42:$K$50,MATCH($B25,Stat_Phasing!$B$42:$B$50,0),MATCH(AP$4,Stat_Phasing!$D$41:$K$41))</f>
        <v>0</v>
      </c>
      <c r="AQ25" s="38">
        <f>$M25*INDEX(Stat_Phasing!$D$42:$K$50,MATCH($B25,Stat_Phasing!$B$42:$B$50,0),MATCH(AQ$4,Stat_Phasing!$D$41:$K$41))</f>
        <v>0</v>
      </c>
      <c r="AR25" s="38">
        <f>$M25*INDEX(Stat_Phasing!$D$42:$K$50,MATCH($B25,Stat_Phasing!$B$42:$B$50,0),MATCH(AR$4,Stat_Phasing!$D$41:$K$41))</f>
        <v>0</v>
      </c>
      <c r="AS25" s="38">
        <f>$M25*INDEX(Stat_Phasing!$D$42:$K$50,MATCH($B25,Stat_Phasing!$B$42:$B$50,0),MATCH(AS$4,Stat_Phasing!$D$41:$K$41))</f>
        <v>0</v>
      </c>
      <c r="AT25" s="38">
        <f>$M25*INDEX(Stat_Phasing!$D$42:$K$50,MATCH($B25,Stat_Phasing!$B$42:$B$50,0),MATCH(AT$4,Stat_Phasing!$D$41:$K$41))</f>
        <v>0</v>
      </c>
      <c r="AU25" s="38">
        <f>$M25*INDEX(Stat_Phasing!$D$42:$K$50,MATCH($B25,Stat_Phasing!$B$42:$B$50,0),MATCH(AU$4,Stat_Phasing!$D$41:$K$41))</f>
        <v>0</v>
      </c>
      <c r="AV25" s="38">
        <f>$M25*INDEX(Stat_Phasing!$D$42:$K$50,MATCH($B25,Stat_Phasing!$B$42:$B$50,0),MATCH(AV$4,Stat_Phasing!$D$41:$K$41))</f>
        <v>0</v>
      </c>
      <c r="AW25" s="6"/>
      <c r="AX25" s="6">
        <f t="shared" ref="AX25" si="36">N25+W25+AF25+AO25</f>
        <v>0</v>
      </c>
      <c r="AY25" s="6">
        <f t="shared" ref="AY25" si="37">O25+X25+AG25+AP25</f>
        <v>0</v>
      </c>
      <c r="AZ25" s="6">
        <f t="shared" ref="AZ25" si="38">P25+Y25+AH25+AQ25</f>
        <v>0</v>
      </c>
      <c r="BA25" s="6">
        <f t="shared" ref="BA25" si="39">Q25+Z25+AI25+AR25</f>
        <v>0</v>
      </c>
      <c r="BB25" s="6">
        <f t="shared" ref="BB25" si="40">R25+AA25+AJ25+AS25</f>
        <v>0</v>
      </c>
      <c r="BC25" s="6">
        <f t="shared" si="5"/>
        <v>0</v>
      </c>
      <c r="BD25" s="6">
        <f t="shared" si="6"/>
        <v>0</v>
      </c>
      <c r="BE25" s="6">
        <f t="shared" si="7"/>
        <v>0</v>
      </c>
      <c r="BG25" s="14">
        <f t="shared" si="8"/>
        <v>0</v>
      </c>
      <c r="BH25" s="38">
        <f t="shared" ref="BH25" si="41">BG25-SUM(I25:M25)</f>
        <v>0</v>
      </c>
      <c r="BJ25" s="15"/>
      <c r="BK25" s="15"/>
      <c r="BL25" s="15"/>
      <c r="BM25" s="15"/>
      <c r="BO25" s="15"/>
      <c r="BP25" s="15"/>
      <c r="BQ25" s="15"/>
      <c r="BR25" s="15"/>
      <c r="BT25" s="16"/>
      <c r="BU25" s="16"/>
      <c r="BV25" s="16"/>
      <c r="BW25" s="16"/>
    </row>
    <row r="26" spans="2:75" x14ac:dyDescent="0.3">
      <c r="B26" s="175" t="str">
        <f>STN_6</f>
        <v>BGE</v>
      </c>
      <c r="C26" s="17">
        <f>INDEX(Schedule!$C$4:$E$12,MATCH($B26,Schedule!$B$4:$B$12,0),1)</f>
        <v>43282</v>
      </c>
      <c r="D26" s="17">
        <f>INDEX(Schedule!$C$4:$E$12,MATCH($B26,Schedule!$B$4:$B$12,0),2)</f>
        <v>43617</v>
      </c>
      <c r="E26" s="17">
        <f>INDEX(Schedule!$C$4:$E$12,MATCH($B26,Schedule!$B$4:$B$12,0),3)</f>
        <v>44013</v>
      </c>
      <c r="F26" s="20" t="s">
        <v>42</v>
      </c>
      <c r="G26" s="20" t="s">
        <v>22</v>
      </c>
      <c r="H26" s="20" t="str">
        <f t="shared" si="9"/>
        <v>SCADA/Network controlAugmentation</v>
      </c>
      <c r="I26" s="390">
        <f>INDEX(BGE_Det!$K$112:$O$116,MATCH($H26,BGE_Det!$F$112:$F$116,0),MATCH(I$3,BGE_Det!$K$4:$O$4,0))</f>
        <v>2669.1601117249852</v>
      </c>
      <c r="J26" s="390">
        <f>INDEX(BGE_Det!$K$112:$O$116,MATCH($H26,BGE_Det!$F$112:$F$116,0),MATCH(J$3,BGE_Det!$K$4:$O$4,0))</f>
        <v>502.30874688910416</v>
      </c>
      <c r="K26" s="390">
        <f>INDEX(BGE_Det!$K$112:$O$116,MATCH($H26,BGE_Det!$F$112:$F$116,0),MATCH(K$3,BGE_Det!$K$4:$O$4,0))</f>
        <v>307.4645741195427</v>
      </c>
      <c r="L26" s="390">
        <f>INDEX(BGE_Det!$K$112:$O$116,MATCH($H26,BGE_Det!$F$112:$F$116,0),MATCH(L$3,BGE_Det!$K$4:$O$4,0))</f>
        <v>474.94030018416208</v>
      </c>
      <c r="M26" s="390">
        <f>INDEX(BGE_Det!$K$112:$O$116,MATCH($H26,BGE_Det!$F$112:$F$116,0),MATCH(M$3,BGE_Det!$K$4:$O$4,0))</f>
        <v>4.426942909760589</v>
      </c>
      <c r="N26" s="38">
        <f>$I26*INDEX(Stat_Phasing!$D$6:$K$14,MATCH($B26,Stat_Phasing!$B$6:$B$14,0),MATCH(N$4,Stat_Phasing!$D$5:$K$5))</f>
        <v>0</v>
      </c>
      <c r="O26" s="38">
        <f>$I26*INDEX(Stat_Phasing!$D$6:$K$14,MATCH($B26,Stat_Phasing!$B$6:$B$14,0),MATCH(O$4,Stat_Phasing!$D$5:$K$5))</f>
        <v>0</v>
      </c>
      <c r="P26" s="38">
        <f>$I26*INDEX(Stat_Phasing!$D$6:$K$14,MATCH($B26,Stat_Phasing!$B$6:$B$14,0),MATCH(P$4,Stat_Phasing!$D$5:$K$5))</f>
        <v>176.16456737384902</v>
      </c>
      <c r="Q26" s="38">
        <f>$I26*INDEX(Stat_Phasing!$D$6:$K$14,MATCH($B26,Stat_Phasing!$B$6:$B$14,0),MATCH(Q$4,Stat_Phasing!$D$5:$K$5))</f>
        <v>2359.5375387648869</v>
      </c>
      <c r="R26" s="38">
        <f>$I26*INDEX(Stat_Phasing!$D$6:$K$14,MATCH($B26,Stat_Phasing!$B$6:$B$14,0),MATCH(R$4,Stat_Phasing!$D$5:$K$5))</f>
        <v>133.45800558624927</v>
      </c>
      <c r="S26" s="38">
        <f>$I26*INDEX(Stat_Phasing!$D$6:$K$14,MATCH($B26,Stat_Phasing!$B$6:$B$14,0),MATCH(S$4,Stat_Phasing!$D$5:$K$5))</f>
        <v>0</v>
      </c>
      <c r="T26" s="38">
        <f>$I26*INDEX(Stat_Phasing!$D$6:$K$14,MATCH($B26,Stat_Phasing!$B$6:$B$14,0),MATCH(T$4,Stat_Phasing!$D$5:$K$5))</f>
        <v>0</v>
      </c>
      <c r="U26" s="38">
        <f>$I26*INDEX(Stat_Phasing!$D$6:$K$14,MATCH($B26,Stat_Phasing!$B$6:$B$14,0),MATCH(U$4,Stat_Phasing!$D$5:$K$5))</f>
        <v>0</v>
      </c>
      <c r="V26" s="38"/>
      <c r="W26" s="38">
        <f>$J26*INDEX(Stat_Phasing!$D$18:$K$26,MATCH($B26,Stat_Phasing!$B$18:$B$26,0),MATCH(W$4,Stat_Phasing!$D$17:$K$17))</f>
        <v>0</v>
      </c>
      <c r="X26" s="38">
        <f>$J26*INDEX(Stat_Phasing!$D$18:$K$26,MATCH($B26,Stat_Phasing!$B$18:$B$26,0),MATCH(X$4,Stat_Phasing!$D$17:$K$17))</f>
        <v>0</v>
      </c>
      <c r="Y26" s="38">
        <f>$J26*INDEX(Stat_Phasing!$D$18:$K$26,MATCH($B26,Stat_Phasing!$B$18:$B$26,0),MATCH(Y$4,Stat_Phasing!$D$17:$K$17))</f>
        <v>82.880943236702194</v>
      </c>
      <c r="Z26" s="38">
        <f>$J26*INDEX(Stat_Phasing!$D$18:$K$26,MATCH($B26,Stat_Phasing!$B$18:$B$26,0),MATCH(Z$4,Stat_Phasing!$D$17:$K$17))</f>
        <v>379.24310390127363</v>
      </c>
      <c r="AA26" s="38">
        <f>$J26*INDEX(Stat_Phasing!$D$18:$K$26,MATCH($B26,Stat_Phasing!$B$18:$B$26,0),MATCH(AA$4,Stat_Phasing!$D$17:$K$17))</f>
        <v>40.184699751128335</v>
      </c>
      <c r="AB26" s="38">
        <f>$J26*INDEX(Stat_Phasing!$D$18:$K$26,MATCH($B26,Stat_Phasing!$B$18:$B$26,0),MATCH(AB$4,Stat_Phasing!$D$17:$K$17))</f>
        <v>0</v>
      </c>
      <c r="AC26" s="38">
        <f>$J26*INDEX(Stat_Phasing!$D$18:$K$26,MATCH($B26,Stat_Phasing!$B$18:$B$26,0),MATCH(AC$4,Stat_Phasing!$D$17:$K$17))</f>
        <v>0</v>
      </c>
      <c r="AD26" s="38">
        <f>$J26*INDEX(Stat_Phasing!$D$18:$K$26,MATCH($B26,Stat_Phasing!$B$18:$B$26,0),MATCH(AD$4,Stat_Phasing!$D$17:$K$17))</f>
        <v>0</v>
      </c>
      <c r="AE26" s="38"/>
      <c r="AF26" s="38">
        <f>SUM($K26:$L26)*INDEX(Stat_Phasing!$D$30:$K$38,MATCH($B26,Stat_Phasing!$B$30:$B$38,0),MATCH(AF$4,Stat_Phasing!$D$29:$K$29))</f>
        <v>0</v>
      </c>
      <c r="AG26" s="38">
        <f>SUM($K26:$L26)*INDEX(Stat_Phasing!$D$30:$K$38,MATCH($B26,Stat_Phasing!$B$30:$B$38,0),MATCH(AG$4,Stat_Phasing!$D$29:$K$29))</f>
        <v>0</v>
      </c>
      <c r="AH26" s="38">
        <f>SUM($K26:$L26)*INDEX(Stat_Phasing!$D$30:$K$38,MATCH($B26,Stat_Phasing!$B$30:$B$38,0),MATCH(AH$4,Stat_Phasing!$D$29:$K$29))</f>
        <v>154.91616511213354</v>
      </c>
      <c r="AI26" s="38">
        <f>SUM($K26:$L26)*INDEX(Stat_Phasing!$D$30:$K$38,MATCH($B26,Stat_Phasing!$B$30:$B$38,0),MATCH(AI$4,Stat_Phasing!$D$29:$K$29))</f>
        <v>572.72036799031184</v>
      </c>
      <c r="AJ26" s="38">
        <f>SUM($K26:$L26)*INDEX(Stat_Phasing!$D$30:$K$38,MATCH($B26,Stat_Phasing!$B$30:$B$38,0),MATCH(AJ$4,Stat_Phasing!$D$29:$K$29))</f>
        <v>54.768341201259339</v>
      </c>
      <c r="AK26" s="38">
        <f>SUM($K26:$L26)*INDEX(Stat_Phasing!$D$30:$K$38,MATCH($B26,Stat_Phasing!$B$30:$B$38,0),MATCH(AK$4,Stat_Phasing!$D$29:$K$29))</f>
        <v>0</v>
      </c>
      <c r="AL26" s="38">
        <f>SUM($K26:$L26)*INDEX(Stat_Phasing!$D$30:$K$38,MATCH($B26,Stat_Phasing!$B$30:$B$38,0),MATCH(AL$4,Stat_Phasing!$D$29:$K$29))</f>
        <v>0</v>
      </c>
      <c r="AM26" s="38">
        <f>SUM($K26:$L26)*INDEX(Stat_Phasing!$D$30:$K$38,MATCH($B26,Stat_Phasing!$B$30:$B$38,0),MATCH(AM$4,Stat_Phasing!$D$29:$K$29))</f>
        <v>0</v>
      </c>
      <c r="AN26" s="38"/>
      <c r="AO26" s="38">
        <f>$M26*INDEX(Stat_Phasing!$D$42:$K$50,MATCH($B26,Stat_Phasing!$B$42:$B$50,0),MATCH(AO$4,Stat_Phasing!$D$41:$K$41))</f>
        <v>0</v>
      </c>
      <c r="AP26" s="38">
        <f>$M26*INDEX(Stat_Phasing!$D$42:$K$50,MATCH($B26,Stat_Phasing!$B$42:$B$50,0),MATCH(AP$4,Stat_Phasing!$D$41:$K$41))</f>
        <v>0</v>
      </c>
      <c r="AQ26" s="38">
        <f>$M26*INDEX(Stat_Phasing!$D$42:$K$50,MATCH($B26,Stat_Phasing!$B$42:$B$50,0),MATCH(AQ$4,Stat_Phasing!$D$41:$K$41))</f>
        <v>0</v>
      </c>
      <c r="AR26" s="38">
        <f>$M26*INDEX(Stat_Phasing!$D$42:$K$50,MATCH($B26,Stat_Phasing!$B$42:$B$50,0),MATCH(AR$4,Stat_Phasing!$D$41:$K$41))</f>
        <v>3.5415543278084716</v>
      </c>
      <c r="AS26" s="38">
        <f>$M26*INDEX(Stat_Phasing!$D$42:$K$50,MATCH($B26,Stat_Phasing!$B$42:$B$50,0),MATCH(AS$4,Stat_Phasing!$D$41:$K$41))</f>
        <v>0.88538858195211789</v>
      </c>
      <c r="AT26" s="38">
        <f>$M26*INDEX(Stat_Phasing!$D$42:$K$50,MATCH($B26,Stat_Phasing!$B$42:$B$50,0),MATCH(AT$4,Stat_Phasing!$D$41:$K$41))</f>
        <v>0</v>
      </c>
      <c r="AU26" s="38">
        <f>$M26*INDEX(Stat_Phasing!$D$42:$K$50,MATCH($B26,Stat_Phasing!$B$42:$B$50,0),MATCH(AU$4,Stat_Phasing!$D$41:$K$41))</f>
        <v>0</v>
      </c>
      <c r="AV26" s="38">
        <f>$M26*INDEX(Stat_Phasing!$D$42:$K$50,MATCH($B26,Stat_Phasing!$B$42:$B$50,0),MATCH(AV$4,Stat_Phasing!$D$41:$K$41))</f>
        <v>0</v>
      </c>
      <c r="AW26" s="6"/>
      <c r="AX26" s="6">
        <f t="shared" si="17"/>
        <v>0</v>
      </c>
      <c r="AY26" s="6">
        <f t="shared" si="18"/>
        <v>0</v>
      </c>
      <c r="AZ26" s="6">
        <f t="shared" si="19"/>
        <v>413.96167572268473</v>
      </c>
      <c r="BA26" s="6">
        <f t="shared" si="20"/>
        <v>3315.0425649842809</v>
      </c>
      <c r="BB26" s="6">
        <f t="shared" si="21"/>
        <v>229.29643512058908</v>
      </c>
      <c r="BC26" s="6">
        <f t="shared" si="5"/>
        <v>0</v>
      </c>
      <c r="BD26" s="6">
        <f t="shared" si="6"/>
        <v>0</v>
      </c>
      <c r="BE26" s="6">
        <f t="shared" si="7"/>
        <v>0</v>
      </c>
      <c r="BG26" s="14">
        <f t="shared" si="8"/>
        <v>3958.3006758275551</v>
      </c>
      <c r="BH26" s="38">
        <f t="shared" si="15"/>
        <v>0</v>
      </c>
      <c r="BJ26" s="15"/>
      <c r="BK26" s="15"/>
      <c r="BL26" s="15"/>
      <c r="BM26" s="15"/>
      <c r="BO26" s="15"/>
      <c r="BP26" s="15"/>
      <c r="BQ26" s="15"/>
      <c r="BR26" s="15"/>
      <c r="BT26" s="16"/>
      <c r="BU26" s="16"/>
      <c r="BV26" s="16"/>
      <c r="BW26" s="16"/>
    </row>
    <row r="27" spans="2:75" x14ac:dyDescent="0.3">
      <c r="B27" s="175" t="str">
        <f>STN_6</f>
        <v>BGE</v>
      </c>
      <c r="C27" s="17">
        <f>INDEX(Schedule!$C$4:$E$12,MATCH($B27,Schedule!$B$4:$B$12,0),1)</f>
        <v>43282</v>
      </c>
      <c r="D27" s="17">
        <f>INDEX(Schedule!$C$4:$E$12,MATCH($B27,Schedule!$B$4:$B$12,0),2)</f>
        <v>43617</v>
      </c>
      <c r="E27" s="17">
        <f>INDEX(Schedule!$C$4:$E$12,MATCH($B27,Schedule!$B$4:$B$12,0),3)</f>
        <v>44013</v>
      </c>
      <c r="F27" s="20" t="s">
        <v>66</v>
      </c>
      <c r="G27" s="20" t="s">
        <v>195</v>
      </c>
      <c r="H27" s="20" t="str">
        <f t="shared" ref="H27" si="42">G27&amp;F27</f>
        <v>LandNon-Network</v>
      </c>
      <c r="I27" s="390">
        <f>INDEX(BGE_Det!$K$112:$O$116,MATCH($H27,BGE_Det!$F$112:$F$116,0),MATCH(I$3,BGE_Det!$K$4:$O$4,0))</f>
        <v>0</v>
      </c>
      <c r="J27" s="390">
        <f>INDEX(BGE_Det!$K$112:$O$116,MATCH($H27,BGE_Det!$F$112:$F$116,0),MATCH(J$3,BGE_Det!$K$4:$O$4,0))</f>
        <v>0</v>
      </c>
      <c r="K27" s="390">
        <f>INDEX(BGE_Det!$K$112:$O$116,MATCH($H27,BGE_Det!$F$112:$F$116,0),MATCH(K$3,BGE_Det!$K$4:$O$4,0))</f>
        <v>0</v>
      </c>
      <c r="L27" s="390">
        <f>INDEX(BGE_Det!$K$112:$O$116,MATCH($H27,BGE_Det!$F$112:$F$116,0),MATCH(L$3,BGE_Det!$K$4:$O$4,0))</f>
        <v>0</v>
      </c>
      <c r="M27" s="390">
        <f>INDEX(BGE_Det!$K$112:$O$116,MATCH($H27,BGE_Det!$F$112:$F$116,0),MATCH(M$3,BGE_Det!$K$4:$O$4,0))</f>
        <v>0</v>
      </c>
      <c r="N27" s="38">
        <f>$I27*INDEX(Stat_Phasing!$D$6:$K$14,MATCH($B27,Stat_Phasing!$B$6:$B$14,0),MATCH(N$4,Stat_Phasing!$D$5:$K$5))</f>
        <v>0</v>
      </c>
      <c r="O27" s="38">
        <f>$I27*INDEX(Stat_Phasing!$D$6:$K$14,MATCH($B27,Stat_Phasing!$B$6:$B$14,0),MATCH(O$4,Stat_Phasing!$D$5:$K$5))</f>
        <v>0</v>
      </c>
      <c r="P27" s="38">
        <f>$I27*INDEX(Stat_Phasing!$D$6:$K$14,MATCH($B27,Stat_Phasing!$B$6:$B$14,0),MATCH(P$4,Stat_Phasing!$D$5:$K$5))</f>
        <v>0</v>
      </c>
      <c r="Q27" s="38">
        <f>$I27*INDEX(Stat_Phasing!$D$6:$K$14,MATCH($B27,Stat_Phasing!$B$6:$B$14,0),MATCH(Q$4,Stat_Phasing!$D$5:$K$5))</f>
        <v>0</v>
      </c>
      <c r="R27" s="38">
        <f>$I27*INDEX(Stat_Phasing!$D$6:$K$14,MATCH($B27,Stat_Phasing!$B$6:$B$14,0),MATCH(R$4,Stat_Phasing!$D$5:$K$5))</f>
        <v>0</v>
      </c>
      <c r="S27" s="38">
        <f>$I27*INDEX(Stat_Phasing!$D$6:$K$14,MATCH($B27,Stat_Phasing!$B$6:$B$14,0),MATCH(S$4,Stat_Phasing!$D$5:$K$5))</f>
        <v>0</v>
      </c>
      <c r="T27" s="38">
        <f>$I27*INDEX(Stat_Phasing!$D$6:$K$14,MATCH($B27,Stat_Phasing!$B$6:$B$14,0),MATCH(T$4,Stat_Phasing!$D$5:$K$5))</f>
        <v>0</v>
      </c>
      <c r="U27" s="38">
        <f>$I27*INDEX(Stat_Phasing!$D$6:$K$14,MATCH($B27,Stat_Phasing!$B$6:$B$14,0),MATCH(U$4,Stat_Phasing!$D$5:$K$5))</f>
        <v>0</v>
      </c>
      <c r="V27" s="38"/>
      <c r="W27" s="38">
        <f>$J27*INDEX(Stat_Phasing!$D$18:$K$26,MATCH($B27,Stat_Phasing!$B$18:$B$26,0),MATCH(W$4,Stat_Phasing!$D$17:$K$17))</f>
        <v>0</v>
      </c>
      <c r="X27" s="38">
        <f>$J27*INDEX(Stat_Phasing!$D$18:$K$26,MATCH($B27,Stat_Phasing!$B$18:$B$26,0),MATCH(X$4,Stat_Phasing!$D$17:$K$17))</f>
        <v>0</v>
      </c>
      <c r="Y27" s="38">
        <f>$J27*INDEX(Stat_Phasing!$D$18:$K$26,MATCH($B27,Stat_Phasing!$B$18:$B$26,0),MATCH(Y$4,Stat_Phasing!$D$17:$K$17))</f>
        <v>0</v>
      </c>
      <c r="Z27" s="38">
        <f>$J27*INDEX(Stat_Phasing!$D$18:$K$26,MATCH($B27,Stat_Phasing!$B$18:$B$26,0),MATCH(Z$4,Stat_Phasing!$D$17:$K$17))</f>
        <v>0</v>
      </c>
      <c r="AA27" s="38">
        <f>$J27*INDEX(Stat_Phasing!$D$18:$K$26,MATCH($B27,Stat_Phasing!$B$18:$B$26,0),MATCH(AA$4,Stat_Phasing!$D$17:$K$17))</f>
        <v>0</v>
      </c>
      <c r="AB27" s="38">
        <f>$J27*INDEX(Stat_Phasing!$D$18:$K$26,MATCH($B27,Stat_Phasing!$B$18:$B$26,0),MATCH(AB$4,Stat_Phasing!$D$17:$K$17))</f>
        <v>0</v>
      </c>
      <c r="AC27" s="38">
        <f>$J27*INDEX(Stat_Phasing!$D$18:$K$26,MATCH($B27,Stat_Phasing!$B$18:$B$26,0),MATCH(AC$4,Stat_Phasing!$D$17:$K$17))</f>
        <v>0</v>
      </c>
      <c r="AD27" s="38">
        <f>$J27*INDEX(Stat_Phasing!$D$18:$K$26,MATCH($B27,Stat_Phasing!$B$18:$B$26,0),MATCH(AD$4,Stat_Phasing!$D$17:$K$17))</f>
        <v>0</v>
      </c>
      <c r="AE27" s="38"/>
      <c r="AF27" s="38">
        <f>SUM($K27:$L27)*INDEX(Stat_Phasing!$D$30:$K$38,MATCH($B27,Stat_Phasing!$B$30:$B$38,0),MATCH(AF$4,Stat_Phasing!$D$29:$K$29))</f>
        <v>0</v>
      </c>
      <c r="AG27" s="38">
        <f>SUM($K27:$L27)*INDEX(Stat_Phasing!$D$30:$K$38,MATCH($B27,Stat_Phasing!$B$30:$B$38,0),MATCH(AG$4,Stat_Phasing!$D$29:$K$29))</f>
        <v>0</v>
      </c>
      <c r="AH27" s="38">
        <f>SUM($K27:$L27)*INDEX(Stat_Phasing!$D$30:$K$38,MATCH($B27,Stat_Phasing!$B$30:$B$38,0),MATCH(AH$4,Stat_Phasing!$D$29:$K$29))</f>
        <v>0</v>
      </c>
      <c r="AI27" s="38">
        <f>SUM($K27:$L27)*INDEX(Stat_Phasing!$D$30:$K$38,MATCH($B27,Stat_Phasing!$B$30:$B$38,0),MATCH(AI$4,Stat_Phasing!$D$29:$K$29))</f>
        <v>0</v>
      </c>
      <c r="AJ27" s="38">
        <f>SUM($K27:$L27)*INDEX(Stat_Phasing!$D$30:$K$38,MATCH($B27,Stat_Phasing!$B$30:$B$38,0),MATCH(AJ$4,Stat_Phasing!$D$29:$K$29))</f>
        <v>0</v>
      </c>
      <c r="AK27" s="38">
        <f>SUM($K27:$L27)*INDEX(Stat_Phasing!$D$30:$K$38,MATCH($B27,Stat_Phasing!$B$30:$B$38,0),MATCH(AK$4,Stat_Phasing!$D$29:$K$29))</f>
        <v>0</v>
      </c>
      <c r="AL27" s="38">
        <f>SUM($K27:$L27)*INDEX(Stat_Phasing!$D$30:$K$38,MATCH($B27,Stat_Phasing!$B$30:$B$38,0),MATCH(AL$4,Stat_Phasing!$D$29:$K$29))</f>
        <v>0</v>
      </c>
      <c r="AM27" s="38">
        <f>SUM($K27:$L27)*INDEX(Stat_Phasing!$D$30:$K$38,MATCH($B27,Stat_Phasing!$B$30:$B$38,0),MATCH(AM$4,Stat_Phasing!$D$29:$K$29))</f>
        <v>0</v>
      </c>
      <c r="AN27" s="38"/>
      <c r="AO27" s="38">
        <f>$M27*INDEX(Stat_Phasing!$D$42:$K$50,MATCH($B27,Stat_Phasing!$B$42:$B$50,0),MATCH(AO$4,Stat_Phasing!$D$41:$K$41))</f>
        <v>0</v>
      </c>
      <c r="AP27" s="38">
        <f>$M27*INDEX(Stat_Phasing!$D$42:$K$50,MATCH($B27,Stat_Phasing!$B$42:$B$50,0),MATCH(AP$4,Stat_Phasing!$D$41:$K$41))</f>
        <v>0</v>
      </c>
      <c r="AQ27" s="38">
        <f>$M27*INDEX(Stat_Phasing!$D$42:$K$50,MATCH($B27,Stat_Phasing!$B$42:$B$50,0),MATCH(AQ$4,Stat_Phasing!$D$41:$K$41))</f>
        <v>0</v>
      </c>
      <c r="AR27" s="38">
        <f>$M27*INDEX(Stat_Phasing!$D$42:$K$50,MATCH($B27,Stat_Phasing!$B$42:$B$50,0),MATCH(AR$4,Stat_Phasing!$D$41:$K$41))</f>
        <v>0</v>
      </c>
      <c r="AS27" s="38">
        <f>$M27*INDEX(Stat_Phasing!$D$42:$K$50,MATCH($B27,Stat_Phasing!$B$42:$B$50,0),MATCH(AS$4,Stat_Phasing!$D$41:$K$41))</f>
        <v>0</v>
      </c>
      <c r="AT27" s="38">
        <f>$M27*INDEX(Stat_Phasing!$D$42:$K$50,MATCH($B27,Stat_Phasing!$B$42:$B$50,0),MATCH(AT$4,Stat_Phasing!$D$41:$K$41))</f>
        <v>0</v>
      </c>
      <c r="AU27" s="38">
        <f>$M27*INDEX(Stat_Phasing!$D$42:$K$50,MATCH($B27,Stat_Phasing!$B$42:$B$50,0),MATCH(AU$4,Stat_Phasing!$D$41:$K$41))</f>
        <v>0</v>
      </c>
      <c r="AV27" s="38">
        <f>$M27*INDEX(Stat_Phasing!$D$42:$K$50,MATCH($B27,Stat_Phasing!$B$42:$B$50,0),MATCH(AV$4,Stat_Phasing!$D$41:$K$41))</f>
        <v>0</v>
      </c>
      <c r="AW27" s="6"/>
      <c r="AX27" s="6">
        <f t="shared" si="17"/>
        <v>0</v>
      </c>
      <c r="AY27" s="6">
        <f t="shared" si="18"/>
        <v>0</v>
      </c>
      <c r="AZ27" s="6">
        <f t="shared" si="19"/>
        <v>0</v>
      </c>
      <c r="BA27" s="6">
        <f t="shared" si="20"/>
        <v>0</v>
      </c>
      <c r="BB27" s="6">
        <f t="shared" si="21"/>
        <v>0</v>
      </c>
      <c r="BC27" s="6">
        <f t="shared" si="5"/>
        <v>0</v>
      </c>
      <c r="BD27" s="6">
        <f t="shared" si="6"/>
        <v>0</v>
      </c>
      <c r="BE27" s="6">
        <f t="shared" si="7"/>
        <v>0</v>
      </c>
      <c r="BG27" s="14">
        <f t="shared" si="8"/>
        <v>0</v>
      </c>
      <c r="BH27" s="38">
        <f t="shared" si="15"/>
        <v>0</v>
      </c>
      <c r="BJ27" s="15"/>
      <c r="BK27" s="15"/>
      <c r="BL27" s="15"/>
      <c r="BM27" s="15"/>
      <c r="BO27" s="15"/>
      <c r="BP27" s="15"/>
      <c r="BQ27" s="15"/>
      <c r="BR27" s="15"/>
      <c r="BT27" s="16"/>
      <c r="BU27" s="16"/>
      <c r="BV27" s="16"/>
      <c r="BW27" s="16"/>
    </row>
    <row r="28" spans="2:75" x14ac:dyDescent="0.3">
      <c r="B28" s="174" t="str">
        <f>STN_7</f>
        <v>LDL</v>
      </c>
      <c r="C28" s="17">
        <f>INDEX(Schedule!$C$4:$E$12,MATCH($B28,Schedule!$B$4:$B$12,0),1)</f>
        <v>43422</v>
      </c>
      <c r="D28" s="17">
        <f>INDEX(Schedule!$C$4:$E$12,MATCH($B28,Schedule!$B$4:$B$12,0),2)</f>
        <v>43739</v>
      </c>
      <c r="E28" s="17">
        <f>INDEX(Schedule!$C$4:$E$12,MATCH($B28,Schedule!$B$4:$B$12,0),3)</f>
        <v>44044</v>
      </c>
      <c r="F28" s="8" t="s">
        <v>42</v>
      </c>
      <c r="G28" s="20" t="s">
        <v>18</v>
      </c>
      <c r="H28" s="20" t="str">
        <f t="shared" si="9"/>
        <v>SubtransmissionAugmentation</v>
      </c>
      <c r="I28" s="390">
        <f>INDEX(LDL_Det!$K$107:$O$111,MATCH($H28,LDL_Det!$F$107:$F$111,0),MATCH(I$3,LDL_Det!$K$4:$O$4,0))</f>
        <v>1322.8607285948005</v>
      </c>
      <c r="J28" s="390">
        <f>INDEX(LDL_Det!$K$107:$O$111,MATCH($H28,LDL_Det!$F$107:$F$111,0),MATCH(J$3,LDL_Det!$K$4:$O$4,0))</f>
        <v>391.58020136579404</v>
      </c>
      <c r="K28" s="390">
        <f>INDEX(LDL_Det!$K$107:$O$111,MATCH($H28,LDL_Det!$F$107:$F$111,0),MATCH(K$3,LDL_Det!$K$4:$O$4,0))</f>
        <v>304.88505136857583</v>
      </c>
      <c r="L28" s="390">
        <f>INDEX(LDL_Det!$K$107:$O$111,MATCH($H28,LDL_Det!$F$107:$F$111,0),MATCH(L$3,LDL_Det!$K$4:$O$4,0))</f>
        <v>1497.8497303953061</v>
      </c>
      <c r="M28" s="390">
        <f>INDEX(LDL_Det!$K$107:$O$111,MATCH($H28,LDL_Det!$F$107:$F$111,0),MATCH(M$3,LDL_Det!$K$4:$O$4,0))</f>
        <v>318.6202723320057</v>
      </c>
      <c r="N28" s="38">
        <f>$I28*INDEX(Stat_Phasing!$D$6:$K$14,MATCH($B28,Stat_Phasing!$B$6:$B$14,0),MATCH(N$4,Stat_Phasing!$D$5:$K$5))</f>
        <v>0</v>
      </c>
      <c r="O28" s="38">
        <f>$I28*INDEX(Stat_Phasing!$D$6:$K$14,MATCH($B28,Stat_Phasing!$B$6:$B$14,0),MATCH(O$4,Stat_Phasing!$D$5:$K$5))</f>
        <v>0</v>
      </c>
      <c r="P28" s="38">
        <f>$I28*INDEX(Stat_Phasing!$D$6:$K$14,MATCH($B28,Stat_Phasing!$B$6:$B$14,0),MATCH(P$4,Stat_Phasing!$D$5:$K$5))</f>
        <v>44.977264772223222</v>
      </c>
      <c r="Q28" s="38">
        <f>$I28*INDEX(Stat_Phasing!$D$6:$K$14,MATCH($B28,Stat_Phasing!$B$6:$B$14,0),MATCH(Q$4,Stat_Phasing!$D$5:$K$5))</f>
        <v>649.52461774004701</v>
      </c>
      <c r="R28" s="38">
        <f>$I28*INDEX(Stat_Phasing!$D$6:$K$14,MATCH($B28,Stat_Phasing!$B$6:$B$14,0),MATCH(R$4,Stat_Phasing!$D$5:$K$5))</f>
        <v>628.35884608253025</v>
      </c>
      <c r="S28" s="38">
        <f>$I28*INDEX(Stat_Phasing!$D$6:$K$14,MATCH($B28,Stat_Phasing!$B$6:$B$14,0),MATCH(S$4,Stat_Phasing!$D$5:$K$5))</f>
        <v>0</v>
      </c>
      <c r="T28" s="38">
        <f>$I28*INDEX(Stat_Phasing!$D$6:$K$14,MATCH($B28,Stat_Phasing!$B$6:$B$14,0),MATCH(T$4,Stat_Phasing!$D$5:$K$5))</f>
        <v>0</v>
      </c>
      <c r="U28" s="38">
        <f>$I28*INDEX(Stat_Phasing!$D$6:$K$14,MATCH($B28,Stat_Phasing!$B$6:$B$14,0),MATCH(U$4,Stat_Phasing!$D$5:$K$5))</f>
        <v>0</v>
      </c>
      <c r="V28" s="38"/>
      <c r="W28" s="38">
        <f>$J28*INDEX(Stat_Phasing!$D$18:$K$26,MATCH($B28,Stat_Phasing!$B$18:$B$26,0),MATCH(W$4,Stat_Phasing!$D$17:$K$17))</f>
        <v>0</v>
      </c>
      <c r="X28" s="38">
        <f>$J28*INDEX(Stat_Phasing!$D$18:$K$26,MATCH($B28,Stat_Phasing!$B$18:$B$26,0),MATCH(X$4,Stat_Phasing!$D$17:$K$17))</f>
        <v>0</v>
      </c>
      <c r="Y28" s="38">
        <f>$J28*INDEX(Stat_Phasing!$D$18:$K$26,MATCH($B28,Stat_Phasing!$B$18:$B$26,0),MATCH(Y$4,Stat_Phasing!$D$17:$K$17))</f>
        <v>33.284317116092495</v>
      </c>
      <c r="Z28" s="38">
        <f>$J28*INDEX(Stat_Phasing!$D$18:$K$26,MATCH($B28,Stat_Phasing!$B$18:$B$26,0),MATCH(Z$4,Stat_Phasing!$D$17:$K$17))</f>
        <v>152.71627853265969</v>
      </c>
      <c r="AA28" s="38">
        <f>$J28*INDEX(Stat_Phasing!$D$18:$K$26,MATCH($B28,Stat_Phasing!$B$18:$B$26,0),MATCH(AA$4,Stat_Phasing!$D$17:$K$17))</f>
        <v>205.57960571704189</v>
      </c>
      <c r="AB28" s="38">
        <f>$J28*INDEX(Stat_Phasing!$D$18:$K$26,MATCH($B28,Stat_Phasing!$B$18:$B$26,0),MATCH(AB$4,Stat_Phasing!$D$17:$K$17))</f>
        <v>0</v>
      </c>
      <c r="AC28" s="38">
        <f>$J28*INDEX(Stat_Phasing!$D$18:$K$26,MATCH($B28,Stat_Phasing!$B$18:$B$26,0),MATCH(AC$4,Stat_Phasing!$D$17:$K$17))</f>
        <v>0</v>
      </c>
      <c r="AD28" s="38">
        <f>$J28*INDEX(Stat_Phasing!$D$18:$K$26,MATCH($B28,Stat_Phasing!$B$18:$B$26,0),MATCH(AD$4,Stat_Phasing!$D$17:$K$17))</f>
        <v>0</v>
      </c>
      <c r="AE28" s="38"/>
      <c r="AF28" s="38">
        <f>SUM($K28:$L28)*INDEX(Stat_Phasing!$D$30:$K$38,MATCH($B28,Stat_Phasing!$B$30:$B$38,0),MATCH(AF$4,Stat_Phasing!$D$29:$K$29))</f>
        <v>0</v>
      </c>
      <c r="AG28" s="38">
        <f>SUM($K28:$L28)*INDEX(Stat_Phasing!$D$30:$K$38,MATCH($B28,Stat_Phasing!$B$30:$B$38,0),MATCH(AG$4,Stat_Phasing!$D$29:$K$29))</f>
        <v>0</v>
      </c>
      <c r="AH28" s="38">
        <f>SUM($K28:$L28)*INDEX(Stat_Phasing!$D$30:$K$38,MATCH($B28,Stat_Phasing!$B$30:$B$38,0),MATCH(AH$4,Stat_Phasing!$D$29:$K$29))</f>
        <v>183.87894773991599</v>
      </c>
      <c r="AI28" s="38">
        <f>SUM($K28:$L28)*INDEX(Stat_Phasing!$D$30:$K$38,MATCH($B28,Stat_Phasing!$B$30:$B$38,0),MATCH(AI$4,Stat_Phasing!$D$29:$K$29))</f>
        <v>924.80294304487143</v>
      </c>
      <c r="AJ28" s="38">
        <f>SUM($K28:$L28)*INDEX(Stat_Phasing!$D$30:$K$38,MATCH($B28,Stat_Phasing!$B$30:$B$38,0),MATCH(AJ$4,Stat_Phasing!$D$29:$K$29))</f>
        <v>657.99819534381686</v>
      </c>
      <c r="AK28" s="38">
        <f>SUM($K28:$L28)*INDEX(Stat_Phasing!$D$30:$K$38,MATCH($B28,Stat_Phasing!$B$30:$B$38,0),MATCH(AK$4,Stat_Phasing!$D$29:$K$29))</f>
        <v>36.054695635277639</v>
      </c>
      <c r="AL28" s="38">
        <f>SUM($K28:$L28)*INDEX(Stat_Phasing!$D$30:$K$38,MATCH($B28,Stat_Phasing!$B$30:$B$38,0),MATCH(AL$4,Stat_Phasing!$D$29:$K$29))</f>
        <v>0</v>
      </c>
      <c r="AM28" s="38">
        <f>SUM($K28:$L28)*INDEX(Stat_Phasing!$D$30:$K$38,MATCH($B28,Stat_Phasing!$B$30:$B$38,0),MATCH(AM$4,Stat_Phasing!$D$29:$K$29))</f>
        <v>0</v>
      </c>
      <c r="AN28" s="38"/>
      <c r="AO28" s="38">
        <f>$M28*INDEX(Stat_Phasing!$D$42:$K$50,MATCH($B28,Stat_Phasing!$B$42:$B$50,0),MATCH(AO$4,Stat_Phasing!$D$41:$K$41))</f>
        <v>0</v>
      </c>
      <c r="AP28" s="38">
        <f>$M28*INDEX(Stat_Phasing!$D$42:$K$50,MATCH($B28,Stat_Phasing!$B$42:$B$50,0),MATCH(AP$4,Stat_Phasing!$D$41:$K$41))</f>
        <v>0</v>
      </c>
      <c r="AQ28" s="38">
        <f>$M28*INDEX(Stat_Phasing!$D$42:$K$50,MATCH($B28,Stat_Phasing!$B$42:$B$50,0),MATCH(AQ$4,Stat_Phasing!$D$41:$K$41))</f>
        <v>0</v>
      </c>
      <c r="AR28" s="38">
        <f>$M28*INDEX(Stat_Phasing!$D$42:$K$50,MATCH($B28,Stat_Phasing!$B$42:$B$50,0),MATCH(AR$4,Stat_Phasing!$D$41:$K$41))</f>
        <v>127.44810893280228</v>
      </c>
      <c r="AS28" s="38">
        <f>$M28*INDEX(Stat_Phasing!$D$42:$K$50,MATCH($B28,Stat_Phasing!$B$42:$B$50,0),MATCH(AS$4,Stat_Phasing!$D$41:$K$41))</f>
        <v>175.24114978260315</v>
      </c>
      <c r="AT28" s="38">
        <f>$M28*INDEX(Stat_Phasing!$D$42:$K$50,MATCH($B28,Stat_Phasing!$B$42:$B$50,0),MATCH(AT$4,Stat_Phasing!$D$41:$K$41))</f>
        <v>15.931013616600286</v>
      </c>
      <c r="AU28" s="38">
        <f>$M28*INDEX(Stat_Phasing!$D$42:$K$50,MATCH($B28,Stat_Phasing!$B$42:$B$50,0),MATCH(AU$4,Stat_Phasing!$D$41:$K$41))</f>
        <v>0</v>
      </c>
      <c r="AV28" s="38">
        <f>$M28*INDEX(Stat_Phasing!$D$42:$K$50,MATCH($B28,Stat_Phasing!$B$42:$B$50,0),MATCH(AV$4,Stat_Phasing!$D$41:$K$41))</f>
        <v>0</v>
      </c>
      <c r="AW28" s="6"/>
      <c r="AX28" s="6">
        <f t="shared" si="17"/>
        <v>0</v>
      </c>
      <c r="AY28" s="6">
        <f t="shared" si="18"/>
        <v>0</v>
      </c>
      <c r="AZ28" s="6">
        <f t="shared" si="19"/>
        <v>262.14052962823172</v>
      </c>
      <c r="BA28" s="6">
        <f t="shared" si="20"/>
        <v>1854.4919482503806</v>
      </c>
      <c r="BB28" s="6">
        <f t="shared" si="21"/>
        <v>1667.1777969259922</v>
      </c>
      <c r="BC28" s="6">
        <f t="shared" si="5"/>
        <v>51.985709251877921</v>
      </c>
      <c r="BD28" s="6">
        <f t="shared" si="6"/>
        <v>0</v>
      </c>
      <c r="BE28" s="6">
        <f t="shared" si="7"/>
        <v>0</v>
      </c>
      <c r="BG28" s="14">
        <f t="shared" si="8"/>
        <v>3835.7959840564827</v>
      </c>
      <c r="BH28" s="38">
        <f t="shared" si="15"/>
        <v>0</v>
      </c>
      <c r="BJ28" s="15"/>
      <c r="BK28" s="15"/>
      <c r="BL28" s="15"/>
      <c r="BM28" s="15"/>
      <c r="BO28" s="15"/>
      <c r="BP28" s="15"/>
      <c r="BQ28" s="15"/>
      <c r="BR28" s="15"/>
      <c r="BT28" s="16"/>
      <c r="BU28" s="16"/>
      <c r="BV28" s="16"/>
      <c r="BW28" s="16"/>
    </row>
    <row r="29" spans="2:75" x14ac:dyDescent="0.3">
      <c r="B29" s="174" t="str">
        <f>STN_7</f>
        <v>LDL</v>
      </c>
      <c r="C29" s="17">
        <f>INDEX(Schedule!$C$4:$E$12,MATCH($B29,Schedule!$B$4:$B$12,0),1)</f>
        <v>43422</v>
      </c>
      <c r="D29" s="17">
        <f>INDEX(Schedule!$C$4:$E$12,MATCH($B29,Schedule!$B$4:$B$12,0),2)</f>
        <v>43739</v>
      </c>
      <c r="E29" s="17">
        <f>INDEX(Schedule!$C$4:$E$12,MATCH($B29,Schedule!$B$4:$B$12,0),3)</f>
        <v>44044</v>
      </c>
      <c r="F29" s="8" t="s">
        <v>42</v>
      </c>
      <c r="G29" s="20" t="s">
        <v>22</v>
      </c>
      <c r="H29" s="20" t="str">
        <f t="shared" si="9"/>
        <v>SCADA/Network controlAugmentation</v>
      </c>
      <c r="I29" s="390">
        <f>INDEX(LDL_Det!$K$107:$O$111,MATCH($H29,LDL_Det!$F$107:$F$111,0),MATCH(I$3,LDL_Det!$K$4:$O$4,0))</f>
        <v>2614.6961393492943</v>
      </c>
      <c r="J29" s="390">
        <f>INDEX(LDL_Det!$K$107:$O$111,MATCH($H29,LDL_Det!$F$107:$F$111,0),MATCH(J$3,LDL_Det!$K$4:$O$4,0))</f>
        <v>372.58029863420597</v>
      </c>
      <c r="K29" s="390">
        <f>INDEX(LDL_Det!$K$107:$O$111,MATCH($H29,LDL_Det!$F$107:$F$111,0),MATCH(K$3,LDL_Det!$K$4:$O$4,0))</f>
        <v>290.09169281747063</v>
      </c>
      <c r="L29" s="390">
        <f>INDEX(LDL_Det!$K$107:$O$111,MATCH($H29,LDL_Det!$F$107:$F$111,0),MATCH(L$3,LDL_Det!$K$4:$O$4,0))</f>
        <v>367.88386372007363</v>
      </c>
      <c r="M29" s="390">
        <f>INDEX(LDL_Det!$K$107:$O$111,MATCH($H29,LDL_Det!$F$107:$F$111,0),MATCH(M$3,LDL_Det!$K$4:$O$4,0))</f>
        <v>4.426942909760589</v>
      </c>
      <c r="N29" s="38">
        <f>$I29*INDEX(Stat_Phasing!$D$6:$K$14,MATCH($B29,Stat_Phasing!$B$6:$B$14,0),MATCH(N$4,Stat_Phasing!$D$5:$K$5))</f>
        <v>0</v>
      </c>
      <c r="O29" s="38">
        <f>$I29*INDEX(Stat_Phasing!$D$6:$K$14,MATCH($B29,Stat_Phasing!$B$6:$B$14,0),MATCH(O$4,Stat_Phasing!$D$5:$K$5))</f>
        <v>0</v>
      </c>
      <c r="P29" s="38">
        <f>$I29*INDEX(Stat_Phasing!$D$6:$K$14,MATCH($B29,Stat_Phasing!$B$6:$B$14,0),MATCH(P$4,Stat_Phasing!$D$5:$K$5))</f>
        <v>88.899668737876013</v>
      </c>
      <c r="Q29" s="38">
        <f>$I29*INDEX(Stat_Phasing!$D$6:$K$14,MATCH($B29,Stat_Phasing!$B$6:$B$14,0),MATCH(Q$4,Stat_Phasing!$D$5:$K$5))</f>
        <v>1283.8158044205036</v>
      </c>
      <c r="R29" s="38">
        <f>$I29*INDEX(Stat_Phasing!$D$6:$K$14,MATCH($B29,Stat_Phasing!$B$6:$B$14,0),MATCH(R$4,Stat_Phasing!$D$5:$K$5))</f>
        <v>1241.9806661909147</v>
      </c>
      <c r="S29" s="38">
        <f>$I29*INDEX(Stat_Phasing!$D$6:$K$14,MATCH($B29,Stat_Phasing!$B$6:$B$14,0),MATCH(S$4,Stat_Phasing!$D$5:$K$5))</f>
        <v>0</v>
      </c>
      <c r="T29" s="38">
        <f>$I29*INDEX(Stat_Phasing!$D$6:$K$14,MATCH($B29,Stat_Phasing!$B$6:$B$14,0),MATCH(T$4,Stat_Phasing!$D$5:$K$5))</f>
        <v>0</v>
      </c>
      <c r="U29" s="38">
        <f>$I29*INDEX(Stat_Phasing!$D$6:$K$14,MATCH($B29,Stat_Phasing!$B$6:$B$14,0),MATCH(U$4,Stat_Phasing!$D$5:$K$5))</f>
        <v>0</v>
      </c>
      <c r="V29" s="38"/>
      <c r="W29" s="38">
        <f>$J29*INDEX(Stat_Phasing!$D$18:$K$26,MATCH($B29,Stat_Phasing!$B$18:$B$26,0),MATCH(W$4,Stat_Phasing!$D$17:$K$17))</f>
        <v>0</v>
      </c>
      <c r="X29" s="38">
        <f>$J29*INDEX(Stat_Phasing!$D$18:$K$26,MATCH($B29,Stat_Phasing!$B$18:$B$26,0),MATCH(X$4,Stat_Phasing!$D$17:$K$17))</f>
        <v>0</v>
      </c>
      <c r="Y29" s="38">
        <f>$J29*INDEX(Stat_Phasing!$D$18:$K$26,MATCH($B29,Stat_Phasing!$B$18:$B$26,0),MATCH(Y$4,Stat_Phasing!$D$17:$K$17))</f>
        <v>31.669325383907509</v>
      </c>
      <c r="Z29" s="38">
        <f>$J29*INDEX(Stat_Phasing!$D$18:$K$26,MATCH($B29,Stat_Phasing!$B$18:$B$26,0),MATCH(Z$4,Stat_Phasing!$D$17:$K$17))</f>
        <v>145.30631646734034</v>
      </c>
      <c r="AA29" s="38">
        <f>$J29*INDEX(Stat_Phasing!$D$18:$K$26,MATCH($B29,Stat_Phasing!$B$18:$B$26,0),MATCH(AA$4,Stat_Phasing!$D$17:$K$17))</f>
        <v>195.60465678295813</v>
      </c>
      <c r="AB29" s="38">
        <f>$J29*INDEX(Stat_Phasing!$D$18:$K$26,MATCH($B29,Stat_Phasing!$B$18:$B$26,0),MATCH(AB$4,Stat_Phasing!$D$17:$K$17))</f>
        <v>0</v>
      </c>
      <c r="AC29" s="38">
        <f>$J29*INDEX(Stat_Phasing!$D$18:$K$26,MATCH($B29,Stat_Phasing!$B$18:$B$26,0),MATCH(AC$4,Stat_Phasing!$D$17:$K$17))</f>
        <v>0</v>
      </c>
      <c r="AD29" s="38">
        <f>$J29*INDEX(Stat_Phasing!$D$18:$K$26,MATCH($B29,Stat_Phasing!$B$18:$B$26,0),MATCH(AD$4,Stat_Phasing!$D$17:$K$17))</f>
        <v>0</v>
      </c>
      <c r="AE29" s="38"/>
      <c r="AF29" s="38">
        <f>SUM($K29:$L29)*INDEX(Stat_Phasing!$D$30:$K$38,MATCH($B29,Stat_Phasing!$B$30:$B$38,0),MATCH(AF$4,Stat_Phasing!$D$29:$K$29))</f>
        <v>0</v>
      </c>
      <c r="AG29" s="38">
        <f>SUM($K29:$L29)*INDEX(Stat_Phasing!$D$30:$K$38,MATCH($B29,Stat_Phasing!$B$30:$B$38,0),MATCH(AG$4,Stat_Phasing!$D$29:$K$29))</f>
        <v>0</v>
      </c>
      <c r="AH29" s="38">
        <f>SUM($K29:$L29)*INDEX(Stat_Phasing!$D$30:$K$38,MATCH($B29,Stat_Phasing!$B$30:$B$38,0),MATCH(AH$4,Stat_Phasing!$D$29:$K$29))</f>
        <v>67.113506766829516</v>
      </c>
      <c r="AI29" s="38">
        <f>SUM($K29:$L29)*INDEX(Stat_Phasing!$D$30:$K$38,MATCH($B29,Stat_Phasing!$B$30:$B$38,0),MATCH(AI$4,Stat_Phasing!$D$29:$K$29))</f>
        <v>337.54146050376016</v>
      </c>
      <c r="AJ29" s="38">
        <f>SUM($K29:$L29)*INDEX(Stat_Phasing!$D$30:$K$38,MATCH($B29,Stat_Phasing!$B$30:$B$38,0),MATCH(AJ$4,Stat_Phasing!$D$29:$K$29))</f>
        <v>240.16107813620363</v>
      </c>
      <c r="AK29" s="38">
        <f>SUM($K29:$L29)*INDEX(Stat_Phasing!$D$30:$K$38,MATCH($B29,Stat_Phasing!$B$30:$B$38,0),MATCH(AK$4,Stat_Phasing!$D$29:$K$29))</f>
        <v>13.159511130750884</v>
      </c>
      <c r="AL29" s="38">
        <f>SUM($K29:$L29)*INDEX(Stat_Phasing!$D$30:$K$38,MATCH($B29,Stat_Phasing!$B$30:$B$38,0),MATCH(AL$4,Stat_Phasing!$D$29:$K$29))</f>
        <v>0</v>
      </c>
      <c r="AM29" s="38">
        <f>SUM($K29:$L29)*INDEX(Stat_Phasing!$D$30:$K$38,MATCH($B29,Stat_Phasing!$B$30:$B$38,0),MATCH(AM$4,Stat_Phasing!$D$29:$K$29))</f>
        <v>0</v>
      </c>
      <c r="AN29" s="38"/>
      <c r="AO29" s="38">
        <f>$M29*INDEX(Stat_Phasing!$D$42:$K$50,MATCH($B29,Stat_Phasing!$B$42:$B$50,0),MATCH(AO$4,Stat_Phasing!$D$41:$K$41))</f>
        <v>0</v>
      </c>
      <c r="AP29" s="38">
        <f>$M29*INDEX(Stat_Phasing!$D$42:$K$50,MATCH($B29,Stat_Phasing!$B$42:$B$50,0),MATCH(AP$4,Stat_Phasing!$D$41:$K$41))</f>
        <v>0</v>
      </c>
      <c r="AQ29" s="38">
        <f>$M29*INDEX(Stat_Phasing!$D$42:$K$50,MATCH($B29,Stat_Phasing!$B$42:$B$50,0),MATCH(AQ$4,Stat_Phasing!$D$41:$K$41))</f>
        <v>0</v>
      </c>
      <c r="AR29" s="38">
        <f>$M29*INDEX(Stat_Phasing!$D$42:$K$50,MATCH($B29,Stat_Phasing!$B$42:$B$50,0),MATCH(AR$4,Stat_Phasing!$D$41:$K$41))</f>
        <v>1.7707771639042358</v>
      </c>
      <c r="AS29" s="38">
        <f>$M29*INDEX(Stat_Phasing!$D$42:$K$50,MATCH($B29,Stat_Phasing!$B$42:$B$50,0),MATCH(AS$4,Stat_Phasing!$D$41:$K$41))</f>
        <v>2.4348186003683243</v>
      </c>
      <c r="AT29" s="38">
        <f>$M29*INDEX(Stat_Phasing!$D$42:$K$50,MATCH($B29,Stat_Phasing!$B$42:$B$50,0),MATCH(AT$4,Stat_Phasing!$D$41:$K$41))</f>
        <v>0.22134714548802947</v>
      </c>
      <c r="AU29" s="38">
        <f>$M29*INDEX(Stat_Phasing!$D$42:$K$50,MATCH($B29,Stat_Phasing!$B$42:$B$50,0),MATCH(AU$4,Stat_Phasing!$D$41:$K$41))</f>
        <v>0</v>
      </c>
      <c r="AV29" s="38">
        <f>$M29*INDEX(Stat_Phasing!$D$42:$K$50,MATCH($B29,Stat_Phasing!$B$42:$B$50,0),MATCH(AV$4,Stat_Phasing!$D$41:$K$41))</f>
        <v>0</v>
      </c>
      <c r="AW29" s="6"/>
      <c r="AX29" s="6">
        <f t="shared" si="17"/>
        <v>0</v>
      </c>
      <c r="AY29" s="6">
        <f t="shared" si="18"/>
        <v>0</v>
      </c>
      <c r="AZ29" s="6">
        <f t="shared" si="19"/>
        <v>187.68250088861305</v>
      </c>
      <c r="BA29" s="6">
        <f t="shared" si="20"/>
        <v>1768.4343585555084</v>
      </c>
      <c r="BB29" s="6">
        <f t="shared" si="21"/>
        <v>1680.1812197104448</v>
      </c>
      <c r="BC29" s="6">
        <f t="shared" si="5"/>
        <v>13.380858276238914</v>
      </c>
      <c r="BD29" s="6">
        <f t="shared" si="6"/>
        <v>0</v>
      </c>
      <c r="BE29" s="6">
        <f t="shared" si="7"/>
        <v>0</v>
      </c>
      <c r="BG29" s="14">
        <f t="shared" si="8"/>
        <v>3649.678937430805</v>
      </c>
      <c r="BH29" s="38">
        <f t="shared" si="15"/>
        <v>0</v>
      </c>
      <c r="BJ29" s="15"/>
      <c r="BK29" s="15"/>
      <c r="BL29" s="15"/>
      <c r="BM29" s="15"/>
      <c r="BO29" s="15"/>
      <c r="BP29" s="15"/>
      <c r="BQ29" s="15"/>
      <c r="BR29" s="15"/>
      <c r="BT29" s="16"/>
      <c r="BU29" s="16"/>
      <c r="BV29" s="16"/>
      <c r="BW29" s="16"/>
    </row>
    <row r="30" spans="2:75" x14ac:dyDescent="0.3">
      <c r="B30" s="174" t="str">
        <f>STN_7</f>
        <v>LDL</v>
      </c>
      <c r="C30" s="17">
        <f>INDEX(Schedule!$C$4:$E$12,MATCH($B30,Schedule!$B$4:$B$12,0),1)</f>
        <v>43422</v>
      </c>
      <c r="D30" s="17">
        <f>INDEX(Schedule!$C$4:$E$12,MATCH($B30,Schedule!$B$4:$B$12,0),2)</f>
        <v>43739</v>
      </c>
      <c r="E30" s="17">
        <f>INDEX(Schedule!$C$4:$E$12,MATCH($B30,Schedule!$B$4:$B$12,0),3)</f>
        <v>44044</v>
      </c>
      <c r="F30" s="20" t="s">
        <v>66</v>
      </c>
      <c r="G30" s="20" t="s">
        <v>195</v>
      </c>
      <c r="H30" s="20" t="str">
        <f t="shared" ref="H30" si="43">G30&amp;F30</f>
        <v>LandNon-Network</v>
      </c>
      <c r="I30" s="390">
        <f>INDEX(LDL_Det!$K$107:$O$111,MATCH($H30,LDL_Det!$F$107:$F$111,0),MATCH(I$3,LDL_Det!$K$4:$O$4,0))</f>
        <v>0</v>
      </c>
      <c r="J30" s="390">
        <f>INDEX(LDL_Det!$K$107:$O$111,MATCH($H30,LDL_Det!$F$107:$F$111,0),MATCH(J$3,LDL_Det!$K$4:$O$4,0))</f>
        <v>0</v>
      </c>
      <c r="K30" s="390">
        <f>INDEX(LDL_Det!$K$107:$O$111,MATCH($H30,LDL_Det!$F$107:$F$111,0),MATCH(K$3,LDL_Det!$K$4:$O$4,0))</f>
        <v>0</v>
      </c>
      <c r="L30" s="390">
        <f>INDEX(LDL_Det!$K$107:$O$111,MATCH($H30,LDL_Det!$F$107:$F$111,0),MATCH(L$3,LDL_Det!$K$4:$O$4,0))</f>
        <v>0</v>
      </c>
      <c r="M30" s="390">
        <f>INDEX(LDL_Det!$K$107:$O$111,MATCH($H30,LDL_Det!$F$107:$F$111,0),MATCH(M$3,LDL_Det!$K$4:$O$4,0))</f>
        <v>0</v>
      </c>
      <c r="N30" s="38">
        <f>$I30*INDEX(Stat_Phasing!$D$6:$K$14,MATCH($B30,Stat_Phasing!$B$6:$B$14,0),MATCH(N$4,Stat_Phasing!$D$5:$K$5))</f>
        <v>0</v>
      </c>
      <c r="O30" s="38">
        <f>$I30*INDEX(Stat_Phasing!$D$6:$K$14,MATCH($B30,Stat_Phasing!$B$6:$B$14,0),MATCH(O$4,Stat_Phasing!$D$5:$K$5))</f>
        <v>0</v>
      </c>
      <c r="P30" s="38">
        <f>$I30*INDEX(Stat_Phasing!$D$6:$K$14,MATCH($B30,Stat_Phasing!$B$6:$B$14,0),MATCH(P$4,Stat_Phasing!$D$5:$K$5))</f>
        <v>0</v>
      </c>
      <c r="Q30" s="38">
        <f>$I30*INDEX(Stat_Phasing!$D$6:$K$14,MATCH($B30,Stat_Phasing!$B$6:$B$14,0),MATCH(Q$4,Stat_Phasing!$D$5:$K$5))</f>
        <v>0</v>
      </c>
      <c r="R30" s="38">
        <f>$I30*INDEX(Stat_Phasing!$D$6:$K$14,MATCH($B30,Stat_Phasing!$B$6:$B$14,0),MATCH(R$4,Stat_Phasing!$D$5:$K$5))</f>
        <v>0</v>
      </c>
      <c r="S30" s="38">
        <f>$I30*INDEX(Stat_Phasing!$D$6:$K$14,MATCH($B30,Stat_Phasing!$B$6:$B$14,0),MATCH(S$4,Stat_Phasing!$D$5:$K$5))</f>
        <v>0</v>
      </c>
      <c r="T30" s="38">
        <f>$I30*INDEX(Stat_Phasing!$D$6:$K$14,MATCH($B30,Stat_Phasing!$B$6:$B$14,0),MATCH(T$4,Stat_Phasing!$D$5:$K$5))</f>
        <v>0</v>
      </c>
      <c r="U30" s="38">
        <f>$I30*INDEX(Stat_Phasing!$D$6:$K$14,MATCH($B30,Stat_Phasing!$B$6:$B$14,0),MATCH(U$4,Stat_Phasing!$D$5:$K$5))</f>
        <v>0</v>
      </c>
      <c r="V30" s="38"/>
      <c r="W30" s="38">
        <f>$J30*INDEX(Stat_Phasing!$D$18:$K$26,MATCH($B30,Stat_Phasing!$B$18:$B$26,0),MATCH(W$4,Stat_Phasing!$D$17:$K$17))</f>
        <v>0</v>
      </c>
      <c r="X30" s="38">
        <f>$J30*INDEX(Stat_Phasing!$D$18:$K$26,MATCH($B30,Stat_Phasing!$B$18:$B$26,0),MATCH(X$4,Stat_Phasing!$D$17:$K$17))</f>
        <v>0</v>
      </c>
      <c r="Y30" s="38">
        <f>$J30*INDEX(Stat_Phasing!$D$18:$K$26,MATCH($B30,Stat_Phasing!$B$18:$B$26,0),MATCH(Y$4,Stat_Phasing!$D$17:$K$17))</f>
        <v>0</v>
      </c>
      <c r="Z30" s="38">
        <f>$J30*INDEX(Stat_Phasing!$D$18:$K$26,MATCH($B30,Stat_Phasing!$B$18:$B$26,0),MATCH(Z$4,Stat_Phasing!$D$17:$K$17))</f>
        <v>0</v>
      </c>
      <c r="AA30" s="38">
        <f>$J30*INDEX(Stat_Phasing!$D$18:$K$26,MATCH($B30,Stat_Phasing!$B$18:$B$26,0),MATCH(AA$4,Stat_Phasing!$D$17:$K$17))</f>
        <v>0</v>
      </c>
      <c r="AB30" s="38">
        <f>$J30*INDEX(Stat_Phasing!$D$18:$K$26,MATCH($B30,Stat_Phasing!$B$18:$B$26,0),MATCH(AB$4,Stat_Phasing!$D$17:$K$17))</f>
        <v>0</v>
      </c>
      <c r="AC30" s="38">
        <f>$J30*INDEX(Stat_Phasing!$D$18:$K$26,MATCH($B30,Stat_Phasing!$B$18:$B$26,0),MATCH(AC$4,Stat_Phasing!$D$17:$K$17))</f>
        <v>0</v>
      </c>
      <c r="AD30" s="38">
        <f>$J30*INDEX(Stat_Phasing!$D$18:$K$26,MATCH($B30,Stat_Phasing!$B$18:$B$26,0),MATCH(AD$4,Stat_Phasing!$D$17:$K$17))</f>
        <v>0</v>
      </c>
      <c r="AE30" s="38"/>
      <c r="AF30" s="38">
        <f>SUM($K30:$L30)*INDEX(Stat_Phasing!$D$30:$K$38,MATCH($B30,Stat_Phasing!$B$30:$B$38,0),MATCH(AF$4,Stat_Phasing!$D$29:$K$29))</f>
        <v>0</v>
      </c>
      <c r="AG30" s="38">
        <f>SUM($K30:$L30)*INDEX(Stat_Phasing!$D$30:$K$38,MATCH($B30,Stat_Phasing!$B$30:$B$38,0),MATCH(AG$4,Stat_Phasing!$D$29:$K$29))</f>
        <v>0</v>
      </c>
      <c r="AH30" s="38">
        <f>SUM($K30:$L30)*INDEX(Stat_Phasing!$D$30:$K$38,MATCH($B30,Stat_Phasing!$B$30:$B$38,0),MATCH(AH$4,Stat_Phasing!$D$29:$K$29))</f>
        <v>0</v>
      </c>
      <c r="AI30" s="38">
        <f>SUM($K30:$L30)*INDEX(Stat_Phasing!$D$30:$K$38,MATCH($B30,Stat_Phasing!$B$30:$B$38,0),MATCH(AI$4,Stat_Phasing!$D$29:$K$29))</f>
        <v>0</v>
      </c>
      <c r="AJ30" s="38">
        <f>SUM($K30:$L30)*INDEX(Stat_Phasing!$D$30:$K$38,MATCH($B30,Stat_Phasing!$B$30:$B$38,0),MATCH(AJ$4,Stat_Phasing!$D$29:$K$29))</f>
        <v>0</v>
      </c>
      <c r="AK30" s="38">
        <f>SUM($K30:$L30)*INDEX(Stat_Phasing!$D$30:$K$38,MATCH($B30,Stat_Phasing!$B$30:$B$38,0),MATCH(AK$4,Stat_Phasing!$D$29:$K$29))</f>
        <v>0</v>
      </c>
      <c r="AL30" s="38">
        <f>SUM($K30:$L30)*INDEX(Stat_Phasing!$D$30:$K$38,MATCH($B30,Stat_Phasing!$B$30:$B$38,0),MATCH(AL$4,Stat_Phasing!$D$29:$K$29))</f>
        <v>0</v>
      </c>
      <c r="AM30" s="38">
        <f>SUM($K30:$L30)*INDEX(Stat_Phasing!$D$30:$K$38,MATCH($B30,Stat_Phasing!$B$30:$B$38,0),MATCH(AM$4,Stat_Phasing!$D$29:$K$29))</f>
        <v>0</v>
      </c>
      <c r="AN30" s="38"/>
      <c r="AO30" s="38">
        <f>$M30*INDEX(Stat_Phasing!$D$42:$K$50,MATCH($B30,Stat_Phasing!$B$42:$B$50,0),MATCH(AO$4,Stat_Phasing!$D$41:$K$41))</f>
        <v>0</v>
      </c>
      <c r="AP30" s="38">
        <f>$M30*INDEX(Stat_Phasing!$D$42:$K$50,MATCH($B30,Stat_Phasing!$B$42:$B$50,0),MATCH(AP$4,Stat_Phasing!$D$41:$K$41))</f>
        <v>0</v>
      </c>
      <c r="AQ30" s="38">
        <f>$M30*INDEX(Stat_Phasing!$D$42:$K$50,MATCH($B30,Stat_Phasing!$B$42:$B$50,0),MATCH(AQ$4,Stat_Phasing!$D$41:$K$41))</f>
        <v>0</v>
      </c>
      <c r="AR30" s="38">
        <f>$M30*INDEX(Stat_Phasing!$D$42:$K$50,MATCH($B30,Stat_Phasing!$B$42:$B$50,0),MATCH(AR$4,Stat_Phasing!$D$41:$K$41))</f>
        <v>0</v>
      </c>
      <c r="AS30" s="38">
        <f>$M30*INDEX(Stat_Phasing!$D$42:$K$50,MATCH($B30,Stat_Phasing!$B$42:$B$50,0),MATCH(AS$4,Stat_Phasing!$D$41:$K$41))</f>
        <v>0</v>
      </c>
      <c r="AT30" s="38">
        <f>$M30*INDEX(Stat_Phasing!$D$42:$K$50,MATCH($B30,Stat_Phasing!$B$42:$B$50,0),MATCH(AT$4,Stat_Phasing!$D$41:$K$41))</f>
        <v>0</v>
      </c>
      <c r="AU30" s="38">
        <f>$M30*INDEX(Stat_Phasing!$D$42:$K$50,MATCH($B30,Stat_Phasing!$B$42:$B$50,0),MATCH(AU$4,Stat_Phasing!$D$41:$K$41))</f>
        <v>0</v>
      </c>
      <c r="AV30" s="38">
        <f>$M30*INDEX(Stat_Phasing!$D$42:$K$50,MATCH($B30,Stat_Phasing!$B$42:$B$50,0),MATCH(AV$4,Stat_Phasing!$D$41:$K$41))</f>
        <v>0</v>
      </c>
      <c r="AW30" s="6"/>
      <c r="AX30" s="6">
        <f t="shared" si="17"/>
        <v>0</v>
      </c>
      <c r="AY30" s="6">
        <f t="shared" si="18"/>
        <v>0</v>
      </c>
      <c r="AZ30" s="6">
        <f t="shared" si="19"/>
        <v>0</v>
      </c>
      <c r="BA30" s="6">
        <f t="shared" si="20"/>
        <v>0</v>
      </c>
      <c r="BB30" s="6">
        <f t="shared" si="21"/>
        <v>0</v>
      </c>
      <c r="BC30" s="6">
        <f t="shared" si="5"/>
        <v>0</v>
      </c>
      <c r="BD30" s="6">
        <f t="shared" si="6"/>
        <v>0</v>
      </c>
      <c r="BE30" s="6">
        <f t="shared" si="7"/>
        <v>0</v>
      </c>
      <c r="BG30" s="14">
        <f t="shared" si="8"/>
        <v>0</v>
      </c>
      <c r="BH30" s="38">
        <f t="shared" si="15"/>
        <v>0</v>
      </c>
      <c r="BJ30" s="15"/>
      <c r="BK30" s="15"/>
      <c r="BL30" s="15"/>
      <c r="BM30" s="15"/>
      <c r="BO30" s="15"/>
      <c r="BP30" s="15"/>
      <c r="BQ30" s="15"/>
      <c r="BR30" s="15"/>
      <c r="BT30" s="16"/>
      <c r="BU30" s="16"/>
      <c r="BV30" s="16"/>
      <c r="BW30" s="16"/>
    </row>
    <row r="31" spans="2:75" x14ac:dyDescent="0.3">
      <c r="B31" s="174" t="str">
        <f>STN_8</f>
        <v>BDL</v>
      </c>
      <c r="C31" s="17">
        <f>INDEX(Schedule!$C$4:$E$12,MATCH($B31,Schedule!$B$4:$B$12,0),1)</f>
        <v>43282</v>
      </c>
      <c r="D31" s="17">
        <f>INDEX(Schedule!$C$4:$E$12,MATCH($B31,Schedule!$B$4:$B$12,0),2)</f>
        <v>43603</v>
      </c>
      <c r="E31" s="17">
        <f>INDEX(Schedule!$C$4:$E$12,MATCH($B31,Schedule!$B$4:$B$12,0),3)</f>
        <v>43952</v>
      </c>
      <c r="F31" s="8" t="s">
        <v>42</v>
      </c>
      <c r="G31" s="20" t="s">
        <v>18</v>
      </c>
      <c r="H31" s="20" t="str">
        <f t="shared" si="9"/>
        <v>SubtransmissionAugmentation</v>
      </c>
      <c r="I31" s="390">
        <f>INDEX(BDL_Det!$K$108:$O$112,MATCH($H31,BDL_Det!$F$108:$F$112,0),MATCH(I$3,BDL_Det!$K$4:$O$4,0))</f>
        <v>855.31325836358849</v>
      </c>
      <c r="J31" s="390">
        <f>INDEX(BDL_Det!$K$108:$O$112,MATCH($H31,BDL_Det!$F$108:$F$112,0),MATCH(J$3,BDL_Det!$K$4:$O$4,0))</f>
        <v>376.92961790126435</v>
      </c>
      <c r="K31" s="390">
        <f>INDEX(BDL_Det!$K$108:$O$112,MATCH($H31,BDL_Det!$F$108:$F$112,0),MATCH(K$3,BDL_Det!$K$4:$O$4,0))</f>
        <v>306.72772937855882</v>
      </c>
      <c r="L31" s="390">
        <f>INDEX(BDL_Det!$K$108:$O$112,MATCH($H31,BDL_Det!$F$108:$F$112,0),MATCH(L$3,BDL_Det!$K$4:$O$4,0))</f>
        <v>1468.1091521863893</v>
      </c>
      <c r="M31" s="390">
        <f>INDEX(BDL_Det!$K$108:$O$112,MATCH($H31,BDL_Det!$F$108:$F$112,0),MATCH(M$3,BDL_Det!$K$4:$O$4,0))</f>
        <v>303.60105870401304</v>
      </c>
      <c r="N31" s="38">
        <f>$I31*INDEX(Stat_Phasing!$D$6:$K$14,MATCH($B31,Stat_Phasing!$B$6:$B$14,0),MATCH(N$4,Stat_Phasing!$D$5:$K$5))</f>
        <v>0</v>
      </c>
      <c r="O31" s="38">
        <f>$I31*INDEX(Stat_Phasing!$D$6:$K$14,MATCH($B31,Stat_Phasing!$B$6:$B$14,0),MATCH(O$4,Stat_Phasing!$D$5:$K$5))</f>
        <v>0</v>
      </c>
      <c r="P31" s="38">
        <f>$I31*INDEX(Stat_Phasing!$D$6:$K$14,MATCH($B31,Stat_Phasing!$B$6:$B$14,0),MATCH(P$4,Stat_Phasing!$D$5:$K$5))</f>
        <v>56.450675051996846</v>
      </c>
      <c r="Q31" s="38">
        <f>$I31*INDEX(Stat_Phasing!$D$6:$K$14,MATCH($B31,Stat_Phasing!$B$6:$B$14,0),MATCH(Q$4,Stat_Phasing!$D$5:$K$5))</f>
        <v>756.09692039341212</v>
      </c>
      <c r="R31" s="38">
        <f>$I31*INDEX(Stat_Phasing!$D$6:$K$14,MATCH($B31,Stat_Phasing!$B$6:$B$14,0),MATCH(R$4,Stat_Phasing!$D$5:$K$5))</f>
        <v>42.76566291817943</v>
      </c>
      <c r="S31" s="38">
        <f>$I31*INDEX(Stat_Phasing!$D$6:$K$14,MATCH($B31,Stat_Phasing!$B$6:$B$14,0),MATCH(S$4,Stat_Phasing!$D$5:$K$5))</f>
        <v>0</v>
      </c>
      <c r="T31" s="38">
        <f>$I31*INDEX(Stat_Phasing!$D$6:$K$14,MATCH($B31,Stat_Phasing!$B$6:$B$14,0),MATCH(T$4,Stat_Phasing!$D$5:$K$5))</f>
        <v>0</v>
      </c>
      <c r="U31" s="38">
        <f>$I31*INDEX(Stat_Phasing!$D$6:$K$14,MATCH($B31,Stat_Phasing!$B$6:$B$14,0),MATCH(U$4,Stat_Phasing!$D$5:$K$5))</f>
        <v>0</v>
      </c>
      <c r="V31" s="38"/>
      <c r="W31" s="38">
        <f>$J31*INDEX(Stat_Phasing!$D$18:$K$26,MATCH($B31,Stat_Phasing!$B$18:$B$26,0),MATCH(W$4,Stat_Phasing!$D$17:$K$17))</f>
        <v>0</v>
      </c>
      <c r="X31" s="38">
        <f>$J31*INDEX(Stat_Phasing!$D$18:$K$26,MATCH($B31,Stat_Phasing!$B$18:$B$26,0),MATCH(X$4,Stat_Phasing!$D$17:$K$17))</f>
        <v>0</v>
      </c>
      <c r="Y31" s="38">
        <f>$J31*INDEX(Stat_Phasing!$D$18:$K$26,MATCH($B31,Stat_Phasing!$B$18:$B$26,0),MATCH(Y$4,Stat_Phasing!$D$17:$K$17))</f>
        <v>62.193386953708618</v>
      </c>
      <c r="Z31" s="38">
        <f>$J31*INDEX(Stat_Phasing!$D$18:$K$26,MATCH($B31,Stat_Phasing!$B$18:$B$26,0),MATCH(Z$4,Stat_Phasing!$D$17:$K$17))</f>
        <v>295.8897500524925</v>
      </c>
      <c r="AA31" s="38">
        <f>$J31*INDEX(Stat_Phasing!$D$18:$K$26,MATCH($B31,Stat_Phasing!$B$18:$B$26,0),MATCH(AA$4,Stat_Phasing!$D$17:$K$17))</f>
        <v>18.84648089506322</v>
      </c>
      <c r="AB31" s="38">
        <f>$J31*INDEX(Stat_Phasing!$D$18:$K$26,MATCH($B31,Stat_Phasing!$B$18:$B$26,0),MATCH(AB$4,Stat_Phasing!$D$17:$K$17))</f>
        <v>0</v>
      </c>
      <c r="AC31" s="38">
        <f>$J31*INDEX(Stat_Phasing!$D$18:$K$26,MATCH($B31,Stat_Phasing!$B$18:$B$26,0),MATCH(AC$4,Stat_Phasing!$D$17:$K$17))</f>
        <v>0</v>
      </c>
      <c r="AD31" s="38">
        <f>$J31*INDEX(Stat_Phasing!$D$18:$K$26,MATCH($B31,Stat_Phasing!$B$18:$B$26,0),MATCH(AD$4,Stat_Phasing!$D$17:$K$17))</f>
        <v>0</v>
      </c>
      <c r="AE31" s="38"/>
      <c r="AF31" s="38">
        <f>SUM($K31:$L31)*INDEX(Stat_Phasing!$D$30:$K$38,MATCH($B31,Stat_Phasing!$B$30:$B$38,0),MATCH(AF$4,Stat_Phasing!$D$29:$K$29))</f>
        <v>0</v>
      </c>
      <c r="AG31" s="38">
        <f>SUM($K31:$L31)*INDEX(Stat_Phasing!$D$30:$K$38,MATCH($B31,Stat_Phasing!$B$30:$B$38,0),MATCH(AG$4,Stat_Phasing!$D$29:$K$29))</f>
        <v>0</v>
      </c>
      <c r="AH31" s="38">
        <f>SUM($K31:$L31)*INDEX(Stat_Phasing!$D$30:$K$38,MATCH($B31,Stat_Phasing!$B$30:$B$38,0),MATCH(AH$4,Stat_Phasing!$D$29:$K$29))</f>
        <v>351.41770254985977</v>
      </c>
      <c r="AI31" s="38">
        <f>SUM($K31:$L31)*INDEX(Stat_Phasing!$D$30:$K$38,MATCH($B31,Stat_Phasing!$B$30:$B$38,0),MATCH(AI$4,Stat_Phasing!$D$29:$K$29))</f>
        <v>1334.6773349368411</v>
      </c>
      <c r="AJ31" s="38">
        <f>SUM($K31:$L31)*INDEX(Stat_Phasing!$D$30:$K$38,MATCH($B31,Stat_Phasing!$B$30:$B$38,0),MATCH(AJ$4,Stat_Phasing!$D$29:$K$29))</f>
        <v>88.741844078247425</v>
      </c>
      <c r="AK31" s="38">
        <f>SUM($K31:$L31)*INDEX(Stat_Phasing!$D$30:$K$38,MATCH($B31,Stat_Phasing!$B$30:$B$38,0),MATCH(AK$4,Stat_Phasing!$D$29:$K$29))</f>
        <v>0</v>
      </c>
      <c r="AL31" s="38">
        <f>SUM($K31:$L31)*INDEX(Stat_Phasing!$D$30:$K$38,MATCH($B31,Stat_Phasing!$B$30:$B$38,0),MATCH(AL$4,Stat_Phasing!$D$29:$K$29))</f>
        <v>0</v>
      </c>
      <c r="AM31" s="38">
        <f>SUM($K31:$L31)*INDEX(Stat_Phasing!$D$30:$K$38,MATCH($B31,Stat_Phasing!$B$30:$B$38,0),MATCH(AM$4,Stat_Phasing!$D$29:$K$29))</f>
        <v>0</v>
      </c>
      <c r="AN31" s="38"/>
      <c r="AO31" s="38">
        <f>$M31*INDEX(Stat_Phasing!$D$42:$K$50,MATCH($B31,Stat_Phasing!$B$42:$B$50,0),MATCH(AO$4,Stat_Phasing!$D$41:$K$41))</f>
        <v>0</v>
      </c>
      <c r="AP31" s="38">
        <f>$M31*INDEX(Stat_Phasing!$D$42:$K$50,MATCH($B31,Stat_Phasing!$B$42:$B$50,0),MATCH(AP$4,Stat_Phasing!$D$41:$K$41))</f>
        <v>0</v>
      </c>
      <c r="AQ31" s="38">
        <f>$M31*INDEX(Stat_Phasing!$D$42:$K$50,MATCH($B31,Stat_Phasing!$B$42:$B$50,0),MATCH(AQ$4,Stat_Phasing!$D$41:$K$41))</f>
        <v>0</v>
      </c>
      <c r="AR31" s="38">
        <f>$M31*INDEX(Stat_Phasing!$D$42:$K$50,MATCH($B31,Stat_Phasing!$B$42:$B$50,0),MATCH(AR$4,Stat_Phasing!$D$41:$K$41))</f>
        <v>121.44042348160522</v>
      </c>
      <c r="AS31" s="38">
        <f>$M31*INDEX(Stat_Phasing!$D$42:$K$50,MATCH($B31,Stat_Phasing!$B$42:$B$50,0),MATCH(AS$4,Stat_Phasing!$D$41:$K$41))</f>
        <v>182.16063522240785</v>
      </c>
      <c r="AT31" s="38">
        <f>$M31*INDEX(Stat_Phasing!$D$42:$K$50,MATCH($B31,Stat_Phasing!$B$42:$B$50,0),MATCH(AT$4,Stat_Phasing!$D$41:$K$41))</f>
        <v>0</v>
      </c>
      <c r="AU31" s="38">
        <f>$M31*INDEX(Stat_Phasing!$D$42:$K$50,MATCH($B31,Stat_Phasing!$B$42:$B$50,0),MATCH(AU$4,Stat_Phasing!$D$41:$K$41))</f>
        <v>0</v>
      </c>
      <c r="AV31" s="38">
        <f>$M31*INDEX(Stat_Phasing!$D$42:$K$50,MATCH($B31,Stat_Phasing!$B$42:$B$50,0),MATCH(AV$4,Stat_Phasing!$D$41:$K$41))</f>
        <v>0</v>
      </c>
      <c r="AW31" s="6"/>
      <c r="AX31" s="6">
        <f t="shared" si="17"/>
        <v>0</v>
      </c>
      <c r="AY31" s="6">
        <f t="shared" si="18"/>
        <v>0</v>
      </c>
      <c r="AZ31" s="6">
        <f t="shared" si="19"/>
        <v>470.06176455556522</v>
      </c>
      <c r="BA31" s="6">
        <f t="shared" si="20"/>
        <v>2508.1044288643511</v>
      </c>
      <c r="BB31" s="6">
        <f t="shared" si="21"/>
        <v>332.51462311389793</v>
      </c>
      <c r="BC31" s="6">
        <f t="shared" si="5"/>
        <v>0</v>
      </c>
      <c r="BD31" s="6">
        <f t="shared" si="6"/>
        <v>0</v>
      </c>
      <c r="BE31" s="6">
        <f t="shared" si="7"/>
        <v>0</v>
      </c>
      <c r="BG31" s="14">
        <f t="shared" si="8"/>
        <v>3310.6808165338143</v>
      </c>
      <c r="BH31" s="38">
        <f t="shared" si="15"/>
        <v>0</v>
      </c>
      <c r="BJ31" s="15"/>
      <c r="BK31" s="15"/>
      <c r="BL31" s="15"/>
      <c r="BM31" s="15"/>
      <c r="BO31" s="15"/>
      <c r="BP31" s="15"/>
      <c r="BQ31" s="15"/>
      <c r="BR31" s="15"/>
      <c r="BT31" s="16"/>
      <c r="BU31" s="16"/>
      <c r="BV31" s="16"/>
      <c r="BW31" s="16"/>
    </row>
    <row r="32" spans="2:75" ht="15" x14ac:dyDescent="0.25">
      <c r="B32" s="174" t="str">
        <f>STN_8</f>
        <v>BDL</v>
      </c>
      <c r="C32" s="17">
        <f>INDEX(Schedule!$C$4:$E$12,MATCH($B32,Schedule!$B$4:$B$12,0),1)</f>
        <v>43282</v>
      </c>
      <c r="D32" s="17">
        <f>INDEX(Schedule!$C$4:$E$12,MATCH($B32,Schedule!$B$4:$B$12,0),2)</f>
        <v>43603</v>
      </c>
      <c r="E32" s="17">
        <f>INDEX(Schedule!$C$4:$E$12,MATCH($B32,Schedule!$B$4:$B$12,0),3)</f>
        <v>43952</v>
      </c>
      <c r="F32" s="8" t="s">
        <v>42</v>
      </c>
      <c r="G32" s="20" t="s">
        <v>22</v>
      </c>
      <c r="H32" s="20" t="str">
        <f t="shared" si="9"/>
        <v>SCADA/Network controlAugmentation</v>
      </c>
      <c r="I32" s="390">
        <f>INDEX(BDL_Det!$K$108:$O$112,MATCH($H32,BDL_Det!$F$108:$F$112,0),MATCH(I$3,BDL_Det!$K$4:$O$4,0))</f>
        <v>2550.2137507673419</v>
      </c>
      <c r="J32" s="390">
        <f>INDEX(BDL_Det!$K$108:$O$112,MATCH($H32,BDL_Det!$F$108:$F$112,0),MATCH(J$3,BDL_Det!$K$4:$O$4,0))</f>
        <v>415.15088209873551</v>
      </c>
      <c r="K32" s="390">
        <f>INDEX(BDL_Det!$K$108:$O$112,MATCH($H32,BDL_Det!$F$108:$F$112,0),MATCH(K$3,BDL_Det!$K$4:$O$4,0))</f>
        <v>337.83041015632483</v>
      </c>
      <c r="L32" s="390">
        <f>INDEX(BDL_Det!$K$108:$O$112,MATCH($H32,BDL_Det!$F$108:$F$112,0),MATCH(L$3,BDL_Det!$K$4:$O$4,0))</f>
        <v>338.76714364640884</v>
      </c>
      <c r="M32" s="390">
        <f>INDEX(BDL_Det!$K$108:$O$112,MATCH($H32,BDL_Det!$F$108:$F$112,0),MATCH(M$3,BDL_Det!$K$4:$O$4,0))</f>
        <v>4.426942909760589</v>
      </c>
      <c r="N32" s="38">
        <f>$I32*INDEX(Stat_Phasing!$D$6:$K$14,MATCH($B32,Stat_Phasing!$B$6:$B$14,0),MATCH(N$4,Stat_Phasing!$D$5:$K$5))</f>
        <v>0</v>
      </c>
      <c r="O32" s="38">
        <f>$I32*INDEX(Stat_Phasing!$D$6:$K$14,MATCH($B32,Stat_Phasing!$B$6:$B$14,0),MATCH(O$4,Stat_Phasing!$D$5:$K$5))</f>
        <v>0</v>
      </c>
      <c r="P32" s="38">
        <f>$I32*INDEX(Stat_Phasing!$D$6:$K$14,MATCH($B32,Stat_Phasing!$B$6:$B$14,0),MATCH(P$4,Stat_Phasing!$D$5:$K$5))</f>
        <v>168.31410755064456</v>
      </c>
      <c r="Q32" s="38">
        <f>$I32*INDEX(Stat_Phasing!$D$6:$K$14,MATCH($B32,Stat_Phasing!$B$6:$B$14,0),MATCH(Q$4,Stat_Phasing!$D$5:$K$5))</f>
        <v>2254.3889556783301</v>
      </c>
      <c r="R32" s="38">
        <f>$I32*INDEX(Stat_Phasing!$D$6:$K$14,MATCH($B32,Stat_Phasing!$B$6:$B$14,0),MATCH(R$4,Stat_Phasing!$D$5:$K$5))</f>
        <v>127.51068753836711</v>
      </c>
      <c r="S32" s="38">
        <f>$I32*INDEX(Stat_Phasing!$D$6:$K$14,MATCH($B32,Stat_Phasing!$B$6:$B$14,0),MATCH(S$4,Stat_Phasing!$D$5:$K$5))</f>
        <v>0</v>
      </c>
      <c r="T32" s="38">
        <f>$I32*INDEX(Stat_Phasing!$D$6:$K$14,MATCH($B32,Stat_Phasing!$B$6:$B$14,0),MATCH(T$4,Stat_Phasing!$D$5:$K$5))</f>
        <v>0</v>
      </c>
      <c r="U32" s="38">
        <f>$I32*INDEX(Stat_Phasing!$D$6:$K$14,MATCH($B32,Stat_Phasing!$B$6:$B$14,0),MATCH(U$4,Stat_Phasing!$D$5:$K$5))</f>
        <v>0</v>
      </c>
      <c r="V32" s="38"/>
      <c r="W32" s="38">
        <f>$J32*INDEX(Stat_Phasing!$D$18:$K$26,MATCH($B32,Stat_Phasing!$B$18:$B$26,0),MATCH(W$4,Stat_Phasing!$D$17:$K$17))</f>
        <v>0</v>
      </c>
      <c r="X32" s="38">
        <f>$J32*INDEX(Stat_Phasing!$D$18:$K$26,MATCH($B32,Stat_Phasing!$B$18:$B$26,0),MATCH(X$4,Stat_Phasing!$D$17:$K$17))</f>
        <v>0</v>
      </c>
      <c r="Y32" s="38">
        <f>$J32*INDEX(Stat_Phasing!$D$18:$K$26,MATCH($B32,Stat_Phasing!$B$18:$B$26,0),MATCH(Y$4,Stat_Phasing!$D$17:$K$17))</f>
        <v>68.499895546291356</v>
      </c>
      <c r="Z32" s="38">
        <f>$J32*INDEX(Stat_Phasing!$D$18:$K$26,MATCH($B32,Stat_Phasing!$B$18:$B$26,0),MATCH(Z$4,Stat_Phasing!$D$17:$K$17))</f>
        <v>325.89344244750737</v>
      </c>
      <c r="AA32" s="38">
        <f>$J32*INDEX(Stat_Phasing!$D$18:$K$26,MATCH($B32,Stat_Phasing!$B$18:$B$26,0),MATCH(AA$4,Stat_Phasing!$D$17:$K$17))</f>
        <v>20.757544104936777</v>
      </c>
      <c r="AB32" s="38">
        <f>$J32*INDEX(Stat_Phasing!$D$18:$K$26,MATCH($B32,Stat_Phasing!$B$18:$B$26,0),MATCH(AB$4,Stat_Phasing!$D$17:$K$17))</f>
        <v>0</v>
      </c>
      <c r="AC32" s="38">
        <f>$J32*INDEX(Stat_Phasing!$D$18:$K$26,MATCH($B32,Stat_Phasing!$B$18:$B$26,0),MATCH(AC$4,Stat_Phasing!$D$17:$K$17))</f>
        <v>0</v>
      </c>
      <c r="AD32" s="38">
        <f>$J32*INDEX(Stat_Phasing!$D$18:$K$26,MATCH($B32,Stat_Phasing!$B$18:$B$26,0),MATCH(AD$4,Stat_Phasing!$D$17:$K$17))</f>
        <v>0</v>
      </c>
      <c r="AE32" s="38"/>
      <c r="AF32" s="38">
        <f>SUM($K32:$L32)*INDEX(Stat_Phasing!$D$30:$K$38,MATCH($B32,Stat_Phasing!$B$30:$B$38,0),MATCH(AF$4,Stat_Phasing!$D$29:$K$29))</f>
        <v>0</v>
      </c>
      <c r="AG32" s="38">
        <f>SUM($K32:$L32)*INDEX(Stat_Phasing!$D$30:$K$38,MATCH($B32,Stat_Phasing!$B$30:$B$38,0),MATCH(AG$4,Stat_Phasing!$D$29:$K$29))</f>
        <v>0</v>
      </c>
      <c r="AH32" s="38">
        <f>SUM($K32:$L32)*INDEX(Stat_Phasing!$D$30:$K$38,MATCH($B32,Stat_Phasing!$B$30:$B$38,0),MATCH(AH$4,Stat_Phasing!$D$29:$K$29))</f>
        <v>133.96631565294129</v>
      </c>
      <c r="AI32" s="38">
        <f>SUM($K32:$L32)*INDEX(Stat_Phasing!$D$30:$K$38,MATCH($B32,Stat_Phasing!$B$30:$B$38,0),MATCH(AI$4,Stat_Phasing!$D$29:$K$29))</f>
        <v>508.80136045965577</v>
      </c>
      <c r="AJ32" s="38">
        <f>SUM($K32:$L32)*INDEX(Stat_Phasing!$D$30:$K$38,MATCH($B32,Stat_Phasing!$B$30:$B$38,0),MATCH(AJ$4,Stat_Phasing!$D$29:$K$29))</f>
        <v>33.829877690136691</v>
      </c>
      <c r="AK32" s="38">
        <f>SUM($K32:$L32)*INDEX(Stat_Phasing!$D$30:$K$38,MATCH($B32,Stat_Phasing!$B$30:$B$38,0),MATCH(AK$4,Stat_Phasing!$D$29:$K$29))</f>
        <v>0</v>
      </c>
      <c r="AL32" s="38">
        <f>SUM($K32:$L32)*INDEX(Stat_Phasing!$D$30:$K$38,MATCH($B32,Stat_Phasing!$B$30:$B$38,0),MATCH(AL$4,Stat_Phasing!$D$29:$K$29))</f>
        <v>0</v>
      </c>
      <c r="AM32" s="38">
        <f>SUM($K32:$L32)*INDEX(Stat_Phasing!$D$30:$K$38,MATCH($B32,Stat_Phasing!$B$30:$B$38,0),MATCH(AM$4,Stat_Phasing!$D$29:$K$29))</f>
        <v>0</v>
      </c>
      <c r="AN32" s="38"/>
      <c r="AO32" s="38">
        <f>$M32*INDEX(Stat_Phasing!$D$42:$K$50,MATCH($B32,Stat_Phasing!$B$42:$B$50,0),MATCH(AO$4,Stat_Phasing!$D$41:$K$41))</f>
        <v>0</v>
      </c>
      <c r="AP32" s="38">
        <f>$M32*INDEX(Stat_Phasing!$D$42:$K$50,MATCH($B32,Stat_Phasing!$B$42:$B$50,0),MATCH(AP$4,Stat_Phasing!$D$41:$K$41))</f>
        <v>0</v>
      </c>
      <c r="AQ32" s="38">
        <f>$M32*INDEX(Stat_Phasing!$D$42:$K$50,MATCH($B32,Stat_Phasing!$B$42:$B$50,0),MATCH(AQ$4,Stat_Phasing!$D$41:$K$41))</f>
        <v>0</v>
      </c>
      <c r="AR32" s="38">
        <f>$M32*INDEX(Stat_Phasing!$D$42:$K$50,MATCH($B32,Stat_Phasing!$B$42:$B$50,0),MATCH(AR$4,Stat_Phasing!$D$41:$K$41))</f>
        <v>1.7707771639042358</v>
      </c>
      <c r="AS32" s="38">
        <f>$M32*INDEX(Stat_Phasing!$D$42:$K$50,MATCH($B32,Stat_Phasing!$B$42:$B$50,0),MATCH(AS$4,Stat_Phasing!$D$41:$K$41))</f>
        <v>2.6561657458563537</v>
      </c>
      <c r="AT32" s="38">
        <f>$M32*INDEX(Stat_Phasing!$D$42:$K$50,MATCH($B32,Stat_Phasing!$B$42:$B$50,0),MATCH(AT$4,Stat_Phasing!$D$41:$K$41))</f>
        <v>0</v>
      </c>
      <c r="AU32" s="38">
        <f>$M32*INDEX(Stat_Phasing!$D$42:$K$50,MATCH($B32,Stat_Phasing!$B$42:$B$50,0),MATCH(AU$4,Stat_Phasing!$D$41:$K$41))</f>
        <v>0</v>
      </c>
      <c r="AV32" s="38">
        <f>$M32*INDEX(Stat_Phasing!$D$42:$K$50,MATCH($B32,Stat_Phasing!$B$42:$B$50,0),MATCH(AV$4,Stat_Phasing!$D$41:$K$41))</f>
        <v>0</v>
      </c>
      <c r="AW32" s="6"/>
      <c r="AX32" s="6">
        <f t="shared" si="17"/>
        <v>0</v>
      </c>
      <c r="AY32" s="6">
        <f t="shared" si="18"/>
        <v>0</v>
      </c>
      <c r="AZ32" s="6">
        <f t="shared" si="19"/>
        <v>370.78031874987721</v>
      </c>
      <c r="BA32" s="6">
        <f t="shared" si="20"/>
        <v>3090.8545357493977</v>
      </c>
      <c r="BB32" s="6">
        <f t="shared" si="21"/>
        <v>184.75427507929695</v>
      </c>
      <c r="BC32" s="6">
        <f t="shared" si="5"/>
        <v>0</v>
      </c>
      <c r="BD32" s="6">
        <f t="shared" si="6"/>
        <v>0</v>
      </c>
      <c r="BE32" s="6">
        <f t="shared" si="7"/>
        <v>0</v>
      </c>
      <c r="BG32" s="14">
        <f t="shared" si="8"/>
        <v>3646.3891295785716</v>
      </c>
      <c r="BH32" s="38">
        <f t="shared" si="15"/>
        <v>0</v>
      </c>
      <c r="BJ32" s="15"/>
      <c r="BK32" s="15"/>
      <c r="BL32" s="15"/>
      <c r="BM32" s="15"/>
      <c r="BO32" s="15"/>
      <c r="BP32" s="15"/>
      <c r="BQ32" s="15"/>
      <c r="BR32" s="15"/>
      <c r="BT32" s="16"/>
      <c r="BU32" s="16"/>
      <c r="BV32" s="16"/>
      <c r="BW32" s="16"/>
    </row>
    <row r="33" spans="2:75" ht="15" x14ac:dyDescent="0.25">
      <c r="B33" s="174" t="str">
        <f>STN_8</f>
        <v>BDL</v>
      </c>
      <c r="C33" s="17">
        <f>INDEX(Schedule!$C$4:$E$12,MATCH($B33,Schedule!$B$4:$B$12,0),1)</f>
        <v>43282</v>
      </c>
      <c r="D33" s="17">
        <f>INDEX(Schedule!$C$4:$E$12,MATCH($B33,Schedule!$B$4:$B$12,0),2)</f>
        <v>43603</v>
      </c>
      <c r="E33" s="17">
        <f>INDEX(Schedule!$C$4:$E$12,MATCH($B33,Schedule!$B$4:$B$12,0),3)</f>
        <v>43952</v>
      </c>
      <c r="F33" s="20" t="s">
        <v>66</v>
      </c>
      <c r="G33" s="20" t="s">
        <v>195</v>
      </c>
      <c r="H33" s="20" t="str">
        <f t="shared" ref="H33" si="44">G33&amp;F33</f>
        <v>LandNon-Network</v>
      </c>
      <c r="I33" s="390">
        <f>INDEX(BDL_Det!$K$108:$O$112,MATCH($H33,BDL_Det!$F$108:$F$112,0),MATCH(I$3,BDL_Det!$K$4:$O$4,0))</f>
        <v>0</v>
      </c>
      <c r="J33" s="390">
        <f>INDEX(BDL_Det!$K$108:$O$112,MATCH($H33,BDL_Det!$F$108:$F$112,0),MATCH(J$3,BDL_Det!$K$4:$O$4,0))</f>
        <v>0</v>
      </c>
      <c r="K33" s="390">
        <f>INDEX(BDL_Det!$K$108:$O$112,MATCH($H33,BDL_Det!$F$108:$F$112,0),MATCH(K$3,BDL_Det!$K$4:$O$4,0))</f>
        <v>0</v>
      </c>
      <c r="L33" s="390">
        <f>INDEX(BDL_Det!$K$108:$O$112,MATCH($H33,BDL_Det!$F$108:$F$112,0),MATCH(L$3,BDL_Det!$K$4:$O$4,0))</f>
        <v>0</v>
      </c>
      <c r="M33" s="390">
        <f>INDEX(BDL_Det!$K$108:$O$112,MATCH($H33,BDL_Det!$F$108:$F$112,0),MATCH(M$3,BDL_Det!$K$4:$O$4,0))</f>
        <v>0</v>
      </c>
      <c r="N33" s="38">
        <f>$I33*INDEX(Stat_Phasing!$D$6:$K$14,MATCH($B33,Stat_Phasing!$B$6:$B$14,0),MATCH(N$4,Stat_Phasing!$D$5:$K$5))</f>
        <v>0</v>
      </c>
      <c r="O33" s="38">
        <f>$I33*INDEX(Stat_Phasing!$D$6:$K$14,MATCH($B33,Stat_Phasing!$B$6:$B$14,0),MATCH(O$4,Stat_Phasing!$D$5:$K$5))</f>
        <v>0</v>
      </c>
      <c r="P33" s="38">
        <f>$I33*INDEX(Stat_Phasing!$D$6:$K$14,MATCH($B33,Stat_Phasing!$B$6:$B$14,0),MATCH(P$4,Stat_Phasing!$D$5:$K$5))</f>
        <v>0</v>
      </c>
      <c r="Q33" s="38">
        <f>$I33*INDEX(Stat_Phasing!$D$6:$K$14,MATCH($B33,Stat_Phasing!$B$6:$B$14,0),MATCH(Q$4,Stat_Phasing!$D$5:$K$5))</f>
        <v>0</v>
      </c>
      <c r="R33" s="38">
        <f>$I33*INDEX(Stat_Phasing!$D$6:$K$14,MATCH($B33,Stat_Phasing!$B$6:$B$14,0),MATCH(R$4,Stat_Phasing!$D$5:$K$5))</f>
        <v>0</v>
      </c>
      <c r="S33" s="38">
        <f>$I33*INDEX(Stat_Phasing!$D$6:$K$14,MATCH($B33,Stat_Phasing!$B$6:$B$14,0),MATCH(S$4,Stat_Phasing!$D$5:$K$5))</f>
        <v>0</v>
      </c>
      <c r="T33" s="38">
        <f>$I33*INDEX(Stat_Phasing!$D$6:$K$14,MATCH($B33,Stat_Phasing!$B$6:$B$14,0),MATCH(T$4,Stat_Phasing!$D$5:$K$5))</f>
        <v>0</v>
      </c>
      <c r="U33" s="38">
        <f>$I33*INDEX(Stat_Phasing!$D$6:$K$14,MATCH($B33,Stat_Phasing!$B$6:$B$14,0),MATCH(U$4,Stat_Phasing!$D$5:$K$5))</f>
        <v>0</v>
      </c>
      <c r="V33" s="38"/>
      <c r="W33" s="38">
        <f>$J33*INDEX(Stat_Phasing!$D$18:$K$26,MATCH($B33,Stat_Phasing!$B$18:$B$26,0),MATCH(W$4,Stat_Phasing!$D$17:$K$17))</f>
        <v>0</v>
      </c>
      <c r="X33" s="38">
        <f>$J33*INDEX(Stat_Phasing!$D$18:$K$26,MATCH($B33,Stat_Phasing!$B$18:$B$26,0),MATCH(X$4,Stat_Phasing!$D$17:$K$17))</f>
        <v>0</v>
      </c>
      <c r="Y33" s="38">
        <f>$J33*INDEX(Stat_Phasing!$D$18:$K$26,MATCH($B33,Stat_Phasing!$B$18:$B$26,0),MATCH(Y$4,Stat_Phasing!$D$17:$K$17))</f>
        <v>0</v>
      </c>
      <c r="Z33" s="38">
        <f>$J33*INDEX(Stat_Phasing!$D$18:$K$26,MATCH($B33,Stat_Phasing!$B$18:$B$26,0),MATCH(Z$4,Stat_Phasing!$D$17:$K$17))</f>
        <v>0</v>
      </c>
      <c r="AA33" s="38">
        <f>$J33*INDEX(Stat_Phasing!$D$18:$K$26,MATCH($B33,Stat_Phasing!$B$18:$B$26,0),MATCH(AA$4,Stat_Phasing!$D$17:$K$17))</f>
        <v>0</v>
      </c>
      <c r="AB33" s="38">
        <f>$J33*INDEX(Stat_Phasing!$D$18:$K$26,MATCH($B33,Stat_Phasing!$B$18:$B$26,0),MATCH(AB$4,Stat_Phasing!$D$17:$K$17))</f>
        <v>0</v>
      </c>
      <c r="AC33" s="38">
        <f>$J33*INDEX(Stat_Phasing!$D$18:$K$26,MATCH($B33,Stat_Phasing!$B$18:$B$26,0),MATCH(AC$4,Stat_Phasing!$D$17:$K$17))</f>
        <v>0</v>
      </c>
      <c r="AD33" s="38">
        <f>$J33*INDEX(Stat_Phasing!$D$18:$K$26,MATCH($B33,Stat_Phasing!$B$18:$B$26,0),MATCH(AD$4,Stat_Phasing!$D$17:$K$17))</f>
        <v>0</v>
      </c>
      <c r="AE33" s="38"/>
      <c r="AF33" s="38">
        <f>SUM($K33:$L33)*INDEX(Stat_Phasing!$D$30:$K$38,MATCH($B33,Stat_Phasing!$B$30:$B$38,0),MATCH(AF$4,Stat_Phasing!$D$29:$K$29))</f>
        <v>0</v>
      </c>
      <c r="AG33" s="38">
        <f>SUM($K33:$L33)*INDEX(Stat_Phasing!$D$30:$K$38,MATCH($B33,Stat_Phasing!$B$30:$B$38,0),MATCH(AG$4,Stat_Phasing!$D$29:$K$29))</f>
        <v>0</v>
      </c>
      <c r="AH33" s="38">
        <f>SUM($K33:$L33)*INDEX(Stat_Phasing!$D$30:$K$38,MATCH($B33,Stat_Phasing!$B$30:$B$38,0),MATCH(AH$4,Stat_Phasing!$D$29:$K$29))</f>
        <v>0</v>
      </c>
      <c r="AI33" s="38">
        <f>SUM($K33:$L33)*INDEX(Stat_Phasing!$D$30:$K$38,MATCH($B33,Stat_Phasing!$B$30:$B$38,0),MATCH(AI$4,Stat_Phasing!$D$29:$K$29))</f>
        <v>0</v>
      </c>
      <c r="AJ33" s="38">
        <f>SUM($K33:$L33)*INDEX(Stat_Phasing!$D$30:$K$38,MATCH($B33,Stat_Phasing!$B$30:$B$38,0),MATCH(AJ$4,Stat_Phasing!$D$29:$K$29))</f>
        <v>0</v>
      </c>
      <c r="AK33" s="38">
        <f>SUM($K33:$L33)*INDEX(Stat_Phasing!$D$30:$K$38,MATCH($B33,Stat_Phasing!$B$30:$B$38,0),MATCH(AK$4,Stat_Phasing!$D$29:$K$29))</f>
        <v>0</v>
      </c>
      <c r="AL33" s="38">
        <f>SUM($K33:$L33)*INDEX(Stat_Phasing!$D$30:$K$38,MATCH($B33,Stat_Phasing!$B$30:$B$38,0),MATCH(AL$4,Stat_Phasing!$D$29:$K$29))</f>
        <v>0</v>
      </c>
      <c r="AM33" s="38">
        <f>SUM($K33:$L33)*INDEX(Stat_Phasing!$D$30:$K$38,MATCH($B33,Stat_Phasing!$B$30:$B$38,0),MATCH(AM$4,Stat_Phasing!$D$29:$K$29))</f>
        <v>0</v>
      </c>
      <c r="AN33" s="38"/>
      <c r="AO33" s="38">
        <f>$M33*INDEX(Stat_Phasing!$D$42:$K$50,MATCH($B33,Stat_Phasing!$B$42:$B$50,0),MATCH(AO$4,Stat_Phasing!$D$41:$K$41))</f>
        <v>0</v>
      </c>
      <c r="AP33" s="38">
        <f>$M33*INDEX(Stat_Phasing!$D$42:$K$50,MATCH($B33,Stat_Phasing!$B$42:$B$50,0),MATCH(AP$4,Stat_Phasing!$D$41:$K$41))</f>
        <v>0</v>
      </c>
      <c r="AQ33" s="38">
        <f>$M33*INDEX(Stat_Phasing!$D$42:$K$50,MATCH($B33,Stat_Phasing!$B$42:$B$50,0),MATCH(AQ$4,Stat_Phasing!$D$41:$K$41))</f>
        <v>0</v>
      </c>
      <c r="AR33" s="38">
        <f>$M33*INDEX(Stat_Phasing!$D$42:$K$50,MATCH($B33,Stat_Phasing!$B$42:$B$50,0),MATCH(AR$4,Stat_Phasing!$D$41:$K$41))</f>
        <v>0</v>
      </c>
      <c r="AS33" s="38">
        <f>$M33*INDEX(Stat_Phasing!$D$42:$K$50,MATCH($B33,Stat_Phasing!$B$42:$B$50,0),MATCH(AS$4,Stat_Phasing!$D$41:$K$41))</f>
        <v>0</v>
      </c>
      <c r="AT33" s="38">
        <f>$M33*INDEX(Stat_Phasing!$D$42:$K$50,MATCH($B33,Stat_Phasing!$B$42:$B$50,0),MATCH(AT$4,Stat_Phasing!$D$41:$K$41))</f>
        <v>0</v>
      </c>
      <c r="AU33" s="38">
        <f>$M33*INDEX(Stat_Phasing!$D$42:$K$50,MATCH($B33,Stat_Phasing!$B$42:$B$50,0),MATCH(AU$4,Stat_Phasing!$D$41:$K$41))</f>
        <v>0</v>
      </c>
      <c r="AV33" s="38">
        <f>$M33*INDEX(Stat_Phasing!$D$42:$K$50,MATCH($B33,Stat_Phasing!$B$42:$B$50,0),MATCH(AV$4,Stat_Phasing!$D$41:$K$41))</f>
        <v>0</v>
      </c>
      <c r="AW33" s="6"/>
      <c r="AX33" s="6">
        <f t="shared" si="17"/>
        <v>0</v>
      </c>
      <c r="AY33" s="6">
        <f t="shared" si="18"/>
        <v>0</v>
      </c>
      <c r="AZ33" s="6">
        <f t="shared" si="19"/>
        <v>0</v>
      </c>
      <c r="BA33" s="6">
        <f t="shared" si="20"/>
        <v>0</v>
      </c>
      <c r="BB33" s="6">
        <f t="shared" si="21"/>
        <v>0</v>
      </c>
      <c r="BC33" s="6">
        <f t="shared" si="5"/>
        <v>0</v>
      </c>
      <c r="BD33" s="6">
        <f t="shared" si="6"/>
        <v>0</v>
      </c>
      <c r="BE33" s="6">
        <f t="shared" si="7"/>
        <v>0</v>
      </c>
      <c r="BG33" s="14">
        <f t="shared" si="8"/>
        <v>0</v>
      </c>
      <c r="BH33" s="38">
        <f t="shared" si="15"/>
        <v>0</v>
      </c>
      <c r="BJ33" s="15"/>
      <c r="BK33" s="15"/>
      <c r="BL33" s="15"/>
      <c r="BM33" s="15"/>
      <c r="BO33" s="15"/>
      <c r="BP33" s="15"/>
      <c r="BQ33" s="15"/>
      <c r="BR33" s="15"/>
      <c r="BT33" s="16"/>
      <c r="BU33" s="16"/>
      <c r="BV33" s="16"/>
      <c r="BW33" s="16"/>
    </row>
    <row r="34" spans="2:75" ht="15" x14ac:dyDescent="0.25">
      <c r="B34" s="174" t="str">
        <f>STN_9</f>
        <v>[spare]</v>
      </c>
      <c r="C34" s="17">
        <f>INDEX(Schedule!$C$4:$E$12,MATCH($B34,Schedule!$B$4:$B$12,0),1)</f>
        <v>0</v>
      </c>
      <c r="D34" s="17">
        <f>INDEX(Schedule!$C$4:$E$12,MATCH($B34,Schedule!$B$4:$B$12,0),2)</f>
        <v>0</v>
      </c>
      <c r="E34" s="17">
        <f>INDEX(Schedule!$C$4:$E$12,MATCH($B34,Schedule!$B$4:$B$12,0),3)</f>
        <v>0</v>
      </c>
      <c r="F34" s="8" t="s">
        <v>42</v>
      </c>
      <c r="G34" s="20" t="s">
        <v>18</v>
      </c>
      <c r="H34" s="20" t="str">
        <f t="shared" si="9"/>
        <v>SubtransmissionAugmentation</v>
      </c>
      <c r="I34" s="390">
        <f>INDEX(Spare!$K$107:$O$111,MATCH($H34,Spare!$F$107:$F$111,0),MATCH(I$3,Spare!$K$4:$O$4,0))</f>
        <v>0</v>
      </c>
      <c r="J34" s="390">
        <f>INDEX(Spare!$K$107:$O$111,MATCH($H34,Spare!$F$107:$F$111,0),MATCH(J$3,Spare!$K$4:$O$4,0))</f>
        <v>0</v>
      </c>
      <c r="K34" s="390">
        <f>INDEX(Spare!$K$107:$O$111,MATCH($H34,Spare!$F$107:$F$111,0),MATCH(K$3,Spare!$K$4:$O$4,0))</f>
        <v>0</v>
      </c>
      <c r="L34" s="390">
        <f>INDEX(Spare!$K$107:$O$111,MATCH($H34,Spare!$F$107:$F$111,0),MATCH(L$3,Spare!$K$4:$O$4,0))</f>
        <v>0</v>
      </c>
      <c r="M34" s="390">
        <f>INDEX(Spare!$K$107:$O$111,MATCH($H34,Spare!$F$107:$F$111,0),MATCH(M$3,Spare!$K$4:$O$4,0))</f>
        <v>0</v>
      </c>
      <c r="N34" s="38">
        <f>$I34*INDEX(Stat_Phasing!$D$6:$K$14,MATCH($B34,Stat_Phasing!$B$6:$B$14,0),MATCH(N$4,Stat_Phasing!$D$5:$K$5))</f>
        <v>0</v>
      </c>
      <c r="O34" s="38">
        <f>$I34*INDEX(Stat_Phasing!$D$6:$K$14,MATCH($B34,Stat_Phasing!$B$6:$B$14,0),MATCH(O$4,Stat_Phasing!$D$5:$K$5))</f>
        <v>0</v>
      </c>
      <c r="P34" s="38">
        <f>$I34*INDEX(Stat_Phasing!$D$6:$K$14,MATCH($B34,Stat_Phasing!$B$6:$B$14,0),MATCH(P$4,Stat_Phasing!$D$5:$K$5))</f>
        <v>0</v>
      </c>
      <c r="Q34" s="38">
        <f>$I34*INDEX(Stat_Phasing!$D$6:$K$14,MATCH($B34,Stat_Phasing!$B$6:$B$14,0),MATCH(Q$4,Stat_Phasing!$D$5:$K$5))</f>
        <v>0</v>
      </c>
      <c r="R34" s="38">
        <f>$I34*INDEX(Stat_Phasing!$D$6:$K$14,MATCH($B34,Stat_Phasing!$B$6:$B$14,0),MATCH(R$4,Stat_Phasing!$D$5:$K$5))</f>
        <v>0</v>
      </c>
      <c r="S34" s="38">
        <f>$I34*INDEX(Stat_Phasing!$D$6:$K$14,MATCH($B34,Stat_Phasing!$B$6:$B$14,0),MATCH(S$4,Stat_Phasing!$D$5:$K$5))</f>
        <v>0</v>
      </c>
      <c r="T34" s="38">
        <f>$I34*INDEX(Stat_Phasing!$D$6:$K$14,MATCH($B34,Stat_Phasing!$B$6:$B$14,0),MATCH(T$4,Stat_Phasing!$D$5:$K$5))</f>
        <v>0</v>
      </c>
      <c r="U34" s="38">
        <f>$I34*INDEX(Stat_Phasing!$D$6:$K$14,MATCH($B34,Stat_Phasing!$B$6:$B$14,0),MATCH(U$4,Stat_Phasing!$D$5:$K$5))</f>
        <v>0</v>
      </c>
      <c r="V34" s="38"/>
      <c r="W34" s="38">
        <f>$J34*INDEX(Stat_Phasing!$D$18:$K$26,MATCH($B34,Stat_Phasing!$B$18:$B$26,0),MATCH(W$4,Stat_Phasing!$D$17:$K$17))</f>
        <v>0</v>
      </c>
      <c r="X34" s="38">
        <f>$J34*INDEX(Stat_Phasing!$D$18:$K$26,MATCH($B34,Stat_Phasing!$B$18:$B$26,0),MATCH(X$4,Stat_Phasing!$D$17:$K$17))</f>
        <v>0</v>
      </c>
      <c r="Y34" s="38">
        <f>$J34*INDEX(Stat_Phasing!$D$18:$K$26,MATCH($B34,Stat_Phasing!$B$18:$B$26,0),MATCH(Y$4,Stat_Phasing!$D$17:$K$17))</f>
        <v>0</v>
      </c>
      <c r="Z34" s="38">
        <f>$J34*INDEX(Stat_Phasing!$D$18:$K$26,MATCH($B34,Stat_Phasing!$B$18:$B$26,0),MATCH(Z$4,Stat_Phasing!$D$17:$K$17))</f>
        <v>0</v>
      </c>
      <c r="AA34" s="38">
        <f>$J34*INDEX(Stat_Phasing!$D$18:$K$26,MATCH($B34,Stat_Phasing!$B$18:$B$26,0),MATCH(AA$4,Stat_Phasing!$D$17:$K$17))</f>
        <v>0</v>
      </c>
      <c r="AB34" s="38">
        <f>$J34*INDEX(Stat_Phasing!$D$18:$K$26,MATCH($B34,Stat_Phasing!$B$18:$B$26,0),MATCH(AB$4,Stat_Phasing!$D$17:$K$17))</f>
        <v>0</v>
      </c>
      <c r="AC34" s="38">
        <f>$J34*INDEX(Stat_Phasing!$D$18:$K$26,MATCH($B34,Stat_Phasing!$B$18:$B$26,0),MATCH(AC$4,Stat_Phasing!$D$17:$K$17))</f>
        <v>0</v>
      </c>
      <c r="AD34" s="38">
        <f>$J34*INDEX(Stat_Phasing!$D$18:$K$26,MATCH($B34,Stat_Phasing!$B$18:$B$26,0),MATCH(AD$4,Stat_Phasing!$D$17:$K$17))</f>
        <v>0</v>
      </c>
      <c r="AE34" s="38"/>
      <c r="AF34" s="38">
        <f>SUM($K34:$L34)*INDEX(Stat_Phasing!$D$30:$K$38,MATCH($B34,Stat_Phasing!$B$30:$B$38,0),MATCH(AF$4,Stat_Phasing!$D$29:$K$29))</f>
        <v>0</v>
      </c>
      <c r="AG34" s="38">
        <f>SUM($K34:$L34)*INDEX(Stat_Phasing!$D$30:$K$38,MATCH($B34,Stat_Phasing!$B$30:$B$38,0),MATCH(AG$4,Stat_Phasing!$D$29:$K$29))</f>
        <v>0</v>
      </c>
      <c r="AH34" s="38">
        <f>SUM($K34:$L34)*INDEX(Stat_Phasing!$D$30:$K$38,MATCH($B34,Stat_Phasing!$B$30:$B$38,0),MATCH(AH$4,Stat_Phasing!$D$29:$K$29))</f>
        <v>0</v>
      </c>
      <c r="AI34" s="38">
        <f>SUM($K34:$L34)*INDEX(Stat_Phasing!$D$30:$K$38,MATCH($B34,Stat_Phasing!$B$30:$B$38,0),MATCH(AI$4,Stat_Phasing!$D$29:$K$29))</f>
        <v>0</v>
      </c>
      <c r="AJ34" s="38">
        <f>SUM($K34:$L34)*INDEX(Stat_Phasing!$D$30:$K$38,MATCH($B34,Stat_Phasing!$B$30:$B$38,0),MATCH(AJ$4,Stat_Phasing!$D$29:$K$29))</f>
        <v>0</v>
      </c>
      <c r="AK34" s="38">
        <f>SUM($K34:$L34)*INDEX(Stat_Phasing!$D$30:$K$38,MATCH($B34,Stat_Phasing!$B$30:$B$38,0),MATCH(AK$4,Stat_Phasing!$D$29:$K$29))</f>
        <v>0</v>
      </c>
      <c r="AL34" s="38">
        <f>SUM($K34:$L34)*INDEX(Stat_Phasing!$D$30:$K$38,MATCH($B34,Stat_Phasing!$B$30:$B$38,0),MATCH(AL$4,Stat_Phasing!$D$29:$K$29))</f>
        <v>0</v>
      </c>
      <c r="AM34" s="38">
        <f>SUM($K34:$L34)*INDEX(Stat_Phasing!$D$30:$K$38,MATCH($B34,Stat_Phasing!$B$30:$B$38,0),MATCH(AM$4,Stat_Phasing!$D$29:$K$29))</f>
        <v>0</v>
      </c>
      <c r="AN34" s="38"/>
      <c r="AO34" s="38">
        <f>$M34*INDEX(Stat_Phasing!$D$42:$K$50,MATCH($B34,Stat_Phasing!$B$42:$B$50,0),MATCH(AO$4,Stat_Phasing!$D$41:$K$41))</f>
        <v>0</v>
      </c>
      <c r="AP34" s="38">
        <f>$M34*INDEX(Stat_Phasing!$D$42:$K$50,MATCH($B34,Stat_Phasing!$B$42:$B$50,0),MATCH(AP$4,Stat_Phasing!$D$41:$K$41))</f>
        <v>0</v>
      </c>
      <c r="AQ34" s="38">
        <f>$M34*INDEX(Stat_Phasing!$D$42:$K$50,MATCH($B34,Stat_Phasing!$B$42:$B$50,0),MATCH(AQ$4,Stat_Phasing!$D$41:$K$41))</f>
        <v>0</v>
      </c>
      <c r="AR34" s="38">
        <f>$M34*INDEX(Stat_Phasing!$D$42:$K$50,MATCH($B34,Stat_Phasing!$B$42:$B$50,0),MATCH(AR$4,Stat_Phasing!$D$41:$K$41))</f>
        <v>0</v>
      </c>
      <c r="AS34" s="38">
        <f>$M34*INDEX(Stat_Phasing!$D$42:$K$50,MATCH($B34,Stat_Phasing!$B$42:$B$50,0),MATCH(AS$4,Stat_Phasing!$D$41:$K$41))</f>
        <v>0</v>
      </c>
      <c r="AT34" s="38">
        <f>$M34*INDEX(Stat_Phasing!$D$42:$K$50,MATCH($B34,Stat_Phasing!$B$42:$B$50,0),MATCH(AT$4,Stat_Phasing!$D$41:$K$41))</f>
        <v>0</v>
      </c>
      <c r="AU34" s="38">
        <f>$M34*INDEX(Stat_Phasing!$D$42:$K$50,MATCH($B34,Stat_Phasing!$B$42:$B$50,0),MATCH(AU$4,Stat_Phasing!$D$41:$K$41))</f>
        <v>0</v>
      </c>
      <c r="AV34" s="38">
        <f>$M34*INDEX(Stat_Phasing!$D$42:$K$50,MATCH($B34,Stat_Phasing!$B$42:$B$50,0),MATCH(AV$4,Stat_Phasing!$D$41:$K$41))</f>
        <v>0</v>
      </c>
      <c r="AW34" s="6"/>
      <c r="AX34" s="6">
        <f t="shared" si="17"/>
        <v>0</v>
      </c>
      <c r="AY34" s="6">
        <f t="shared" si="18"/>
        <v>0</v>
      </c>
      <c r="AZ34" s="6">
        <f t="shared" si="19"/>
        <v>0</v>
      </c>
      <c r="BA34" s="6">
        <f t="shared" si="20"/>
        <v>0</v>
      </c>
      <c r="BB34" s="6">
        <f t="shared" si="21"/>
        <v>0</v>
      </c>
      <c r="BC34" s="6">
        <f t="shared" si="5"/>
        <v>0</v>
      </c>
      <c r="BD34" s="6">
        <f t="shared" si="6"/>
        <v>0</v>
      </c>
      <c r="BE34" s="6">
        <f t="shared" si="7"/>
        <v>0</v>
      </c>
      <c r="BG34" s="14">
        <f t="shared" si="8"/>
        <v>0</v>
      </c>
      <c r="BH34" s="38">
        <f t="shared" si="15"/>
        <v>0</v>
      </c>
      <c r="BJ34" s="15"/>
      <c r="BK34" s="15"/>
      <c r="BL34" s="15"/>
      <c r="BM34" s="15"/>
      <c r="BO34" s="15"/>
      <c r="BP34" s="15"/>
      <c r="BQ34" s="15"/>
      <c r="BR34" s="15"/>
      <c r="BT34" s="16"/>
      <c r="BU34" s="16"/>
      <c r="BV34" s="16"/>
      <c r="BW34" s="16"/>
    </row>
    <row r="35" spans="2:75" x14ac:dyDescent="0.3">
      <c r="B35" s="174" t="str">
        <f>STN_9</f>
        <v>[spare]</v>
      </c>
      <c r="C35" s="17">
        <f>INDEX(Schedule!$C$4:$E$12,MATCH($B35,Schedule!$B$4:$B$12,0),1)</f>
        <v>0</v>
      </c>
      <c r="D35" s="17">
        <f>INDEX(Schedule!$C$4:$E$12,MATCH($B35,Schedule!$B$4:$B$12,0),2)</f>
        <v>0</v>
      </c>
      <c r="E35" s="17">
        <f>INDEX(Schedule!$C$4:$E$12,MATCH($B35,Schedule!$B$4:$B$12,0),3)</f>
        <v>0</v>
      </c>
      <c r="F35" s="8" t="s">
        <v>42</v>
      </c>
      <c r="G35" s="20" t="s">
        <v>22</v>
      </c>
      <c r="H35" s="20" t="str">
        <f t="shared" si="9"/>
        <v>SCADA/Network controlAugmentation</v>
      </c>
      <c r="I35" s="390">
        <f>INDEX(Spare!$K$107:$O$111,MATCH($H35,Spare!$F$107:$F$111,0),MATCH(I$3,Spare!$K$4:$O$4,0))</f>
        <v>0</v>
      </c>
      <c r="J35" s="390">
        <f>INDEX(Spare!$K$107:$O$111,MATCH($H35,Spare!$F$107:$F$111,0),MATCH(J$3,Spare!$K$4:$O$4,0))</f>
        <v>0</v>
      </c>
      <c r="K35" s="390">
        <f>INDEX(Spare!$K$107:$O$111,MATCH($H35,Spare!$F$107:$F$111,0),MATCH(K$3,Spare!$K$4:$O$4,0))</f>
        <v>0</v>
      </c>
      <c r="L35" s="390">
        <f>INDEX(Spare!$K$107:$O$111,MATCH($H35,Spare!$F$107:$F$111,0),MATCH(L$3,Spare!$K$4:$O$4,0))</f>
        <v>0</v>
      </c>
      <c r="M35" s="390">
        <f>INDEX(Spare!$K$107:$O$111,MATCH($H35,Spare!$F$107:$F$111,0),MATCH(M$3,Spare!$K$4:$O$4,0))</f>
        <v>0</v>
      </c>
      <c r="N35" s="38">
        <f>$I35*INDEX(Stat_Phasing!$D$6:$K$14,MATCH($B35,Stat_Phasing!$B$6:$B$14,0),MATCH(N$4,Stat_Phasing!$D$5:$K$5))</f>
        <v>0</v>
      </c>
      <c r="O35" s="38">
        <f>$I35*INDEX(Stat_Phasing!$D$6:$K$14,MATCH($B35,Stat_Phasing!$B$6:$B$14,0),MATCH(O$4,Stat_Phasing!$D$5:$K$5))</f>
        <v>0</v>
      </c>
      <c r="P35" s="38">
        <f>$I35*INDEX(Stat_Phasing!$D$6:$K$14,MATCH($B35,Stat_Phasing!$B$6:$B$14,0),MATCH(P$4,Stat_Phasing!$D$5:$K$5))</f>
        <v>0</v>
      </c>
      <c r="Q35" s="38">
        <f>$I35*INDEX(Stat_Phasing!$D$6:$K$14,MATCH($B35,Stat_Phasing!$B$6:$B$14,0),MATCH(Q$4,Stat_Phasing!$D$5:$K$5))</f>
        <v>0</v>
      </c>
      <c r="R35" s="38">
        <f>$I35*INDEX(Stat_Phasing!$D$6:$K$14,MATCH($B35,Stat_Phasing!$B$6:$B$14,0),MATCH(R$4,Stat_Phasing!$D$5:$K$5))</f>
        <v>0</v>
      </c>
      <c r="S35" s="38">
        <f>$I35*INDEX(Stat_Phasing!$D$6:$K$14,MATCH($B35,Stat_Phasing!$B$6:$B$14,0),MATCH(S$4,Stat_Phasing!$D$5:$K$5))</f>
        <v>0</v>
      </c>
      <c r="T35" s="38">
        <f>$I35*INDEX(Stat_Phasing!$D$6:$K$14,MATCH($B35,Stat_Phasing!$B$6:$B$14,0),MATCH(T$4,Stat_Phasing!$D$5:$K$5))</f>
        <v>0</v>
      </c>
      <c r="U35" s="38">
        <f>$I35*INDEX(Stat_Phasing!$D$6:$K$14,MATCH($B35,Stat_Phasing!$B$6:$B$14,0),MATCH(U$4,Stat_Phasing!$D$5:$K$5))</f>
        <v>0</v>
      </c>
      <c r="V35" s="38"/>
      <c r="W35" s="38">
        <f>$J35*INDEX(Stat_Phasing!$D$18:$K$26,MATCH($B35,Stat_Phasing!$B$18:$B$26,0),MATCH(W$4,Stat_Phasing!$D$17:$K$17))</f>
        <v>0</v>
      </c>
      <c r="X35" s="38">
        <f>$J35*INDEX(Stat_Phasing!$D$18:$K$26,MATCH($B35,Stat_Phasing!$B$18:$B$26,0),MATCH(X$4,Stat_Phasing!$D$17:$K$17))</f>
        <v>0</v>
      </c>
      <c r="Y35" s="38">
        <f>$J35*INDEX(Stat_Phasing!$D$18:$K$26,MATCH($B35,Stat_Phasing!$B$18:$B$26,0),MATCH(Y$4,Stat_Phasing!$D$17:$K$17))</f>
        <v>0</v>
      </c>
      <c r="Z35" s="38">
        <f>$J35*INDEX(Stat_Phasing!$D$18:$K$26,MATCH($B35,Stat_Phasing!$B$18:$B$26,0),MATCH(Z$4,Stat_Phasing!$D$17:$K$17))</f>
        <v>0</v>
      </c>
      <c r="AA35" s="38">
        <f>$J35*INDEX(Stat_Phasing!$D$18:$K$26,MATCH($B35,Stat_Phasing!$B$18:$B$26,0),MATCH(AA$4,Stat_Phasing!$D$17:$K$17))</f>
        <v>0</v>
      </c>
      <c r="AB35" s="38">
        <f>$J35*INDEX(Stat_Phasing!$D$18:$K$26,MATCH($B35,Stat_Phasing!$B$18:$B$26,0),MATCH(AB$4,Stat_Phasing!$D$17:$K$17))</f>
        <v>0</v>
      </c>
      <c r="AC35" s="38">
        <f>$J35*INDEX(Stat_Phasing!$D$18:$K$26,MATCH($B35,Stat_Phasing!$B$18:$B$26,0),MATCH(AC$4,Stat_Phasing!$D$17:$K$17))</f>
        <v>0</v>
      </c>
      <c r="AD35" s="38">
        <f>$J35*INDEX(Stat_Phasing!$D$18:$K$26,MATCH($B35,Stat_Phasing!$B$18:$B$26,0),MATCH(AD$4,Stat_Phasing!$D$17:$K$17))</f>
        <v>0</v>
      </c>
      <c r="AE35" s="38"/>
      <c r="AF35" s="38">
        <f>SUM($K35:$L35)*INDEX(Stat_Phasing!$D$30:$K$38,MATCH($B35,Stat_Phasing!$B$30:$B$38,0),MATCH(AF$4,Stat_Phasing!$D$29:$K$29))</f>
        <v>0</v>
      </c>
      <c r="AG35" s="38">
        <f>SUM($K35:$L35)*INDEX(Stat_Phasing!$D$30:$K$38,MATCH($B35,Stat_Phasing!$B$30:$B$38,0),MATCH(AG$4,Stat_Phasing!$D$29:$K$29))</f>
        <v>0</v>
      </c>
      <c r="AH35" s="38">
        <f>SUM($K35:$L35)*INDEX(Stat_Phasing!$D$30:$K$38,MATCH($B35,Stat_Phasing!$B$30:$B$38,0),MATCH(AH$4,Stat_Phasing!$D$29:$K$29))</f>
        <v>0</v>
      </c>
      <c r="AI35" s="38">
        <f>SUM($K35:$L35)*INDEX(Stat_Phasing!$D$30:$K$38,MATCH($B35,Stat_Phasing!$B$30:$B$38,0),MATCH(AI$4,Stat_Phasing!$D$29:$K$29))</f>
        <v>0</v>
      </c>
      <c r="AJ35" s="38">
        <f>SUM($K35:$L35)*INDEX(Stat_Phasing!$D$30:$K$38,MATCH($B35,Stat_Phasing!$B$30:$B$38,0),MATCH(AJ$4,Stat_Phasing!$D$29:$K$29))</f>
        <v>0</v>
      </c>
      <c r="AK35" s="38">
        <f>SUM($K35:$L35)*INDEX(Stat_Phasing!$D$30:$K$38,MATCH($B35,Stat_Phasing!$B$30:$B$38,0),MATCH(AK$4,Stat_Phasing!$D$29:$K$29))</f>
        <v>0</v>
      </c>
      <c r="AL35" s="38">
        <f>SUM($K35:$L35)*INDEX(Stat_Phasing!$D$30:$K$38,MATCH($B35,Stat_Phasing!$B$30:$B$38,0),MATCH(AL$4,Stat_Phasing!$D$29:$K$29))</f>
        <v>0</v>
      </c>
      <c r="AM35" s="38">
        <f>SUM($K35:$L35)*INDEX(Stat_Phasing!$D$30:$K$38,MATCH($B35,Stat_Phasing!$B$30:$B$38,0),MATCH(AM$4,Stat_Phasing!$D$29:$K$29))</f>
        <v>0</v>
      </c>
      <c r="AN35" s="38"/>
      <c r="AO35" s="38">
        <f>$M35*INDEX(Stat_Phasing!$D$42:$K$50,MATCH($B35,Stat_Phasing!$B$42:$B$50,0),MATCH(AO$4,Stat_Phasing!$D$41:$K$41))</f>
        <v>0</v>
      </c>
      <c r="AP35" s="38">
        <f>$M35*INDEX(Stat_Phasing!$D$42:$K$50,MATCH($B35,Stat_Phasing!$B$42:$B$50,0),MATCH(AP$4,Stat_Phasing!$D$41:$K$41))</f>
        <v>0</v>
      </c>
      <c r="AQ35" s="38">
        <f>$M35*INDEX(Stat_Phasing!$D$42:$K$50,MATCH($B35,Stat_Phasing!$B$42:$B$50,0),MATCH(AQ$4,Stat_Phasing!$D$41:$K$41))</f>
        <v>0</v>
      </c>
      <c r="AR35" s="38">
        <f>$M35*INDEX(Stat_Phasing!$D$42:$K$50,MATCH($B35,Stat_Phasing!$B$42:$B$50,0),MATCH(AR$4,Stat_Phasing!$D$41:$K$41))</f>
        <v>0</v>
      </c>
      <c r="AS35" s="38">
        <f>$M35*INDEX(Stat_Phasing!$D$42:$K$50,MATCH($B35,Stat_Phasing!$B$42:$B$50,0),MATCH(AS$4,Stat_Phasing!$D$41:$K$41))</f>
        <v>0</v>
      </c>
      <c r="AT35" s="38">
        <f>$M35*INDEX(Stat_Phasing!$D$42:$K$50,MATCH($B35,Stat_Phasing!$B$42:$B$50,0),MATCH(AT$4,Stat_Phasing!$D$41:$K$41))</f>
        <v>0</v>
      </c>
      <c r="AU35" s="38">
        <f>$M35*INDEX(Stat_Phasing!$D$42:$K$50,MATCH($B35,Stat_Phasing!$B$42:$B$50,0),MATCH(AU$4,Stat_Phasing!$D$41:$K$41))</f>
        <v>0</v>
      </c>
      <c r="AV35" s="38">
        <f>$M35*INDEX(Stat_Phasing!$D$42:$K$50,MATCH($B35,Stat_Phasing!$B$42:$B$50,0),MATCH(AV$4,Stat_Phasing!$D$41:$K$41))</f>
        <v>0</v>
      </c>
      <c r="AW35" s="6"/>
      <c r="AX35" s="6">
        <f t="shared" si="17"/>
        <v>0</v>
      </c>
      <c r="AY35" s="6">
        <f t="shared" si="18"/>
        <v>0</v>
      </c>
      <c r="AZ35" s="6">
        <f t="shared" si="19"/>
        <v>0</v>
      </c>
      <c r="BA35" s="6">
        <f t="shared" si="20"/>
        <v>0</v>
      </c>
      <c r="BB35" s="6">
        <f t="shared" si="21"/>
        <v>0</v>
      </c>
      <c r="BC35" s="6">
        <f t="shared" si="5"/>
        <v>0</v>
      </c>
      <c r="BD35" s="6">
        <f t="shared" si="6"/>
        <v>0</v>
      </c>
      <c r="BE35" s="6">
        <f t="shared" si="7"/>
        <v>0</v>
      </c>
      <c r="BG35" s="14">
        <f t="shared" si="8"/>
        <v>0</v>
      </c>
      <c r="BH35" s="38">
        <f t="shared" si="15"/>
        <v>0</v>
      </c>
    </row>
    <row r="36" spans="2:75" ht="14.4" customHeight="1" x14ac:dyDescent="0.3">
      <c r="B36" s="174" t="str">
        <f>STN_9</f>
        <v>[spare]</v>
      </c>
      <c r="C36" s="17">
        <f>INDEX(Schedule!$C$4:$E$12,MATCH($B36,Schedule!$B$4:$B$12,0),1)</f>
        <v>0</v>
      </c>
      <c r="D36" s="17">
        <f>INDEX(Schedule!$C$4:$E$12,MATCH($B36,Schedule!$B$4:$B$12,0),2)</f>
        <v>0</v>
      </c>
      <c r="E36" s="17">
        <f>INDEX(Schedule!$C$4:$E$12,MATCH($B36,Schedule!$B$4:$B$12,0),3)</f>
        <v>0</v>
      </c>
      <c r="F36" s="20" t="s">
        <v>66</v>
      </c>
      <c r="G36" s="20" t="s">
        <v>195</v>
      </c>
      <c r="H36" s="20" t="str">
        <f t="shared" ref="H36" si="45">G36&amp;F36</f>
        <v>LandNon-Network</v>
      </c>
      <c r="I36" s="390">
        <f>INDEX(Spare!$K$107:$O$111,MATCH($H36,Spare!$F$107:$F$111,0),MATCH(I$3,Spare!$K$4:$O$4,0))</f>
        <v>0</v>
      </c>
      <c r="J36" s="390">
        <f>INDEX(Spare!$K$107:$O$111,MATCH($H36,Spare!$F$107:$F$111,0),MATCH(J$3,Spare!$K$4:$O$4,0))</f>
        <v>0</v>
      </c>
      <c r="K36" s="390">
        <f>INDEX(Spare!$K$107:$O$111,MATCH($H36,Spare!$F$107:$F$111,0),MATCH(K$3,Spare!$K$4:$O$4,0))</f>
        <v>0</v>
      </c>
      <c r="L36" s="390">
        <f>INDEX(Spare!$K$107:$O$111,MATCH($H36,Spare!$F$107:$F$111,0),MATCH(L$3,Spare!$K$4:$O$4,0))</f>
        <v>0</v>
      </c>
      <c r="M36" s="390">
        <f>INDEX(Spare!$K$107:$O$111,MATCH($H36,Spare!$F$107:$F$111,0),MATCH(M$3,Spare!$K$4:$O$4,0))</f>
        <v>0</v>
      </c>
      <c r="N36" s="38">
        <f>$I36*INDEX(Stat_Phasing!$D$6:$K$14,MATCH($B36,Stat_Phasing!$B$6:$B$14,0),MATCH(N$4,Stat_Phasing!$D$5:$K$5))</f>
        <v>0</v>
      </c>
      <c r="O36" s="38">
        <f>$I36*INDEX(Stat_Phasing!$D$6:$K$14,MATCH($B36,Stat_Phasing!$B$6:$B$14,0),MATCH(O$4,Stat_Phasing!$D$5:$K$5))</f>
        <v>0</v>
      </c>
      <c r="P36" s="38">
        <f>$I36*INDEX(Stat_Phasing!$D$6:$K$14,MATCH($B36,Stat_Phasing!$B$6:$B$14,0),MATCH(P$4,Stat_Phasing!$D$5:$K$5))</f>
        <v>0</v>
      </c>
      <c r="Q36" s="38">
        <f>$I36*INDEX(Stat_Phasing!$D$6:$K$14,MATCH($B36,Stat_Phasing!$B$6:$B$14,0),MATCH(Q$4,Stat_Phasing!$D$5:$K$5))</f>
        <v>0</v>
      </c>
      <c r="R36" s="38">
        <f>$I36*INDEX(Stat_Phasing!$D$6:$K$14,MATCH($B36,Stat_Phasing!$B$6:$B$14,0),MATCH(R$4,Stat_Phasing!$D$5:$K$5))</f>
        <v>0</v>
      </c>
      <c r="S36" s="38">
        <f>$I36*INDEX(Stat_Phasing!$D$6:$K$14,MATCH($B36,Stat_Phasing!$B$6:$B$14,0),MATCH(S$4,Stat_Phasing!$D$5:$K$5))</f>
        <v>0</v>
      </c>
      <c r="T36" s="38">
        <f>$I36*INDEX(Stat_Phasing!$D$6:$K$14,MATCH($B36,Stat_Phasing!$B$6:$B$14,0),MATCH(T$4,Stat_Phasing!$D$5:$K$5))</f>
        <v>0</v>
      </c>
      <c r="U36" s="38">
        <f>$I36*INDEX(Stat_Phasing!$D$6:$K$14,MATCH($B36,Stat_Phasing!$B$6:$B$14,0),MATCH(U$4,Stat_Phasing!$D$5:$K$5))</f>
        <v>0</v>
      </c>
      <c r="V36" s="38"/>
      <c r="W36" s="38">
        <f>$J36*INDEX(Stat_Phasing!$D$18:$K$26,MATCH($B36,Stat_Phasing!$B$18:$B$26,0),MATCH(W$4,Stat_Phasing!$D$17:$K$17))</f>
        <v>0</v>
      </c>
      <c r="X36" s="38">
        <f>$J36*INDEX(Stat_Phasing!$D$18:$K$26,MATCH($B36,Stat_Phasing!$B$18:$B$26,0),MATCH(X$4,Stat_Phasing!$D$17:$K$17))</f>
        <v>0</v>
      </c>
      <c r="Y36" s="38">
        <f>$J36*INDEX(Stat_Phasing!$D$18:$K$26,MATCH($B36,Stat_Phasing!$B$18:$B$26,0),MATCH(Y$4,Stat_Phasing!$D$17:$K$17))</f>
        <v>0</v>
      </c>
      <c r="Z36" s="38">
        <f>$J36*INDEX(Stat_Phasing!$D$18:$K$26,MATCH($B36,Stat_Phasing!$B$18:$B$26,0),MATCH(Z$4,Stat_Phasing!$D$17:$K$17))</f>
        <v>0</v>
      </c>
      <c r="AA36" s="38">
        <f>$J36*INDEX(Stat_Phasing!$D$18:$K$26,MATCH($B36,Stat_Phasing!$B$18:$B$26,0),MATCH(AA$4,Stat_Phasing!$D$17:$K$17))</f>
        <v>0</v>
      </c>
      <c r="AB36" s="38">
        <f>$J36*INDEX(Stat_Phasing!$D$18:$K$26,MATCH($B36,Stat_Phasing!$B$18:$B$26,0),MATCH(AB$4,Stat_Phasing!$D$17:$K$17))</f>
        <v>0</v>
      </c>
      <c r="AC36" s="38">
        <f>$J36*INDEX(Stat_Phasing!$D$18:$K$26,MATCH($B36,Stat_Phasing!$B$18:$B$26,0),MATCH(AC$4,Stat_Phasing!$D$17:$K$17))</f>
        <v>0</v>
      </c>
      <c r="AD36" s="38">
        <f>$J36*INDEX(Stat_Phasing!$D$18:$K$26,MATCH($B36,Stat_Phasing!$B$18:$B$26,0),MATCH(AD$4,Stat_Phasing!$D$17:$K$17))</f>
        <v>0</v>
      </c>
      <c r="AE36" s="38"/>
      <c r="AF36" s="38">
        <f>SUM($K36:$L36)*INDEX(Stat_Phasing!$D$30:$K$38,MATCH($B36,Stat_Phasing!$B$30:$B$38,0),MATCH(AF$4,Stat_Phasing!$D$29:$K$29))</f>
        <v>0</v>
      </c>
      <c r="AG36" s="38">
        <f>SUM($K36:$L36)*INDEX(Stat_Phasing!$D$30:$K$38,MATCH($B36,Stat_Phasing!$B$30:$B$38,0),MATCH(AG$4,Stat_Phasing!$D$29:$K$29))</f>
        <v>0</v>
      </c>
      <c r="AH36" s="38">
        <f>SUM($K36:$L36)*INDEX(Stat_Phasing!$D$30:$K$38,MATCH($B36,Stat_Phasing!$B$30:$B$38,0),MATCH(AH$4,Stat_Phasing!$D$29:$K$29))</f>
        <v>0</v>
      </c>
      <c r="AI36" s="38">
        <f>SUM($K36:$L36)*INDEX(Stat_Phasing!$D$30:$K$38,MATCH($B36,Stat_Phasing!$B$30:$B$38,0),MATCH(AI$4,Stat_Phasing!$D$29:$K$29))</f>
        <v>0</v>
      </c>
      <c r="AJ36" s="38">
        <f>SUM($K36:$L36)*INDEX(Stat_Phasing!$D$30:$K$38,MATCH($B36,Stat_Phasing!$B$30:$B$38,0),MATCH(AJ$4,Stat_Phasing!$D$29:$K$29))</f>
        <v>0</v>
      </c>
      <c r="AK36" s="38">
        <f>SUM($K36:$L36)*INDEX(Stat_Phasing!$D$30:$K$38,MATCH($B36,Stat_Phasing!$B$30:$B$38,0),MATCH(AK$4,Stat_Phasing!$D$29:$K$29))</f>
        <v>0</v>
      </c>
      <c r="AL36" s="38">
        <f>SUM($K36:$L36)*INDEX(Stat_Phasing!$D$30:$K$38,MATCH($B36,Stat_Phasing!$B$30:$B$38,0),MATCH(AL$4,Stat_Phasing!$D$29:$K$29))</f>
        <v>0</v>
      </c>
      <c r="AM36" s="38">
        <f>SUM($K36:$L36)*INDEX(Stat_Phasing!$D$30:$K$38,MATCH($B36,Stat_Phasing!$B$30:$B$38,0),MATCH(AM$4,Stat_Phasing!$D$29:$K$29))</f>
        <v>0</v>
      </c>
      <c r="AN36" s="38"/>
      <c r="AO36" s="38">
        <f>$M36*INDEX(Stat_Phasing!$D$42:$K$50,MATCH($B36,Stat_Phasing!$B$42:$B$50,0),MATCH(AO$4,Stat_Phasing!$D$41:$K$41))</f>
        <v>0</v>
      </c>
      <c r="AP36" s="38">
        <f>$M36*INDEX(Stat_Phasing!$D$42:$K$50,MATCH($B36,Stat_Phasing!$B$42:$B$50,0),MATCH(AP$4,Stat_Phasing!$D$41:$K$41))</f>
        <v>0</v>
      </c>
      <c r="AQ36" s="38">
        <f>$M36*INDEX(Stat_Phasing!$D$42:$K$50,MATCH($B36,Stat_Phasing!$B$42:$B$50,0),MATCH(AQ$4,Stat_Phasing!$D$41:$K$41))</f>
        <v>0</v>
      </c>
      <c r="AR36" s="38">
        <f>$M36*INDEX(Stat_Phasing!$D$42:$K$50,MATCH($B36,Stat_Phasing!$B$42:$B$50,0),MATCH(AR$4,Stat_Phasing!$D$41:$K$41))</f>
        <v>0</v>
      </c>
      <c r="AS36" s="38">
        <f>$M36*INDEX(Stat_Phasing!$D$42:$K$50,MATCH($B36,Stat_Phasing!$B$42:$B$50,0),MATCH(AS$4,Stat_Phasing!$D$41:$K$41))</f>
        <v>0</v>
      </c>
      <c r="AT36" s="38">
        <f>$M36*INDEX(Stat_Phasing!$D$42:$K$50,MATCH($B36,Stat_Phasing!$B$42:$B$50,0),MATCH(AT$4,Stat_Phasing!$D$41:$K$41))</f>
        <v>0</v>
      </c>
      <c r="AU36" s="38">
        <f>$M36*INDEX(Stat_Phasing!$D$42:$K$50,MATCH($B36,Stat_Phasing!$B$42:$B$50,0),MATCH(AU$4,Stat_Phasing!$D$41:$K$41))</f>
        <v>0</v>
      </c>
      <c r="AV36" s="38">
        <f>$M36*INDEX(Stat_Phasing!$D$42:$K$50,MATCH($B36,Stat_Phasing!$B$42:$B$50,0),MATCH(AV$4,Stat_Phasing!$D$41:$K$41))</f>
        <v>0</v>
      </c>
      <c r="AW36" s="6"/>
      <c r="AX36" s="6">
        <f t="shared" si="17"/>
        <v>0</v>
      </c>
      <c r="AY36" s="6">
        <f t="shared" si="18"/>
        <v>0</v>
      </c>
      <c r="AZ36" s="6">
        <f t="shared" si="19"/>
        <v>0</v>
      </c>
      <c r="BA36" s="6">
        <f t="shared" si="20"/>
        <v>0</v>
      </c>
      <c r="BB36" s="6">
        <f t="shared" si="21"/>
        <v>0</v>
      </c>
      <c r="BC36" s="6">
        <f t="shared" si="5"/>
        <v>0</v>
      </c>
      <c r="BD36" s="6">
        <f t="shared" si="6"/>
        <v>0</v>
      </c>
      <c r="BE36" s="6">
        <f t="shared" si="7"/>
        <v>0</v>
      </c>
      <c r="BG36" s="14">
        <f t="shared" si="8"/>
        <v>0</v>
      </c>
      <c r="BH36" s="38">
        <f t="shared" si="15"/>
        <v>0</v>
      </c>
      <c r="BJ36" s="45"/>
      <c r="BK36" s="201"/>
      <c r="BL36" s="201"/>
      <c r="BM36" s="396"/>
      <c r="BN36" s="396"/>
      <c r="BO36" s="396"/>
      <c r="BP36" s="396"/>
    </row>
    <row r="37" spans="2:75" ht="14.4" customHeight="1" x14ac:dyDescent="0.3">
      <c r="B37" s="174"/>
      <c r="E37" s="8"/>
      <c r="F37" s="20"/>
      <c r="G37" s="20"/>
      <c r="H37" s="20"/>
      <c r="I37" s="390"/>
      <c r="J37" s="390"/>
      <c r="K37" s="390"/>
      <c r="L37" s="390"/>
      <c r="M37" s="390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6"/>
      <c r="AX37" s="6"/>
      <c r="AY37" s="6"/>
      <c r="AZ37" s="6"/>
      <c r="BA37" s="6"/>
      <c r="BB37" s="6"/>
      <c r="BC37" s="6"/>
      <c r="BD37" s="6"/>
      <c r="BE37" s="6"/>
      <c r="BG37" s="14"/>
      <c r="BH37" s="38"/>
      <c r="BJ37" s="45"/>
      <c r="BK37" s="201"/>
      <c r="BL37" s="201"/>
      <c r="BM37" s="396"/>
      <c r="BN37" s="396"/>
      <c r="BO37" s="396"/>
      <c r="BP37" s="396"/>
    </row>
    <row r="38" spans="2:75" ht="14.4" customHeight="1" x14ac:dyDescent="0.3">
      <c r="B38" s="25" t="s">
        <v>17</v>
      </c>
      <c r="E38" s="8"/>
      <c r="F38" s="8"/>
      <c r="G38" s="8"/>
      <c r="H38" s="8"/>
      <c r="I38" s="8"/>
      <c r="J38" s="8"/>
      <c r="K38" s="8"/>
      <c r="L38" s="8"/>
      <c r="M38" s="8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J38" s="45"/>
      <c r="BK38" s="201"/>
      <c r="BL38" s="201"/>
      <c r="BM38" s="396"/>
      <c r="BN38" s="396"/>
      <c r="BO38" s="396"/>
      <c r="BP38" s="396"/>
    </row>
    <row r="39" spans="2:75" ht="14.4" customHeight="1" x14ac:dyDescent="0.3">
      <c r="B39" s="174" t="str">
        <f>STN_1</f>
        <v>RWN</v>
      </c>
      <c r="C39" s="17">
        <f>INDEX(Schedule!$C$15:$E$23,MATCH($B39,Schedule!$B$15:$B$23,0),1)</f>
        <v>43191</v>
      </c>
      <c r="D39" s="17">
        <f>INDEX(Schedule!$C$15:$E$23,MATCH($B39,Schedule!$B$15:$B$23,0),2)</f>
        <v>43466</v>
      </c>
      <c r="E39" s="17">
        <f>INDEX(Schedule!$C$15:$E$23,MATCH($B39,Schedule!$B$15:$B$23,0),3)</f>
        <v>43709</v>
      </c>
      <c r="F39" s="8" t="s">
        <v>42</v>
      </c>
      <c r="G39" s="8" t="s">
        <v>19</v>
      </c>
      <c r="H39" s="20" t="str">
        <f t="shared" ref="H39:H56" si="46">G39&amp;F39</f>
        <v>Distribution system assetsAugmentation</v>
      </c>
      <c r="I39" s="38">
        <f>RWN_Det!K114</f>
        <v>92.375097674418583</v>
      </c>
      <c r="J39" s="38">
        <f>RWN_Det!L114</f>
        <v>136.2033149772451</v>
      </c>
      <c r="K39" s="38">
        <f>RWN_Det!M114</f>
        <v>145.05533023255813</v>
      </c>
      <c r="L39" s="38">
        <f>RWN_Det!N114</f>
        <v>283.67043783621534</v>
      </c>
      <c r="M39" s="38">
        <f>RWN_Det!O114</f>
        <v>25.427501982264111</v>
      </c>
      <c r="N39" s="38"/>
      <c r="O39" s="6"/>
      <c r="P39" s="6">
        <f>I39</f>
        <v>92.375097674418583</v>
      </c>
      <c r="Q39" s="6"/>
      <c r="R39" s="6"/>
      <c r="S39" s="6"/>
      <c r="T39" s="6"/>
      <c r="U39" s="6"/>
      <c r="V39" s="6"/>
      <c r="W39" s="6"/>
      <c r="X39" s="6"/>
      <c r="Y39" s="6"/>
      <c r="Z39" s="6">
        <f>J39</f>
        <v>136.2033149772451</v>
      </c>
      <c r="AA39" s="6"/>
      <c r="AB39" s="6"/>
      <c r="AC39" s="6"/>
      <c r="AD39" s="6"/>
      <c r="AE39" s="6"/>
      <c r="AF39" s="6"/>
      <c r="AG39" s="6"/>
      <c r="AH39" s="6">
        <f>K39</f>
        <v>145.05533023255813</v>
      </c>
      <c r="AI39" s="6">
        <f t="shared" ref="AI39:AI40" si="47">L39</f>
        <v>283.67043783621534</v>
      </c>
      <c r="AJ39" s="6"/>
      <c r="AK39" s="6"/>
      <c r="AL39" s="6"/>
      <c r="AM39" s="6"/>
      <c r="AN39" s="6"/>
      <c r="AO39" s="6"/>
      <c r="AP39" s="6"/>
      <c r="AQ39" s="6"/>
      <c r="AR39" s="6">
        <f>M39</f>
        <v>25.427501982264111</v>
      </c>
      <c r="AS39" s="6"/>
      <c r="AT39" s="6"/>
      <c r="AU39" s="6"/>
      <c r="AV39" s="6"/>
      <c r="AW39" s="6"/>
      <c r="AX39" s="6">
        <f>N39+W39+AF39+AO39</f>
        <v>0</v>
      </c>
      <c r="AY39" s="6">
        <f t="shared" ref="AY39:AY41" si="48">O39+X39+AG39+AP39</f>
        <v>0</v>
      </c>
      <c r="AZ39" s="6">
        <f t="shared" ref="AZ39:AZ41" si="49">P39+Y39+AH39+AQ39</f>
        <v>237.43042790697672</v>
      </c>
      <c r="BA39" s="6">
        <f t="shared" ref="BA39:BA41" si="50">Q39+Z39+AI39+AR39</f>
        <v>445.30125479572456</v>
      </c>
      <c r="BB39" s="6">
        <f t="shared" ref="BB39:BB41" si="51">R39+AA39+AJ39+AS39</f>
        <v>0</v>
      </c>
      <c r="BC39" s="6">
        <f t="shared" ref="BC39:BC56" si="52">S39+AB39+AK39+AT39</f>
        <v>0</v>
      </c>
      <c r="BD39" s="6">
        <f t="shared" ref="BD39:BD56" si="53">T39+AC39+AL39+AU39</f>
        <v>0</v>
      </c>
      <c r="BE39" s="6">
        <f t="shared" ref="BE39:BE56" si="54">U39+AD39+AM39+AV39</f>
        <v>0</v>
      </c>
      <c r="BG39" s="201">
        <f t="shared" ref="BG39:BG56" si="55">SUM(AX39:BE39)</f>
        <v>682.73168270270128</v>
      </c>
      <c r="BH39" s="346">
        <f>BG39-RWN_Det!P114</f>
        <v>0</v>
      </c>
      <c r="BJ39" s="45"/>
      <c r="BK39" s="201"/>
      <c r="BL39" s="201"/>
      <c r="BM39" s="396"/>
      <c r="BN39" s="396"/>
      <c r="BO39" s="396"/>
      <c r="BP39" s="396"/>
    </row>
    <row r="40" spans="2:75" ht="14.4" customHeight="1" x14ac:dyDescent="0.3">
      <c r="B40" s="174" t="str">
        <f>STN_1</f>
        <v>RWN</v>
      </c>
      <c r="C40" s="17">
        <f>INDEX(Schedule!$C$15:$E$23,MATCH($B40,Schedule!$B$15:$B$23,0),1)</f>
        <v>43191</v>
      </c>
      <c r="D40" s="17">
        <f>INDEX(Schedule!$C$15:$E$23,MATCH($B40,Schedule!$B$15:$B$23,0),2)</f>
        <v>43466</v>
      </c>
      <c r="E40" s="17">
        <f>INDEX(Schedule!$C$15:$E$23,MATCH($B40,Schedule!$B$15:$B$23,0),3)</f>
        <v>43709</v>
      </c>
      <c r="F40" s="8" t="s">
        <v>44</v>
      </c>
      <c r="G40" s="8" t="s">
        <v>19</v>
      </c>
      <c r="H40" s="20" t="str">
        <f t="shared" si="46"/>
        <v>Distribution system assetsReplacement</v>
      </c>
      <c r="I40" s="38">
        <f>RWN_Det!K115</f>
        <v>0</v>
      </c>
      <c r="J40" s="38">
        <f>RWN_Det!L115</f>
        <v>1.2581768759185463</v>
      </c>
      <c r="K40" s="38">
        <f>RWN_Det!M115</f>
        <v>0</v>
      </c>
      <c r="L40" s="38">
        <f>RWN_Det!N115</f>
        <v>49.916208595348827</v>
      </c>
      <c r="M40" s="38">
        <f>RWN_Det!O115</f>
        <v>0</v>
      </c>
      <c r="N40" s="38"/>
      <c r="O40" s="6"/>
      <c r="P40" s="6">
        <f>I40</f>
        <v>0</v>
      </c>
      <c r="Q40" s="38"/>
      <c r="R40" s="38"/>
      <c r="S40" s="38"/>
      <c r="T40" s="38"/>
      <c r="U40" s="38"/>
      <c r="V40" s="6"/>
      <c r="W40" s="6"/>
      <c r="X40" s="6"/>
      <c r="Y40" s="6"/>
      <c r="Z40" s="6">
        <f>J40</f>
        <v>1.2581768759185463</v>
      </c>
      <c r="AA40" s="6"/>
      <c r="AB40" s="6"/>
      <c r="AC40" s="6"/>
      <c r="AD40" s="6"/>
      <c r="AE40" s="6"/>
      <c r="AF40" s="6"/>
      <c r="AG40" s="6"/>
      <c r="AH40" s="6">
        <f t="shared" ref="AH40:AH56" si="56">K40</f>
        <v>0</v>
      </c>
      <c r="AI40" s="6">
        <f t="shared" si="47"/>
        <v>49.916208595348827</v>
      </c>
      <c r="AJ40" s="6"/>
      <c r="AK40" s="6"/>
      <c r="AL40" s="6"/>
      <c r="AM40" s="6"/>
      <c r="AN40" s="6"/>
      <c r="AO40" s="6"/>
      <c r="AP40" s="6"/>
      <c r="AQ40" s="6"/>
      <c r="AR40" s="6">
        <f>M40</f>
        <v>0</v>
      </c>
      <c r="AS40" s="6"/>
      <c r="AT40" s="6"/>
      <c r="AU40" s="6"/>
      <c r="AV40" s="6"/>
      <c r="AW40" s="6"/>
      <c r="AX40" s="6">
        <f>N40+W40+AF40+AO40</f>
        <v>0</v>
      </c>
      <c r="AY40" s="6">
        <f t="shared" ref="AY40" si="57">O40+X40+AG40+AP40</f>
        <v>0</v>
      </c>
      <c r="AZ40" s="6">
        <f t="shared" ref="AZ40" si="58">P40+Y40+AH40+AQ40</f>
        <v>0</v>
      </c>
      <c r="BA40" s="6">
        <f t="shared" ref="BA40" si="59">Q40+Z40+AI40+AR40</f>
        <v>51.174385471267371</v>
      </c>
      <c r="BB40" s="6">
        <f t="shared" ref="BB40" si="60">R40+AA40+AJ40+AS40</f>
        <v>0</v>
      </c>
      <c r="BC40" s="6">
        <f t="shared" si="52"/>
        <v>0</v>
      </c>
      <c r="BD40" s="6">
        <f t="shared" si="53"/>
        <v>0</v>
      </c>
      <c r="BE40" s="6">
        <f t="shared" si="54"/>
        <v>0</v>
      </c>
      <c r="BG40" s="201">
        <f t="shared" si="55"/>
        <v>51.174385471267371</v>
      </c>
      <c r="BH40" s="346">
        <f>BG40-RWN_Det!P115</f>
        <v>0</v>
      </c>
      <c r="BJ40" s="45"/>
      <c r="BK40" s="201"/>
      <c r="BL40" s="201"/>
      <c r="BM40" s="396"/>
      <c r="BN40" s="396"/>
      <c r="BO40" s="396"/>
      <c r="BP40" s="396"/>
    </row>
    <row r="41" spans="2:75" ht="14.4" customHeight="1" x14ac:dyDescent="0.3">
      <c r="B41" s="174" t="str">
        <f>STN_2</f>
        <v>ELM</v>
      </c>
      <c r="C41" s="17">
        <f>INDEX(Schedule!$C$15:$E$23,MATCH($B41,Schedule!$B$15:$B$23,0),1)</f>
        <v>43282</v>
      </c>
      <c r="D41" s="17">
        <f>INDEX(Schedule!$C$15:$E$23,MATCH($B41,Schedule!$B$15:$B$23,0),2)</f>
        <v>43647</v>
      </c>
      <c r="E41" s="17">
        <f>INDEX(Schedule!$C$15:$E$23,MATCH($B41,Schedule!$B$15:$B$23,0),3)</f>
        <v>44105</v>
      </c>
      <c r="F41" s="8" t="s">
        <v>42</v>
      </c>
      <c r="G41" s="8" t="s">
        <v>19</v>
      </c>
      <c r="H41" s="20" t="str">
        <f t="shared" si="46"/>
        <v>Distribution system assetsAugmentation</v>
      </c>
      <c r="I41" s="390">
        <f>ELM_Det!K117</f>
        <v>338.36129116279062</v>
      </c>
      <c r="J41" s="390">
        <f>ELM_Det!L117</f>
        <v>236.82944770188746</v>
      </c>
      <c r="K41" s="390">
        <f>ELM_Det!M117</f>
        <v>199.45107906976745</v>
      </c>
      <c r="L41" s="390">
        <f>ELM_Det!N117</f>
        <v>883.27519775677956</v>
      </c>
      <c r="M41" s="390">
        <f>ELM_Det!O117</f>
        <v>92.042799427033458</v>
      </c>
      <c r="N41" s="38"/>
      <c r="O41" s="6"/>
      <c r="P41" s="6">
        <f>$I41*0.5</f>
        <v>169.18064558139531</v>
      </c>
      <c r="Q41" s="6">
        <f>$I41*0.5</f>
        <v>169.18064558139531</v>
      </c>
      <c r="R41" s="6"/>
      <c r="S41" s="6"/>
      <c r="T41" s="6"/>
      <c r="U41" s="6"/>
      <c r="V41" s="6"/>
      <c r="W41" s="6"/>
      <c r="X41" s="6"/>
      <c r="Y41" s="6"/>
      <c r="Z41" s="6">
        <f>$J41*0.5</f>
        <v>118.41472385094373</v>
      </c>
      <c r="AA41" s="6">
        <f t="shared" ref="AA41:AA56" si="61">$J41*0.5</f>
        <v>118.41472385094373</v>
      </c>
      <c r="AB41" s="6"/>
      <c r="AC41" s="6"/>
      <c r="AD41" s="6"/>
      <c r="AE41" s="6"/>
      <c r="AF41" s="6"/>
      <c r="AG41" s="6"/>
      <c r="AH41" s="6">
        <f t="shared" si="56"/>
        <v>199.45107906976745</v>
      </c>
      <c r="AI41" s="6">
        <f>$L41*0.5</f>
        <v>441.63759887838978</v>
      </c>
      <c r="AJ41" s="6">
        <f t="shared" ref="AJ41:AJ56" si="62">$L41*0.5</f>
        <v>441.63759887838978</v>
      </c>
      <c r="AK41" s="6"/>
      <c r="AL41" s="6"/>
      <c r="AM41" s="6"/>
      <c r="AN41" s="6"/>
      <c r="AO41" s="6"/>
      <c r="AP41" s="6"/>
      <c r="AQ41" s="6"/>
      <c r="AR41" s="6">
        <f>$M41*0.5</f>
        <v>46.021399713516729</v>
      </c>
      <c r="AS41" s="6">
        <f t="shared" ref="AS41:AS56" si="63">$M41*0.5</f>
        <v>46.021399713516729</v>
      </c>
      <c r="AT41" s="6"/>
      <c r="AU41" s="6"/>
      <c r="AV41" s="6"/>
      <c r="AW41" s="6"/>
      <c r="AX41" s="6">
        <f t="shared" ref="AX41" si="64">N41+W41+AF41+AO41</f>
        <v>0</v>
      </c>
      <c r="AY41" s="6">
        <f t="shared" si="48"/>
        <v>0</v>
      </c>
      <c r="AZ41" s="6">
        <f t="shared" si="49"/>
        <v>368.63172465116276</v>
      </c>
      <c r="BA41" s="6">
        <f t="shared" si="50"/>
        <v>775.25436802424565</v>
      </c>
      <c r="BB41" s="6">
        <f t="shared" si="51"/>
        <v>606.07372244285023</v>
      </c>
      <c r="BC41" s="6">
        <f t="shared" si="52"/>
        <v>0</v>
      </c>
      <c r="BD41" s="6">
        <f t="shared" si="53"/>
        <v>0</v>
      </c>
      <c r="BE41" s="6">
        <f t="shared" si="54"/>
        <v>0</v>
      </c>
      <c r="BG41" s="14">
        <f t="shared" si="55"/>
        <v>1749.9598151182586</v>
      </c>
      <c r="BH41" s="11">
        <f>BG41-ELM_Det!P117</f>
        <v>0</v>
      </c>
      <c r="BJ41" s="45"/>
      <c r="BK41" s="201"/>
      <c r="BL41" s="201"/>
      <c r="BM41" s="396"/>
      <c r="BN41" s="396"/>
      <c r="BO41" s="396"/>
      <c r="BP41" s="396"/>
    </row>
    <row r="42" spans="2:75" x14ac:dyDescent="0.3">
      <c r="B42" s="174" t="str">
        <f>STN_2</f>
        <v>ELM</v>
      </c>
      <c r="C42" s="17">
        <f>INDEX(Schedule!$C$15:$E$23,MATCH($B42,Schedule!$B$15:$B$23,0),1)</f>
        <v>43282</v>
      </c>
      <c r="D42" s="17">
        <f>INDEX(Schedule!$C$15:$E$23,MATCH($B42,Schedule!$B$15:$B$23,0),2)</f>
        <v>43647</v>
      </c>
      <c r="E42" s="17">
        <f>INDEX(Schedule!$C$15:$E$23,MATCH($B42,Schedule!$B$15:$B$23,0),3)</f>
        <v>44105</v>
      </c>
      <c r="F42" s="8" t="s">
        <v>44</v>
      </c>
      <c r="G42" s="8" t="s">
        <v>19</v>
      </c>
      <c r="H42" s="20" t="str">
        <f t="shared" si="46"/>
        <v>Distribution system assetsReplacement</v>
      </c>
      <c r="I42" s="390">
        <f>ELM_Det!K118</f>
        <v>0</v>
      </c>
      <c r="J42" s="390">
        <f>ELM_Det!L118</f>
        <v>3.3027142992861842</v>
      </c>
      <c r="K42" s="390">
        <f>ELM_Det!M118</f>
        <v>0</v>
      </c>
      <c r="L42" s="390">
        <f>ELM_Det!N118</f>
        <v>99.858844074418585</v>
      </c>
      <c r="M42" s="390">
        <f>ELM_Det!O118</f>
        <v>0</v>
      </c>
      <c r="N42" s="38"/>
      <c r="O42" s="6"/>
      <c r="P42" s="6">
        <f>$I42*0.5</f>
        <v>0</v>
      </c>
      <c r="Q42" s="6">
        <f>$I42*0.5</f>
        <v>0</v>
      </c>
      <c r="R42" s="6"/>
      <c r="S42" s="6"/>
      <c r="T42" s="6"/>
      <c r="U42" s="6"/>
      <c r="V42" s="6"/>
      <c r="W42" s="6"/>
      <c r="X42" s="6"/>
      <c r="Y42" s="6"/>
      <c r="Z42" s="6">
        <f t="shared" ref="Z42:Z56" si="65">$J42*0.5</f>
        <v>1.6513571496430921</v>
      </c>
      <c r="AA42" s="6">
        <f t="shared" si="61"/>
        <v>1.6513571496430921</v>
      </c>
      <c r="AB42" s="6"/>
      <c r="AC42" s="6"/>
      <c r="AD42" s="6"/>
      <c r="AE42" s="6"/>
      <c r="AF42" s="6"/>
      <c r="AG42" s="6"/>
      <c r="AH42" s="6">
        <f t="shared" si="56"/>
        <v>0</v>
      </c>
      <c r="AI42" s="6">
        <f t="shared" ref="AI42:AI56" si="66">$L42*0.5</f>
        <v>49.929422037209292</v>
      </c>
      <c r="AJ42" s="6">
        <f t="shared" si="62"/>
        <v>49.929422037209292</v>
      </c>
      <c r="AK42" s="6"/>
      <c r="AL42" s="6"/>
      <c r="AM42" s="6"/>
      <c r="AN42" s="6"/>
      <c r="AO42" s="6"/>
      <c r="AP42" s="6"/>
      <c r="AQ42" s="6"/>
      <c r="AR42" s="6">
        <f t="shared" ref="AR42:AR56" si="67">$M42*0.5</f>
        <v>0</v>
      </c>
      <c r="AS42" s="6">
        <f t="shared" si="63"/>
        <v>0</v>
      </c>
      <c r="AT42" s="6"/>
      <c r="AU42" s="6"/>
      <c r="AV42" s="6"/>
      <c r="AW42" s="6"/>
      <c r="AX42" s="6">
        <f t="shared" ref="AX42:AX56" si="68">N42+W42+AF42+AO42</f>
        <v>0</v>
      </c>
      <c r="AY42" s="6">
        <f t="shared" ref="AY42:AY56" si="69">O42+X42+AG42+AP42</f>
        <v>0</v>
      </c>
      <c r="AZ42" s="6">
        <f t="shared" ref="AZ42:AZ56" si="70">P42+Y42+AH42+AQ42</f>
        <v>0</v>
      </c>
      <c r="BA42" s="6">
        <f t="shared" ref="BA42:BA56" si="71">Q42+Z42+AI42+AR42</f>
        <v>51.580779186852382</v>
      </c>
      <c r="BB42" s="6">
        <f t="shared" ref="BB42:BB56" si="72">R42+AA42+AJ42+AS42</f>
        <v>51.580779186852382</v>
      </c>
      <c r="BC42" s="6">
        <f t="shared" si="52"/>
        <v>0</v>
      </c>
      <c r="BD42" s="6">
        <f t="shared" si="53"/>
        <v>0</v>
      </c>
      <c r="BE42" s="6">
        <f t="shared" si="54"/>
        <v>0</v>
      </c>
      <c r="BG42" s="14">
        <f t="shared" si="55"/>
        <v>103.16155837370476</v>
      </c>
      <c r="BH42" s="11">
        <f>BG42-ELM_Det!P118</f>
        <v>0</v>
      </c>
      <c r="BJ42" s="45"/>
      <c r="BK42" s="201"/>
      <c r="BL42" s="201"/>
      <c r="BM42" s="396"/>
      <c r="BN42" s="396"/>
      <c r="BO42" s="396"/>
      <c r="BP42" s="396"/>
    </row>
    <row r="43" spans="2:75" x14ac:dyDescent="0.3">
      <c r="B43" s="174" t="str">
        <f>STN_3</f>
        <v>FGY</v>
      </c>
      <c r="C43" s="17">
        <f>INDEX(Schedule!$C$15:$E$23,MATCH($B43,Schedule!$B$15:$B$23,0),1)</f>
        <v>43330</v>
      </c>
      <c r="D43" s="17">
        <f>INDEX(Schedule!$C$15:$E$23,MATCH($B43,Schedule!$B$15:$B$23,0),2)</f>
        <v>43586</v>
      </c>
      <c r="E43" s="17">
        <f>INDEX(Schedule!$C$15:$E$23,MATCH($B43,Schedule!$B$15:$B$23,0),3)</f>
        <v>44075</v>
      </c>
      <c r="F43" s="8" t="s">
        <v>42</v>
      </c>
      <c r="G43" s="8" t="s">
        <v>19</v>
      </c>
      <c r="H43" s="20" t="str">
        <f t="shared" si="46"/>
        <v>Distribution system assetsAugmentation</v>
      </c>
      <c r="I43" s="390">
        <f>FGY_Det!K115</f>
        <v>205.27887627906975</v>
      </c>
      <c r="J43" s="390">
        <f>FGY_Det!L115</f>
        <v>210.20783802145417</v>
      </c>
      <c r="K43" s="390">
        <f>FGY_Det!M115</f>
        <v>217.58299534883719</v>
      </c>
      <c r="L43" s="390">
        <f>FGY_Det!N115</f>
        <v>455.83146450876211</v>
      </c>
      <c r="M43" s="390">
        <f>FGY_Det!O115</f>
        <v>45.961209040098481</v>
      </c>
      <c r="N43" s="38"/>
      <c r="O43" s="6"/>
      <c r="P43" s="6">
        <f>$I43*0.6</f>
        <v>123.16732576744184</v>
      </c>
      <c r="Q43" s="6">
        <f>$I43*0.4</f>
        <v>82.111550511627911</v>
      </c>
      <c r="R43" s="6"/>
      <c r="S43" s="6"/>
      <c r="T43" s="6"/>
      <c r="U43" s="6"/>
      <c r="V43" s="6"/>
      <c r="W43" s="6"/>
      <c r="X43" s="6"/>
      <c r="Y43" s="6"/>
      <c r="Z43" s="6">
        <f t="shared" si="65"/>
        <v>105.10391901072708</v>
      </c>
      <c r="AA43" s="6">
        <f t="shared" si="61"/>
        <v>105.10391901072708</v>
      </c>
      <c r="AB43" s="6"/>
      <c r="AC43" s="6"/>
      <c r="AD43" s="6"/>
      <c r="AE43" s="6"/>
      <c r="AF43" s="6"/>
      <c r="AG43" s="6"/>
      <c r="AH43" s="6">
        <f t="shared" si="56"/>
        <v>217.58299534883719</v>
      </c>
      <c r="AI43" s="6">
        <f t="shared" si="66"/>
        <v>227.91573225438106</v>
      </c>
      <c r="AJ43" s="6">
        <f t="shared" si="62"/>
        <v>227.91573225438106</v>
      </c>
      <c r="AK43" s="6"/>
      <c r="AL43" s="6"/>
      <c r="AM43" s="6"/>
      <c r="AN43" s="6"/>
      <c r="AO43" s="6"/>
      <c r="AP43" s="6"/>
      <c r="AQ43" s="6"/>
      <c r="AR43" s="6">
        <f t="shared" si="67"/>
        <v>22.980604520049241</v>
      </c>
      <c r="AS43" s="6">
        <f t="shared" si="63"/>
        <v>22.980604520049241</v>
      </c>
      <c r="AT43" s="6"/>
      <c r="AU43" s="6"/>
      <c r="AV43" s="6"/>
      <c r="AW43" s="6"/>
      <c r="AX43" s="6">
        <f t="shared" si="68"/>
        <v>0</v>
      </c>
      <c r="AY43" s="6">
        <f t="shared" si="69"/>
        <v>0</v>
      </c>
      <c r="AZ43" s="6">
        <f t="shared" si="70"/>
        <v>340.750321116279</v>
      </c>
      <c r="BA43" s="6">
        <f t="shared" si="71"/>
        <v>438.11180629678529</v>
      </c>
      <c r="BB43" s="6">
        <f t="shared" si="72"/>
        <v>356.00025578515738</v>
      </c>
      <c r="BC43" s="6">
        <f t="shared" si="52"/>
        <v>0</v>
      </c>
      <c r="BD43" s="6">
        <f t="shared" si="53"/>
        <v>0</v>
      </c>
      <c r="BE43" s="6">
        <f t="shared" si="54"/>
        <v>0</v>
      </c>
      <c r="BG43" s="14">
        <f t="shared" si="55"/>
        <v>1134.8623831982218</v>
      </c>
      <c r="BH43" s="11">
        <f>BG43-FGY_Det!P115</f>
        <v>0</v>
      </c>
      <c r="BJ43" s="45"/>
      <c r="BK43" s="45"/>
      <c r="BL43" s="45"/>
      <c r="BM43" s="45"/>
      <c r="BN43" s="45"/>
      <c r="BO43" s="45"/>
      <c r="BP43" s="45"/>
    </row>
    <row r="44" spans="2:75" x14ac:dyDescent="0.3">
      <c r="B44" s="174" t="str">
        <f>STN_3</f>
        <v>FGY</v>
      </c>
      <c r="C44" s="17">
        <f>INDEX(Schedule!$C$15:$E$23,MATCH($B44,Schedule!$B$15:$B$23,0),1)</f>
        <v>43330</v>
      </c>
      <c r="D44" s="17">
        <f>INDEX(Schedule!$C$15:$E$23,MATCH($B44,Schedule!$B$15:$B$23,0),2)</f>
        <v>43586</v>
      </c>
      <c r="E44" s="17">
        <f>INDEX(Schedule!$C$15:$E$23,MATCH($B44,Schedule!$B$15:$B$23,0),3)</f>
        <v>44075</v>
      </c>
      <c r="F44" s="8" t="s">
        <v>44</v>
      </c>
      <c r="G44" s="8" t="s">
        <v>19</v>
      </c>
      <c r="H44" s="20" t="str">
        <f t="shared" si="46"/>
        <v>Distribution system assetsReplacement</v>
      </c>
      <c r="I44" s="390">
        <f>FGY_Det!K116</f>
        <v>0</v>
      </c>
      <c r="J44" s="390">
        <f>FGY_Det!L116</f>
        <v>1.1009047664287279</v>
      </c>
      <c r="K44" s="390">
        <f>FGY_Det!M116</f>
        <v>0</v>
      </c>
      <c r="L44" s="390">
        <f>FGY_Det!N116</f>
        <v>45.433723218604641</v>
      </c>
      <c r="M44" s="390">
        <f>FGY_Det!O116</f>
        <v>0</v>
      </c>
      <c r="N44" s="38"/>
      <c r="O44" s="6"/>
      <c r="P44" s="6">
        <f>$I44*0.6</f>
        <v>0</v>
      </c>
      <c r="Q44" s="6">
        <f>$I44*0.4</f>
        <v>0</v>
      </c>
      <c r="R44" s="6"/>
      <c r="S44" s="6"/>
      <c r="T44" s="6"/>
      <c r="U44" s="6"/>
      <c r="V44" s="6"/>
      <c r="W44" s="6"/>
      <c r="X44" s="6"/>
      <c r="Y44" s="6"/>
      <c r="Z44" s="6">
        <f t="shared" si="65"/>
        <v>0.55045238321436396</v>
      </c>
      <c r="AA44" s="6">
        <f t="shared" si="61"/>
        <v>0.55045238321436396</v>
      </c>
      <c r="AB44" s="6"/>
      <c r="AC44" s="6"/>
      <c r="AD44" s="6"/>
      <c r="AE44" s="6"/>
      <c r="AF44" s="6"/>
      <c r="AG44" s="6"/>
      <c r="AH44" s="6">
        <f t="shared" si="56"/>
        <v>0</v>
      </c>
      <c r="AI44" s="6">
        <f t="shared" si="66"/>
        <v>22.71686160930232</v>
      </c>
      <c r="AJ44" s="6">
        <f t="shared" si="62"/>
        <v>22.71686160930232</v>
      </c>
      <c r="AK44" s="6"/>
      <c r="AL44" s="6"/>
      <c r="AM44" s="6"/>
      <c r="AN44" s="6"/>
      <c r="AO44" s="6"/>
      <c r="AP44" s="6"/>
      <c r="AQ44" s="6"/>
      <c r="AR44" s="6">
        <f t="shared" si="67"/>
        <v>0</v>
      </c>
      <c r="AS44" s="6">
        <f t="shared" si="63"/>
        <v>0</v>
      </c>
      <c r="AT44" s="6"/>
      <c r="AU44" s="6"/>
      <c r="AV44" s="6"/>
      <c r="AW44" s="6"/>
      <c r="AX44" s="6">
        <f t="shared" si="68"/>
        <v>0</v>
      </c>
      <c r="AY44" s="6">
        <f t="shared" si="69"/>
        <v>0</v>
      </c>
      <c r="AZ44" s="6">
        <f t="shared" si="70"/>
        <v>0</v>
      </c>
      <c r="BA44" s="6">
        <f t="shared" si="71"/>
        <v>23.267313992516684</v>
      </c>
      <c r="BB44" s="6">
        <f t="shared" si="72"/>
        <v>23.267313992516684</v>
      </c>
      <c r="BC44" s="6">
        <f t="shared" si="52"/>
        <v>0</v>
      </c>
      <c r="BD44" s="6">
        <f t="shared" si="53"/>
        <v>0</v>
      </c>
      <c r="BE44" s="6">
        <f t="shared" si="54"/>
        <v>0</v>
      </c>
      <c r="BG44" s="14">
        <f t="shared" si="55"/>
        <v>46.534627985033367</v>
      </c>
      <c r="BH44" s="11">
        <f>BG44-FGY_Det!P116</f>
        <v>0</v>
      </c>
      <c r="BJ44" s="45"/>
      <c r="BK44" s="201"/>
      <c r="BL44" s="201"/>
      <c r="BM44" s="201"/>
      <c r="BN44" s="201"/>
      <c r="BO44" s="201"/>
      <c r="BP44" s="201"/>
    </row>
    <row r="45" spans="2:75" x14ac:dyDescent="0.3">
      <c r="B45" s="174" t="str">
        <f>STN_4</f>
        <v>WOTS22</v>
      </c>
      <c r="C45" s="17">
        <f>INDEX(Schedule!$C$15:$E$23,MATCH($B45,Schedule!$B$15:$B$23,0),1)</f>
        <v>43238</v>
      </c>
      <c r="D45" s="17">
        <f>INDEX(Schedule!$C$15:$E$23,MATCH($B45,Schedule!$B$15:$B$23,0),2)</f>
        <v>43525</v>
      </c>
      <c r="E45" s="17">
        <f>INDEX(Schedule!$C$15:$E$23,MATCH($B45,Schedule!$B$15:$B$23,0),3)</f>
        <v>44061</v>
      </c>
      <c r="F45" s="8" t="s">
        <v>42</v>
      </c>
      <c r="G45" s="8" t="s">
        <v>19</v>
      </c>
      <c r="H45" s="20" t="str">
        <f t="shared" si="46"/>
        <v>Distribution system assetsAugmentation</v>
      </c>
      <c r="I45" s="390">
        <f>WOTS22_Det!K114</f>
        <v>635.96667534883716</v>
      </c>
      <c r="J45" s="390">
        <f>WOTS22_Det!L114</f>
        <v>255.24533967223158</v>
      </c>
      <c r="K45" s="390">
        <f>WOTS22_Det!M114</f>
        <v>108.79149767441859</v>
      </c>
      <c r="L45" s="390">
        <f>WOTS22_Det!N114</f>
        <v>1787.5113532053902</v>
      </c>
      <c r="M45" s="390">
        <f>WOTS22_Det!O114</f>
        <v>192.71497888417798</v>
      </c>
      <c r="N45" s="6"/>
      <c r="O45" s="6"/>
      <c r="P45" s="6">
        <f>I45</f>
        <v>635.96667534883716</v>
      </c>
      <c r="Q45" s="6"/>
      <c r="R45" s="6"/>
      <c r="S45" s="6"/>
      <c r="T45" s="6"/>
      <c r="U45" s="6"/>
      <c r="V45" s="6"/>
      <c r="W45" s="6"/>
      <c r="X45" s="6"/>
      <c r="Y45" s="6"/>
      <c r="Z45" s="6">
        <f t="shared" si="65"/>
        <v>127.62266983611579</v>
      </c>
      <c r="AA45" s="6">
        <f t="shared" si="61"/>
        <v>127.62266983611579</v>
      </c>
      <c r="AB45" s="6"/>
      <c r="AC45" s="6"/>
      <c r="AD45" s="6"/>
      <c r="AE45" s="6"/>
      <c r="AF45" s="6"/>
      <c r="AG45" s="6"/>
      <c r="AH45" s="6">
        <f t="shared" si="56"/>
        <v>108.79149767441859</v>
      </c>
      <c r="AI45" s="6">
        <f t="shared" si="66"/>
        <v>893.75567660269508</v>
      </c>
      <c r="AJ45" s="6">
        <f t="shared" si="62"/>
        <v>893.75567660269508</v>
      </c>
      <c r="AK45" s="6"/>
      <c r="AL45" s="6"/>
      <c r="AM45" s="6"/>
      <c r="AN45" s="6"/>
      <c r="AO45" s="6"/>
      <c r="AP45" s="6"/>
      <c r="AQ45" s="6"/>
      <c r="AR45" s="6">
        <f t="shared" si="67"/>
        <v>96.35748944208899</v>
      </c>
      <c r="AS45" s="6">
        <f t="shared" si="63"/>
        <v>96.35748944208899</v>
      </c>
      <c r="AT45" s="6"/>
      <c r="AU45" s="6"/>
      <c r="AV45" s="6"/>
      <c r="AW45" s="6"/>
      <c r="AX45" s="6">
        <f t="shared" si="68"/>
        <v>0</v>
      </c>
      <c r="AY45" s="6">
        <f t="shared" si="69"/>
        <v>0</v>
      </c>
      <c r="AZ45" s="6">
        <f t="shared" si="70"/>
        <v>744.75817302325572</v>
      </c>
      <c r="BA45" s="6">
        <f t="shared" si="71"/>
        <v>1117.7358358808999</v>
      </c>
      <c r="BB45" s="6">
        <f t="shared" si="72"/>
        <v>1117.7358358808999</v>
      </c>
      <c r="BC45" s="6">
        <f t="shared" si="52"/>
        <v>0</v>
      </c>
      <c r="BD45" s="6">
        <f t="shared" si="53"/>
        <v>0</v>
      </c>
      <c r="BE45" s="6">
        <f t="shared" si="54"/>
        <v>0</v>
      </c>
      <c r="BG45" s="14">
        <f t="shared" si="55"/>
        <v>2980.2298447850553</v>
      </c>
      <c r="BH45" s="11">
        <f>BG45-WOTS22_Det!P114</f>
        <v>0</v>
      </c>
      <c r="BJ45" s="45"/>
      <c r="BK45" s="347"/>
      <c r="BL45" s="347"/>
      <c r="BM45" s="347"/>
      <c r="BN45" s="347"/>
      <c r="BO45" s="347"/>
      <c r="BP45" s="347"/>
    </row>
    <row r="46" spans="2:75" x14ac:dyDescent="0.3">
      <c r="B46" s="174" t="str">
        <f>STN_4</f>
        <v>WOTS22</v>
      </c>
      <c r="C46" s="17">
        <f>INDEX(Schedule!$C$15:$E$23,MATCH($B46,Schedule!$B$15:$B$23,0),1)</f>
        <v>43238</v>
      </c>
      <c r="D46" s="17">
        <f>INDEX(Schedule!$C$15:$E$23,MATCH($B46,Schedule!$B$15:$B$23,0),2)</f>
        <v>43525</v>
      </c>
      <c r="E46" s="17">
        <f>INDEX(Schedule!$C$15:$E$23,MATCH($B46,Schedule!$B$15:$B$23,0),3)</f>
        <v>44061</v>
      </c>
      <c r="F46" s="8" t="s">
        <v>44</v>
      </c>
      <c r="G46" s="8" t="s">
        <v>19</v>
      </c>
      <c r="H46" s="20" t="str">
        <f t="shared" si="46"/>
        <v>Distribution system assetsReplacement</v>
      </c>
      <c r="I46" s="390">
        <f>WOTS22_Det!K115</f>
        <v>0</v>
      </c>
      <c r="J46" s="390">
        <f>WOTS22_Det!L115</f>
        <v>7.0772449270418232</v>
      </c>
      <c r="K46" s="390">
        <f>WOTS22_Det!M115</f>
        <v>0</v>
      </c>
      <c r="L46" s="390">
        <f>WOTS22_Det!N115</f>
        <v>153.29560939534881</v>
      </c>
      <c r="M46" s="390">
        <f>WOTS22_Det!O115</f>
        <v>0</v>
      </c>
      <c r="N46" s="38"/>
      <c r="O46" s="6"/>
      <c r="P46" s="6">
        <f>I46</f>
        <v>0</v>
      </c>
      <c r="Q46" s="6"/>
      <c r="R46" s="6"/>
      <c r="S46" s="6"/>
      <c r="T46" s="6"/>
      <c r="U46" s="6"/>
      <c r="V46" s="6"/>
      <c r="W46" s="6"/>
      <c r="X46" s="6"/>
      <c r="Y46" s="6"/>
      <c r="Z46" s="6">
        <f t="shared" si="65"/>
        <v>3.5386224635209116</v>
      </c>
      <c r="AA46" s="6">
        <f t="shared" si="61"/>
        <v>3.5386224635209116</v>
      </c>
      <c r="AB46" s="6"/>
      <c r="AC46" s="6"/>
      <c r="AD46" s="6"/>
      <c r="AE46" s="6"/>
      <c r="AF46" s="6"/>
      <c r="AG46" s="6"/>
      <c r="AH46" s="6">
        <f t="shared" si="56"/>
        <v>0</v>
      </c>
      <c r="AI46" s="6">
        <f t="shared" si="66"/>
        <v>76.647804697674403</v>
      </c>
      <c r="AJ46" s="6">
        <f t="shared" si="62"/>
        <v>76.647804697674403</v>
      </c>
      <c r="AK46" s="6"/>
      <c r="AL46" s="6"/>
      <c r="AM46" s="6"/>
      <c r="AN46" s="6"/>
      <c r="AO46" s="6"/>
      <c r="AP46" s="6"/>
      <c r="AQ46" s="6"/>
      <c r="AR46" s="6">
        <f t="shared" si="67"/>
        <v>0</v>
      </c>
      <c r="AS46" s="6">
        <f t="shared" si="63"/>
        <v>0</v>
      </c>
      <c r="AT46" s="6"/>
      <c r="AU46" s="6"/>
      <c r="AV46" s="6"/>
      <c r="AW46" s="6"/>
      <c r="AX46" s="6">
        <f t="shared" si="68"/>
        <v>0</v>
      </c>
      <c r="AY46" s="6">
        <f t="shared" si="69"/>
        <v>0</v>
      </c>
      <c r="AZ46" s="6">
        <f t="shared" si="70"/>
        <v>0</v>
      </c>
      <c r="BA46" s="6">
        <f t="shared" si="71"/>
        <v>80.186427161195311</v>
      </c>
      <c r="BB46" s="6">
        <f t="shared" si="72"/>
        <v>80.186427161195311</v>
      </c>
      <c r="BC46" s="6">
        <f t="shared" si="52"/>
        <v>0</v>
      </c>
      <c r="BD46" s="6">
        <f t="shared" si="53"/>
        <v>0</v>
      </c>
      <c r="BE46" s="6">
        <f t="shared" si="54"/>
        <v>0</v>
      </c>
      <c r="BG46" s="14">
        <f t="shared" si="55"/>
        <v>160.37285432239062</v>
      </c>
      <c r="BH46" s="11">
        <f>BG46-WOTS22_Det!P115</f>
        <v>0</v>
      </c>
    </row>
    <row r="47" spans="2:75" x14ac:dyDescent="0.3">
      <c r="B47" s="174" t="str">
        <f>STN_5</f>
        <v>MOE</v>
      </c>
      <c r="C47" s="17">
        <f>INDEX(Schedule!$C$15:$E$23,MATCH($B47,Schedule!$B$15:$B$23,0),1)</f>
        <v>43330</v>
      </c>
      <c r="D47" s="17">
        <f>INDEX(Schedule!$C$15:$E$23,MATCH($B47,Schedule!$B$15:$B$23,0),2)</f>
        <v>43739</v>
      </c>
      <c r="E47" s="17">
        <f>INDEX(Schedule!$C$15:$E$23,MATCH($B47,Schedule!$B$15:$B$23,0),3)</f>
        <v>44136</v>
      </c>
      <c r="F47" s="8" t="s">
        <v>42</v>
      </c>
      <c r="G47" s="8" t="s">
        <v>19</v>
      </c>
      <c r="H47" s="20" t="str">
        <f t="shared" si="46"/>
        <v>Distribution system assetsAugmentation</v>
      </c>
      <c r="I47" s="390">
        <f>MOE_Det!K118</f>
        <v>529.65821395348837</v>
      </c>
      <c r="J47" s="390">
        <f>MOE_Det!L118</f>
        <v>247.85730694884836</v>
      </c>
      <c r="K47" s="390">
        <f>MOE_Det!M118</f>
        <v>163.1872465116279</v>
      </c>
      <c r="L47" s="390">
        <f>MOE_Det!N118</f>
        <v>1243.0740930733916</v>
      </c>
      <c r="M47" s="390">
        <f>MOE_Det!O118</f>
        <v>137.95023319690051</v>
      </c>
      <c r="N47" s="38"/>
      <c r="O47" s="6"/>
      <c r="P47" s="6">
        <v>0</v>
      </c>
      <c r="Q47" s="6">
        <f>I47</f>
        <v>529.65821395348837</v>
      </c>
      <c r="R47" s="6"/>
      <c r="S47" s="6"/>
      <c r="T47" s="6"/>
      <c r="U47" s="6"/>
      <c r="V47" s="6"/>
      <c r="W47" s="6"/>
      <c r="X47" s="6"/>
      <c r="Y47" s="6"/>
      <c r="Z47" s="6">
        <f t="shared" si="65"/>
        <v>123.92865347442418</v>
      </c>
      <c r="AA47" s="6">
        <f t="shared" si="61"/>
        <v>123.92865347442418</v>
      </c>
      <c r="AB47" s="6"/>
      <c r="AC47" s="6"/>
      <c r="AD47" s="6"/>
      <c r="AE47" s="6"/>
      <c r="AF47" s="6"/>
      <c r="AG47" s="6"/>
      <c r="AH47" s="6">
        <f t="shared" si="56"/>
        <v>163.1872465116279</v>
      </c>
      <c r="AI47" s="6">
        <f t="shared" si="66"/>
        <v>621.53704653669581</v>
      </c>
      <c r="AJ47" s="6">
        <f t="shared" si="62"/>
        <v>621.53704653669581</v>
      </c>
      <c r="AK47" s="6"/>
      <c r="AL47" s="6"/>
      <c r="AM47" s="6"/>
      <c r="AN47" s="6"/>
      <c r="AO47" s="6"/>
      <c r="AP47" s="6"/>
      <c r="AQ47" s="6"/>
      <c r="AR47" s="6">
        <f t="shared" si="67"/>
        <v>68.975116598450256</v>
      </c>
      <c r="AS47" s="6">
        <f t="shared" si="63"/>
        <v>68.975116598450256</v>
      </c>
      <c r="AT47" s="6"/>
      <c r="AU47" s="6"/>
      <c r="AV47" s="6"/>
      <c r="AW47" s="6"/>
      <c r="AX47" s="6">
        <f t="shared" si="68"/>
        <v>0</v>
      </c>
      <c r="AY47" s="6">
        <f t="shared" si="69"/>
        <v>0</v>
      </c>
      <c r="AZ47" s="6">
        <f t="shared" si="70"/>
        <v>163.1872465116279</v>
      </c>
      <c r="BA47" s="6">
        <f t="shared" si="71"/>
        <v>1344.0990305630587</v>
      </c>
      <c r="BB47" s="6">
        <f t="shared" si="72"/>
        <v>814.44081660957022</v>
      </c>
      <c r="BC47" s="6">
        <f t="shared" si="52"/>
        <v>0</v>
      </c>
      <c r="BD47" s="6">
        <f t="shared" si="53"/>
        <v>0</v>
      </c>
      <c r="BE47" s="6">
        <f t="shared" si="54"/>
        <v>0</v>
      </c>
      <c r="BG47" s="14">
        <f t="shared" si="55"/>
        <v>2321.7270936842569</v>
      </c>
      <c r="BH47" s="11">
        <f>BG47-MOE_Det!P118</f>
        <v>0</v>
      </c>
    </row>
    <row r="48" spans="2:75" x14ac:dyDescent="0.3">
      <c r="B48" s="174" t="str">
        <f>STN_5</f>
        <v>MOE</v>
      </c>
      <c r="C48" s="17">
        <f>INDEX(Schedule!$C$15:$E$23,MATCH($B48,Schedule!$B$15:$B$23,0),1)</f>
        <v>43330</v>
      </c>
      <c r="D48" s="17">
        <f>INDEX(Schedule!$C$15:$E$23,MATCH($B48,Schedule!$B$15:$B$23,0),2)</f>
        <v>43739</v>
      </c>
      <c r="E48" s="17">
        <f>INDEX(Schedule!$C$15:$E$23,MATCH($B48,Schedule!$B$15:$B$23,0),3)</f>
        <v>44136</v>
      </c>
      <c r="F48" s="8" t="s">
        <v>44</v>
      </c>
      <c r="G48" s="8" t="s">
        <v>19</v>
      </c>
      <c r="H48" s="20" t="str">
        <f t="shared" si="46"/>
        <v>Distribution system assetsReplacement</v>
      </c>
      <c r="I48" s="390">
        <f>MOE_Det!K119</f>
        <v>0</v>
      </c>
      <c r="J48" s="390">
        <f>MOE_Det!L119</f>
        <v>5.9763401606130948</v>
      </c>
      <c r="K48" s="390">
        <f>MOE_Det!M119</f>
        <v>0</v>
      </c>
      <c r="L48" s="390">
        <f>MOE_Det!N119</f>
        <v>139.0981652465116</v>
      </c>
      <c r="M48" s="390">
        <f>MOE_Det!O119</f>
        <v>0</v>
      </c>
      <c r="N48" s="38"/>
      <c r="O48" s="6"/>
      <c r="P48" s="6">
        <v>0</v>
      </c>
      <c r="Q48" s="6">
        <f>I48</f>
        <v>0</v>
      </c>
      <c r="R48" s="6"/>
      <c r="S48" s="6"/>
      <c r="T48" s="6"/>
      <c r="U48" s="6"/>
      <c r="V48" s="6"/>
      <c r="W48" s="6"/>
      <c r="X48" s="6"/>
      <c r="Y48" s="6"/>
      <c r="Z48" s="6">
        <f t="shared" si="65"/>
        <v>2.9881700803065474</v>
      </c>
      <c r="AA48" s="6">
        <f t="shared" si="61"/>
        <v>2.9881700803065474</v>
      </c>
      <c r="AB48" s="6"/>
      <c r="AC48" s="6"/>
      <c r="AD48" s="6"/>
      <c r="AE48" s="6"/>
      <c r="AF48" s="6"/>
      <c r="AG48" s="6"/>
      <c r="AH48" s="6">
        <f t="shared" si="56"/>
        <v>0</v>
      </c>
      <c r="AI48" s="6">
        <f t="shared" si="66"/>
        <v>69.549082623255799</v>
      </c>
      <c r="AJ48" s="6">
        <f t="shared" si="62"/>
        <v>69.549082623255799</v>
      </c>
      <c r="AK48" s="6"/>
      <c r="AL48" s="6"/>
      <c r="AM48" s="6"/>
      <c r="AN48" s="6"/>
      <c r="AO48" s="6"/>
      <c r="AP48" s="6"/>
      <c r="AQ48" s="6"/>
      <c r="AR48" s="6">
        <f t="shared" si="67"/>
        <v>0</v>
      </c>
      <c r="AS48" s="6">
        <f t="shared" si="63"/>
        <v>0</v>
      </c>
      <c r="AT48" s="6"/>
      <c r="AU48" s="6"/>
      <c r="AV48" s="6"/>
      <c r="AW48" s="6"/>
      <c r="AX48" s="6">
        <f t="shared" si="68"/>
        <v>0</v>
      </c>
      <c r="AY48" s="6">
        <f t="shared" si="69"/>
        <v>0</v>
      </c>
      <c r="AZ48" s="6">
        <f t="shared" si="70"/>
        <v>0</v>
      </c>
      <c r="BA48" s="6">
        <f t="shared" si="71"/>
        <v>72.537252703562345</v>
      </c>
      <c r="BB48" s="6">
        <f t="shared" si="72"/>
        <v>72.537252703562345</v>
      </c>
      <c r="BC48" s="6">
        <f t="shared" si="52"/>
        <v>0</v>
      </c>
      <c r="BD48" s="6">
        <f t="shared" si="53"/>
        <v>0</v>
      </c>
      <c r="BE48" s="6">
        <f t="shared" si="54"/>
        <v>0</v>
      </c>
      <c r="BG48" s="14">
        <f t="shared" si="55"/>
        <v>145.07450540712469</v>
      </c>
      <c r="BH48" s="11">
        <f>BG48-MOE_Det!P119</f>
        <v>0</v>
      </c>
    </row>
    <row r="49" spans="2:60" x14ac:dyDescent="0.3">
      <c r="B49" s="174" t="str">
        <f>STN_6</f>
        <v>BGE</v>
      </c>
      <c r="C49" s="17">
        <f>INDEX(Schedule!$C$15:$E$23,MATCH($B49,Schedule!$B$15:$B$23,0),1)</f>
        <v>43282</v>
      </c>
      <c r="D49" s="17">
        <f>INDEX(Schedule!$C$15:$E$23,MATCH($B49,Schedule!$B$15:$B$23,0),2)</f>
        <v>43617</v>
      </c>
      <c r="E49" s="17">
        <f>INDEX(Schedule!$C$15:$E$23,MATCH($B49,Schedule!$B$15:$B$23,0),3)</f>
        <v>44013</v>
      </c>
      <c r="F49" s="8" t="s">
        <v>42</v>
      </c>
      <c r="G49" s="8" t="s">
        <v>19</v>
      </c>
      <c r="H49" s="20" t="str">
        <f t="shared" si="46"/>
        <v>Distribution system assetsAugmentation</v>
      </c>
      <c r="I49" s="390">
        <f>BGE_Det!K119</f>
        <v>578.29855441860457</v>
      </c>
      <c r="J49" s="390">
        <f>BGE_Det!L119</f>
        <v>234.09197145101962</v>
      </c>
      <c r="K49" s="390">
        <f>BGE_Det!M119</f>
        <v>126.92341395348836</v>
      </c>
      <c r="L49" s="390">
        <f>BGE_Det!N119</f>
        <v>1386.0997104583437</v>
      </c>
      <c r="M49" s="390">
        <f>BGE_Det!O119</f>
        <v>154.73440036352602</v>
      </c>
      <c r="N49" s="38"/>
      <c r="O49" s="6"/>
      <c r="P49" s="6">
        <f t="shared" ref="P49:P56" si="73">$I49*0.6</f>
        <v>346.97913265116273</v>
      </c>
      <c r="Q49" s="6">
        <f t="shared" ref="Q49:Q56" si="74">$I49*0.4</f>
        <v>231.31942176744184</v>
      </c>
      <c r="R49" s="6"/>
      <c r="S49" s="6"/>
      <c r="T49" s="6"/>
      <c r="U49" s="6"/>
      <c r="V49" s="6"/>
      <c r="W49" s="6"/>
      <c r="X49" s="6"/>
      <c r="Y49" s="6"/>
      <c r="Z49" s="6">
        <f t="shared" si="65"/>
        <v>117.04598572550981</v>
      </c>
      <c r="AA49" s="6">
        <f t="shared" si="61"/>
        <v>117.04598572550981</v>
      </c>
      <c r="AB49" s="6"/>
      <c r="AC49" s="6"/>
      <c r="AD49" s="6"/>
      <c r="AE49" s="6"/>
      <c r="AF49" s="6"/>
      <c r="AG49" s="6"/>
      <c r="AH49" s="6">
        <f t="shared" si="56"/>
        <v>126.92341395348836</v>
      </c>
      <c r="AI49" s="6">
        <f t="shared" si="66"/>
        <v>693.04985522917184</v>
      </c>
      <c r="AJ49" s="6">
        <f t="shared" si="62"/>
        <v>693.04985522917184</v>
      </c>
      <c r="AK49" s="6"/>
      <c r="AL49" s="6"/>
      <c r="AM49" s="6"/>
      <c r="AN49" s="6"/>
      <c r="AO49" s="6"/>
      <c r="AP49" s="6"/>
      <c r="AQ49" s="6"/>
      <c r="AR49" s="6">
        <f t="shared" si="67"/>
        <v>77.36720018176301</v>
      </c>
      <c r="AS49" s="6">
        <f t="shared" si="63"/>
        <v>77.36720018176301</v>
      </c>
      <c r="AT49" s="6"/>
      <c r="AU49" s="6"/>
      <c r="AV49" s="6"/>
      <c r="AW49" s="6"/>
      <c r="AX49" s="6">
        <f t="shared" si="68"/>
        <v>0</v>
      </c>
      <c r="AY49" s="6">
        <f t="shared" si="69"/>
        <v>0</v>
      </c>
      <c r="AZ49" s="6">
        <f t="shared" si="70"/>
        <v>473.90254660465109</v>
      </c>
      <c r="BA49" s="6">
        <f t="shared" si="71"/>
        <v>1118.7824629038867</v>
      </c>
      <c r="BB49" s="6">
        <f t="shared" si="72"/>
        <v>887.46304113644464</v>
      </c>
      <c r="BC49" s="6">
        <f t="shared" si="52"/>
        <v>0</v>
      </c>
      <c r="BD49" s="6">
        <f t="shared" si="53"/>
        <v>0</v>
      </c>
      <c r="BE49" s="6">
        <f t="shared" si="54"/>
        <v>0</v>
      </c>
      <c r="BG49" s="14">
        <f t="shared" si="55"/>
        <v>2480.1480506449825</v>
      </c>
      <c r="BH49" s="11">
        <f>BG49-BGE_Det!P119</f>
        <v>0</v>
      </c>
    </row>
    <row r="50" spans="2:60" x14ac:dyDescent="0.3">
      <c r="B50" s="174" t="str">
        <f>STN_6</f>
        <v>BGE</v>
      </c>
      <c r="C50" s="17">
        <f>INDEX(Schedule!$C$15:$E$23,MATCH($B50,Schedule!$B$15:$B$23,0),1)</f>
        <v>43282</v>
      </c>
      <c r="D50" s="17">
        <f>INDEX(Schedule!$C$15:$E$23,MATCH($B50,Schedule!$B$15:$B$23,0),2)</f>
        <v>43617</v>
      </c>
      <c r="E50" s="17">
        <f>INDEX(Schedule!$C$15:$E$23,MATCH($B50,Schedule!$B$15:$B$23,0),3)</f>
        <v>44013</v>
      </c>
      <c r="F50" s="8" t="s">
        <v>44</v>
      </c>
      <c r="G50" s="8" t="s">
        <v>19</v>
      </c>
      <c r="H50" s="20" t="str">
        <f t="shared" si="46"/>
        <v>Distribution system assetsReplacement</v>
      </c>
      <c r="I50" s="390">
        <f>BGE_Det!K120</f>
        <v>0</v>
      </c>
      <c r="J50" s="390">
        <f>BGE_Det!L120</f>
        <v>5.3472517226538221</v>
      </c>
      <c r="K50" s="390">
        <f>BGE_Det!M120</f>
        <v>0</v>
      </c>
      <c r="L50" s="390">
        <f>BGE_Det!N120</f>
        <v>131.05971211162787</v>
      </c>
      <c r="M50" s="390">
        <f>BGE_Det!O120</f>
        <v>0</v>
      </c>
      <c r="N50" s="38"/>
      <c r="O50" s="6"/>
      <c r="P50" s="6">
        <f t="shared" si="73"/>
        <v>0</v>
      </c>
      <c r="Q50" s="6">
        <f t="shared" si="74"/>
        <v>0</v>
      </c>
      <c r="R50" s="6"/>
      <c r="S50" s="6"/>
      <c r="T50" s="6"/>
      <c r="U50" s="6"/>
      <c r="V50" s="6"/>
      <c r="W50" s="6"/>
      <c r="X50" s="6"/>
      <c r="Y50" s="6"/>
      <c r="Z50" s="6">
        <f t="shared" si="65"/>
        <v>2.673625861326911</v>
      </c>
      <c r="AA50" s="6">
        <f t="shared" si="61"/>
        <v>2.673625861326911</v>
      </c>
      <c r="AB50" s="6"/>
      <c r="AC50" s="6"/>
      <c r="AD50" s="6"/>
      <c r="AE50" s="6"/>
      <c r="AF50" s="6"/>
      <c r="AG50" s="6"/>
      <c r="AH50" s="6">
        <f t="shared" si="56"/>
        <v>0</v>
      </c>
      <c r="AI50" s="6">
        <f t="shared" si="66"/>
        <v>65.529856055813937</v>
      </c>
      <c r="AJ50" s="6">
        <f t="shared" si="62"/>
        <v>65.529856055813937</v>
      </c>
      <c r="AK50" s="6"/>
      <c r="AL50" s="6"/>
      <c r="AM50" s="6"/>
      <c r="AN50" s="6"/>
      <c r="AO50" s="6"/>
      <c r="AP50" s="6"/>
      <c r="AQ50" s="6"/>
      <c r="AR50" s="6">
        <f t="shared" si="67"/>
        <v>0</v>
      </c>
      <c r="AS50" s="6">
        <f t="shared" si="63"/>
        <v>0</v>
      </c>
      <c r="AT50" s="6"/>
      <c r="AU50" s="6"/>
      <c r="AV50" s="6"/>
      <c r="AW50" s="6"/>
      <c r="AX50" s="6">
        <f t="shared" si="68"/>
        <v>0</v>
      </c>
      <c r="AY50" s="6">
        <f t="shared" si="69"/>
        <v>0</v>
      </c>
      <c r="AZ50" s="6">
        <f t="shared" si="70"/>
        <v>0</v>
      </c>
      <c r="BA50" s="6">
        <f t="shared" si="71"/>
        <v>68.203481917140849</v>
      </c>
      <c r="BB50" s="6">
        <f t="shared" si="72"/>
        <v>68.203481917140849</v>
      </c>
      <c r="BC50" s="6">
        <f t="shared" si="52"/>
        <v>0</v>
      </c>
      <c r="BD50" s="6">
        <f t="shared" si="53"/>
        <v>0</v>
      </c>
      <c r="BE50" s="6">
        <f t="shared" si="54"/>
        <v>0</v>
      </c>
      <c r="BG50" s="14">
        <f t="shared" si="55"/>
        <v>136.4069638342817</v>
      </c>
      <c r="BH50" s="11">
        <f>BG50-BGE_Det!P120</f>
        <v>0</v>
      </c>
    </row>
    <row r="51" spans="2:60" x14ac:dyDescent="0.3">
      <c r="B51" s="174" t="str">
        <f>STN_7</f>
        <v>LDL</v>
      </c>
      <c r="C51" s="17">
        <f>INDEX(Schedule!$C$15:$E$23,MATCH($B51,Schedule!$B$15:$B$23,0),1)</f>
        <v>43422</v>
      </c>
      <c r="D51" s="17">
        <f>INDEX(Schedule!$C$15:$E$23,MATCH($B51,Schedule!$B$15:$B$23,0),2)</f>
        <v>43739</v>
      </c>
      <c r="E51" s="17">
        <f>INDEX(Schedule!$C$15:$E$23,MATCH($B51,Schedule!$B$15:$B$23,0),3)</f>
        <v>44044</v>
      </c>
      <c r="F51" s="8" t="s">
        <v>42</v>
      </c>
      <c r="G51" s="8" t="s">
        <v>19</v>
      </c>
      <c r="H51" s="20" t="str">
        <f t="shared" si="46"/>
        <v>Distribution system assetsAugmentation</v>
      </c>
      <c r="I51" s="390">
        <f>LDL_Det!K116</f>
        <v>218.96334139534881</v>
      </c>
      <c r="J51" s="390">
        <f>LDL_Det!L116</f>
        <v>192.82221205244252</v>
      </c>
      <c r="K51" s="390">
        <f>LDL_Det!M116</f>
        <v>181.31916279069767</v>
      </c>
      <c r="L51" s="390">
        <f>LDL_Det!N116</f>
        <v>575.79134877086301</v>
      </c>
      <c r="M51" s="390">
        <f>LDL_Det!O116</f>
        <v>58.07553670664651</v>
      </c>
      <c r="N51" s="38"/>
      <c r="O51" s="6"/>
      <c r="P51" s="6">
        <v>0</v>
      </c>
      <c r="Q51" s="6">
        <f t="shared" ref="Q51:Q52" si="75">I51</f>
        <v>218.96334139534881</v>
      </c>
      <c r="R51" s="6"/>
      <c r="S51" s="6"/>
      <c r="T51" s="6"/>
      <c r="U51" s="6"/>
      <c r="V51" s="6"/>
      <c r="W51" s="6"/>
      <c r="X51" s="6"/>
      <c r="Y51" s="6"/>
      <c r="Z51" s="6">
        <f t="shared" si="65"/>
        <v>96.411106026221262</v>
      </c>
      <c r="AA51" s="6">
        <f t="shared" si="61"/>
        <v>96.411106026221262</v>
      </c>
      <c r="AB51" s="6"/>
      <c r="AC51" s="6"/>
      <c r="AD51" s="6"/>
      <c r="AE51" s="6"/>
      <c r="AF51" s="6"/>
      <c r="AG51" s="6"/>
      <c r="AH51" s="6">
        <f t="shared" si="56"/>
        <v>181.31916279069767</v>
      </c>
      <c r="AI51" s="6">
        <f t="shared" si="66"/>
        <v>287.89567438543151</v>
      </c>
      <c r="AJ51" s="6">
        <f t="shared" si="62"/>
        <v>287.89567438543151</v>
      </c>
      <c r="AK51" s="6"/>
      <c r="AL51" s="6"/>
      <c r="AM51" s="6"/>
      <c r="AN51" s="6"/>
      <c r="AO51" s="6"/>
      <c r="AP51" s="6"/>
      <c r="AQ51" s="6"/>
      <c r="AR51" s="6">
        <f t="shared" si="67"/>
        <v>29.037768353323255</v>
      </c>
      <c r="AS51" s="6">
        <f t="shared" si="63"/>
        <v>29.037768353323255</v>
      </c>
      <c r="AT51" s="6"/>
      <c r="AU51" s="6"/>
      <c r="AV51" s="6"/>
      <c r="AW51" s="6"/>
      <c r="AX51" s="6">
        <f t="shared" si="68"/>
        <v>0</v>
      </c>
      <c r="AY51" s="6">
        <f t="shared" si="69"/>
        <v>0</v>
      </c>
      <c r="AZ51" s="6">
        <f t="shared" si="70"/>
        <v>181.31916279069767</v>
      </c>
      <c r="BA51" s="6">
        <f t="shared" si="71"/>
        <v>632.30789016032475</v>
      </c>
      <c r="BB51" s="6">
        <f t="shared" si="72"/>
        <v>413.34454876497603</v>
      </c>
      <c r="BC51" s="6">
        <f t="shared" si="52"/>
        <v>0</v>
      </c>
      <c r="BD51" s="6">
        <f t="shared" si="53"/>
        <v>0</v>
      </c>
      <c r="BE51" s="6">
        <f t="shared" si="54"/>
        <v>0</v>
      </c>
      <c r="BG51" s="14">
        <f t="shared" si="55"/>
        <v>1226.9716017159985</v>
      </c>
      <c r="BH51" s="11">
        <f>BG51-LDL_Det!P116</f>
        <v>0</v>
      </c>
    </row>
    <row r="52" spans="2:60" x14ac:dyDescent="0.3">
      <c r="B52" s="174" t="str">
        <f>STN_7</f>
        <v>LDL</v>
      </c>
      <c r="C52" s="17">
        <f>INDEX(Schedule!$C$15:$E$23,MATCH($B52,Schedule!$B$15:$B$23,0),1)</f>
        <v>43422</v>
      </c>
      <c r="D52" s="17">
        <f>INDEX(Schedule!$C$15:$E$23,MATCH($B52,Schedule!$B$15:$B$23,0),2)</f>
        <v>43739</v>
      </c>
      <c r="E52" s="17">
        <f>INDEX(Schedule!$C$15:$E$23,MATCH($B52,Schedule!$B$15:$B$23,0),3)</f>
        <v>44044</v>
      </c>
      <c r="F52" s="8" t="s">
        <v>44</v>
      </c>
      <c r="G52" s="8" t="s">
        <v>19</v>
      </c>
      <c r="H52" s="20" t="str">
        <f t="shared" si="46"/>
        <v>Distribution system assetsReplacement</v>
      </c>
      <c r="I52" s="390">
        <f>LDL_Det!K117</f>
        <v>0</v>
      </c>
      <c r="J52" s="390">
        <f>LDL_Det!L117</f>
        <v>2.3590816423472742</v>
      </c>
      <c r="K52" s="390">
        <f>LDL_Det!M117</f>
        <v>0</v>
      </c>
      <c r="L52" s="390">
        <f>LDL_Det!N117</f>
        <v>72.963931813953479</v>
      </c>
      <c r="M52" s="390">
        <f>LDL_Det!O117</f>
        <v>0</v>
      </c>
      <c r="N52" s="38"/>
      <c r="O52" s="6"/>
      <c r="P52" s="6">
        <v>0</v>
      </c>
      <c r="Q52" s="6">
        <f t="shared" si="75"/>
        <v>0</v>
      </c>
      <c r="R52" s="6"/>
      <c r="S52" s="6"/>
      <c r="T52" s="6"/>
      <c r="U52" s="6"/>
      <c r="V52" s="6"/>
      <c r="W52" s="6"/>
      <c r="X52" s="6"/>
      <c r="Y52" s="6"/>
      <c r="Z52" s="6">
        <f t="shared" si="65"/>
        <v>1.1795408211736371</v>
      </c>
      <c r="AA52" s="6">
        <f t="shared" si="61"/>
        <v>1.1795408211736371</v>
      </c>
      <c r="AB52" s="6"/>
      <c r="AC52" s="6"/>
      <c r="AD52" s="6"/>
      <c r="AE52" s="6"/>
      <c r="AF52" s="6"/>
      <c r="AG52" s="6"/>
      <c r="AH52" s="6">
        <f t="shared" si="56"/>
        <v>0</v>
      </c>
      <c r="AI52" s="6">
        <f t="shared" si="66"/>
        <v>36.48196590697674</v>
      </c>
      <c r="AJ52" s="6">
        <f t="shared" si="62"/>
        <v>36.48196590697674</v>
      </c>
      <c r="AK52" s="6"/>
      <c r="AL52" s="6"/>
      <c r="AM52" s="6"/>
      <c r="AN52" s="6"/>
      <c r="AO52" s="6"/>
      <c r="AP52" s="6"/>
      <c r="AQ52" s="6"/>
      <c r="AR52" s="6">
        <f t="shared" si="67"/>
        <v>0</v>
      </c>
      <c r="AS52" s="6">
        <f t="shared" si="63"/>
        <v>0</v>
      </c>
      <c r="AT52" s="6"/>
      <c r="AU52" s="6"/>
      <c r="AV52" s="6"/>
      <c r="AW52" s="6"/>
      <c r="AX52" s="6">
        <f t="shared" si="68"/>
        <v>0</v>
      </c>
      <c r="AY52" s="6">
        <f t="shared" si="69"/>
        <v>0</v>
      </c>
      <c r="AZ52" s="6">
        <f t="shared" si="70"/>
        <v>0</v>
      </c>
      <c r="BA52" s="6">
        <f t="shared" si="71"/>
        <v>37.661506728150378</v>
      </c>
      <c r="BB52" s="6">
        <f t="shared" si="72"/>
        <v>37.661506728150378</v>
      </c>
      <c r="BC52" s="6">
        <f t="shared" si="52"/>
        <v>0</v>
      </c>
      <c r="BD52" s="6">
        <f t="shared" si="53"/>
        <v>0</v>
      </c>
      <c r="BE52" s="6">
        <f t="shared" si="54"/>
        <v>0</v>
      </c>
      <c r="BG52" s="14">
        <f t="shared" si="55"/>
        <v>75.323013456300757</v>
      </c>
      <c r="BH52" s="11">
        <f>BG52-LDL_Det!P117</f>
        <v>0</v>
      </c>
    </row>
    <row r="53" spans="2:60" x14ac:dyDescent="0.3">
      <c r="B53" s="174" t="str">
        <f>STN_8</f>
        <v>BDL</v>
      </c>
      <c r="C53" s="17">
        <f>INDEX(Schedule!$C$15:$E$23,MATCH($B53,Schedule!$B$15:$B$23,0),1)</f>
        <v>43282</v>
      </c>
      <c r="D53" s="17">
        <f>INDEX(Schedule!$C$15:$E$23,MATCH($B53,Schedule!$B$15:$B$23,0),2)</f>
        <v>43603</v>
      </c>
      <c r="E53" s="17">
        <f>INDEX(Schedule!$C$15:$E$23,MATCH($B53,Schedule!$B$15:$B$23,0),3)</f>
        <v>43952</v>
      </c>
      <c r="F53" s="8" t="s">
        <v>42</v>
      </c>
      <c r="G53" s="8" t="s">
        <v>19</v>
      </c>
      <c r="H53" s="20" t="str">
        <f t="shared" si="46"/>
        <v>Distribution system assetsAugmentation</v>
      </c>
      <c r="I53" s="390">
        <f>BDL_Det!K115</f>
        <v>629.76800930232548</v>
      </c>
      <c r="J53" s="390">
        <f>BDL_Det!L115</f>
        <v>280.74020102681311</v>
      </c>
      <c r="K53" s="390">
        <f>BDL_Det!M115</f>
        <v>163.1872465116279</v>
      </c>
      <c r="L53" s="390">
        <f>BDL_Det!N115</f>
        <v>1596.8027350733275</v>
      </c>
      <c r="M53" s="390">
        <f>BDL_Det!O115</f>
        <v>174.76769866864177</v>
      </c>
      <c r="N53" s="38"/>
      <c r="O53" s="6"/>
      <c r="P53" s="6">
        <f t="shared" si="73"/>
        <v>377.86080558139525</v>
      </c>
      <c r="Q53" s="6">
        <f t="shared" si="74"/>
        <v>251.9072037209302</v>
      </c>
      <c r="R53" s="6"/>
      <c r="S53" s="6"/>
      <c r="T53" s="6"/>
      <c r="U53" s="6"/>
      <c r="V53" s="6"/>
      <c r="W53" s="6"/>
      <c r="X53" s="6"/>
      <c r="Y53" s="6"/>
      <c r="Z53" s="6">
        <f t="shared" si="65"/>
        <v>140.37010051340656</v>
      </c>
      <c r="AA53" s="6">
        <f t="shared" si="61"/>
        <v>140.37010051340656</v>
      </c>
      <c r="AB53" s="6"/>
      <c r="AC53" s="6"/>
      <c r="AD53" s="6"/>
      <c r="AE53" s="6"/>
      <c r="AF53" s="6"/>
      <c r="AG53" s="6"/>
      <c r="AH53" s="6">
        <f t="shared" si="56"/>
        <v>163.1872465116279</v>
      </c>
      <c r="AI53" s="6">
        <f t="shared" si="66"/>
        <v>798.40136753666377</v>
      </c>
      <c r="AJ53" s="6">
        <f t="shared" si="62"/>
        <v>798.40136753666377</v>
      </c>
      <c r="AK53" s="6"/>
      <c r="AL53" s="6"/>
      <c r="AM53" s="6"/>
      <c r="AN53" s="6"/>
      <c r="AO53" s="6"/>
      <c r="AP53" s="6"/>
      <c r="AQ53" s="6"/>
      <c r="AR53" s="6">
        <f t="shared" si="67"/>
        <v>87.383849334320885</v>
      </c>
      <c r="AS53" s="6">
        <f t="shared" si="63"/>
        <v>87.383849334320885</v>
      </c>
      <c r="AT53" s="6"/>
      <c r="AU53" s="6"/>
      <c r="AV53" s="6"/>
      <c r="AW53" s="6"/>
      <c r="AX53" s="6">
        <f t="shared" si="68"/>
        <v>0</v>
      </c>
      <c r="AY53" s="6">
        <f t="shared" si="69"/>
        <v>0</v>
      </c>
      <c r="AZ53" s="6">
        <f t="shared" si="70"/>
        <v>541.04805209302322</v>
      </c>
      <c r="BA53" s="6">
        <f t="shared" si="71"/>
        <v>1278.0625211053216</v>
      </c>
      <c r="BB53" s="6">
        <f t="shared" si="72"/>
        <v>1026.1553173843913</v>
      </c>
      <c r="BC53" s="6">
        <f t="shared" si="52"/>
        <v>0</v>
      </c>
      <c r="BD53" s="6">
        <f t="shared" si="53"/>
        <v>0</v>
      </c>
      <c r="BE53" s="6">
        <f t="shared" si="54"/>
        <v>0</v>
      </c>
      <c r="BG53" s="14">
        <f t="shared" si="55"/>
        <v>2845.2658905827361</v>
      </c>
      <c r="BH53" s="11">
        <f>BG53-BDL_Det!P115</f>
        <v>0</v>
      </c>
    </row>
    <row r="54" spans="2:60" x14ac:dyDescent="0.3">
      <c r="B54" s="174" t="str">
        <f>STN_8</f>
        <v>BDL</v>
      </c>
      <c r="C54" s="17">
        <f>INDEX(Schedule!$C$15:$E$23,MATCH($B54,Schedule!$B$15:$B$23,0),1)</f>
        <v>43282</v>
      </c>
      <c r="D54" s="17">
        <f>INDEX(Schedule!$C$15:$E$23,MATCH($B54,Schedule!$B$15:$B$23,0),2)</f>
        <v>43603</v>
      </c>
      <c r="E54" s="17">
        <f>INDEX(Schedule!$C$15:$E$23,MATCH($B54,Schedule!$B$15:$B$23,0),3)</f>
        <v>43952</v>
      </c>
      <c r="F54" s="8" t="s">
        <v>44</v>
      </c>
      <c r="G54" s="8" t="s">
        <v>19</v>
      </c>
      <c r="H54" s="20" t="str">
        <f t="shared" si="46"/>
        <v>Distribution system assetsReplacement</v>
      </c>
      <c r="I54" s="390">
        <f>BDL_Det!K116</f>
        <v>0</v>
      </c>
      <c r="J54" s="390">
        <f>BDL_Det!L116</f>
        <v>5.3472517226538221</v>
      </c>
      <c r="K54" s="390">
        <f>BDL_Det!M116</f>
        <v>0</v>
      </c>
      <c r="L54" s="390">
        <f>BDL_Det!N116</f>
        <v>135.22454932093018</v>
      </c>
      <c r="M54" s="390">
        <f>BDL_Det!O116</f>
        <v>0</v>
      </c>
      <c r="N54" s="38"/>
      <c r="O54" s="6"/>
      <c r="P54" s="6">
        <f t="shared" si="73"/>
        <v>0</v>
      </c>
      <c r="Q54" s="6">
        <f t="shared" si="74"/>
        <v>0</v>
      </c>
      <c r="R54" s="6"/>
      <c r="S54" s="6"/>
      <c r="T54" s="6"/>
      <c r="U54" s="6"/>
      <c r="V54" s="6"/>
      <c r="W54" s="6"/>
      <c r="X54" s="6"/>
      <c r="Y54" s="6"/>
      <c r="Z54" s="6">
        <f t="shared" si="65"/>
        <v>2.673625861326911</v>
      </c>
      <c r="AA54" s="6">
        <f t="shared" si="61"/>
        <v>2.673625861326911</v>
      </c>
      <c r="AB54" s="6"/>
      <c r="AC54" s="6"/>
      <c r="AD54" s="6"/>
      <c r="AE54" s="6"/>
      <c r="AF54" s="6"/>
      <c r="AG54" s="6"/>
      <c r="AH54" s="6">
        <f t="shared" si="56"/>
        <v>0</v>
      </c>
      <c r="AI54" s="6">
        <f t="shared" si="66"/>
        <v>67.61227466046509</v>
      </c>
      <c r="AJ54" s="6">
        <f t="shared" si="62"/>
        <v>67.61227466046509</v>
      </c>
      <c r="AK54" s="6"/>
      <c r="AL54" s="6"/>
      <c r="AM54" s="6"/>
      <c r="AN54" s="6"/>
      <c r="AO54" s="6"/>
      <c r="AP54" s="6"/>
      <c r="AQ54" s="6"/>
      <c r="AR54" s="6">
        <f t="shared" si="67"/>
        <v>0</v>
      </c>
      <c r="AS54" s="6">
        <f t="shared" si="63"/>
        <v>0</v>
      </c>
      <c r="AT54" s="6"/>
      <c r="AU54" s="6"/>
      <c r="AV54" s="6"/>
      <c r="AW54" s="6"/>
      <c r="AX54" s="6">
        <f t="shared" si="68"/>
        <v>0</v>
      </c>
      <c r="AY54" s="6">
        <f t="shared" si="69"/>
        <v>0</v>
      </c>
      <c r="AZ54" s="6">
        <f t="shared" si="70"/>
        <v>0</v>
      </c>
      <c r="BA54" s="6">
        <f t="shared" si="71"/>
        <v>70.285900521792001</v>
      </c>
      <c r="BB54" s="6">
        <f t="shared" si="72"/>
        <v>70.285900521792001</v>
      </c>
      <c r="BC54" s="6">
        <f t="shared" si="52"/>
        <v>0</v>
      </c>
      <c r="BD54" s="6">
        <f t="shared" si="53"/>
        <v>0</v>
      </c>
      <c r="BE54" s="6">
        <f t="shared" si="54"/>
        <v>0</v>
      </c>
      <c r="BG54" s="14">
        <f t="shared" si="55"/>
        <v>140.571801043584</v>
      </c>
      <c r="BH54" s="11">
        <f>BG54-BDL_Det!P116</f>
        <v>0</v>
      </c>
    </row>
    <row r="55" spans="2:60" x14ac:dyDescent="0.3">
      <c r="B55" s="174" t="str">
        <f>STN_9</f>
        <v>[spare]</v>
      </c>
      <c r="C55" s="17">
        <f>INDEX(Schedule!$C$15:$E$23,MATCH($B55,Schedule!$B$15:$B$23,0),1)</f>
        <v>0</v>
      </c>
      <c r="D55" s="17">
        <f>INDEX(Schedule!$C$15:$E$23,MATCH($B55,Schedule!$B$15:$B$23,0),2)</f>
        <v>0</v>
      </c>
      <c r="E55" s="17">
        <f>INDEX(Schedule!$C$15:$E$23,MATCH($B55,Schedule!$B$15:$B$23,0),3)</f>
        <v>0</v>
      </c>
      <c r="F55" s="8" t="s">
        <v>42</v>
      </c>
      <c r="G55" s="8" t="s">
        <v>19</v>
      </c>
      <c r="H55" s="20" t="str">
        <f t="shared" si="46"/>
        <v>Distribution system assetsAugmentation</v>
      </c>
      <c r="I55" s="390">
        <f>Spare!K114</f>
        <v>0</v>
      </c>
      <c r="J55" s="390">
        <f>Spare!L114</f>
        <v>0</v>
      </c>
      <c r="K55" s="390">
        <f>Spare!M114</f>
        <v>0</v>
      </c>
      <c r="L55" s="390">
        <f>Spare!N114</f>
        <v>0</v>
      </c>
      <c r="M55" s="390">
        <f>Spare!O114</f>
        <v>0</v>
      </c>
      <c r="N55" s="6"/>
      <c r="O55" s="6"/>
      <c r="P55" s="6">
        <f t="shared" si="73"/>
        <v>0</v>
      </c>
      <c r="Q55" s="6">
        <f t="shared" si="74"/>
        <v>0</v>
      </c>
      <c r="R55" s="6"/>
      <c r="S55" s="6"/>
      <c r="T55" s="6"/>
      <c r="U55" s="6"/>
      <c r="V55" s="6"/>
      <c r="W55" s="6"/>
      <c r="X55" s="6"/>
      <c r="Y55" s="6"/>
      <c r="Z55" s="6">
        <f t="shared" si="65"/>
        <v>0</v>
      </c>
      <c r="AA55" s="6">
        <f t="shared" si="61"/>
        <v>0</v>
      </c>
      <c r="AB55" s="6"/>
      <c r="AC55" s="6"/>
      <c r="AD55" s="6"/>
      <c r="AE55" s="6"/>
      <c r="AF55" s="6"/>
      <c r="AG55" s="6"/>
      <c r="AH55" s="6">
        <f t="shared" si="56"/>
        <v>0</v>
      </c>
      <c r="AI55" s="6">
        <f t="shared" si="66"/>
        <v>0</v>
      </c>
      <c r="AJ55" s="6">
        <f t="shared" si="62"/>
        <v>0</v>
      </c>
      <c r="AK55" s="6"/>
      <c r="AL55" s="6"/>
      <c r="AM55" s="6"/>
      <c r="AN55" s="6"/>
      <c r="AO55" s="6"/>
      <c r="AP55" s="6"/>
      <c r="AQ55" s="6"/>
      <c r="AR55" s="6">
        <f t="shared" si="67"/>
        <v>0</v>
      </c>
      <c r="AS55" s="6">
        <f t="shared" si="63"/>
        <v>0</v>
      </c>
      <c r="AT55" s="6"/>
      <c r="AU55" s="6"/>
      <c r="AV55" s="6"/>
      <c r="AW55" s="6"/>
      <c r="AX55" s="6">
        <f t="shared" si="68"/>
        <v>0</v>
      </c>
      <c r="AY55" s="6">
        <f t="shared" si="69"/>
        <v>0</v>
      </c>
      <c r="AZ55" s="6">
        <f t="shared" si="70"/>
        <v>0</v>
      </c>
      <c r="BA55" s="6">
        <f t="shared" si="71"/>
        <v>0</v>
      </c>
      <c r="BB55" s="6">
        <f t="shared" si="72"/>
        <v>0</v>
      </c>
      <c r="BC55" s="6">
        <f t="shared" si="52"/>
        <v>0</v>
      </c>
      <c r="BD55" s="6">
        <f t="shared" si="53"/>
        <v>0</v>
      </c>
      <c r="BE55" s="6">
        <f t="shared" si="54"/>
        <v>0</v>
      </c>
      <c r="BG55" s="14">
        <f t="shared" si="55"/>
        <v>0</v>
      </c>
      <c r="BH55" s="11">
        <f>BG55-Spare!P114</f>
        <v>0</v>
      </c>
    </row>
    <row r="56" spans="2:60" x14ac:dyDescent="0.3">
      <c r="B56" s="174" t="str">
        <f>STN_9</f>
        <v>[spare]</v>
      </c>
      <c r="C56" s="17">
        <f>INDEX(Schedule!$C$15:$E$23,MATCH($B56,Schedule!$B$15:$B$23,0),1)</f>
        <v>0</v>
      </c>
      <c r="D56" s="17">
        <f>INDEX(Schedule!$C$15:$E$23,MATCH($B56,Schedule!$B$15:$B$23,0),2)</f>
        <v>0</v>
      </c>
      <c r="E56" s="17">
        <f>INDEX(Schedule!$C$15:$E$23,MATCH($B56,Schedule!$B$15:$B$23,0),3)</f>
        <v>0</v>
      </c>
      <c r="F56" s="8" t="s">
        <v>44</v>
      </c>
      <c r="G56" s="8" t="s">
        <v>19</v>
      </c>
      <c r="H56" s="20" t="str">
        <f t="shared" si="46"/>
        <v>Distribution system assetsReplacement</v>
      </c>
      <c r="I56" s="390">
        <f>Spare!K115</f>
        <v>0</v>
      </c>
      <c r="J56" s="390">
        <f>Spare!L115</f>
        <v>0</v>
      </c>
      <c r="K56" s="390">
        <f>Spare!M115</f>
        <v>0</v>
      </c>
      <c r="L56" s="390">
        <f>Spare!N115</f>
        <v>0</v>
      </c>
      <c r="M56" s="390">
        <f>Spare!O115</f>
        <v>0</v>
      </c>
      <c r="N56" s="6"/>
      <c r="O56" s="6"/>
      <c r="P56" s="6">
        <f t="shared" si="73"/>
        <v>0</v>
      </c>
      <c r="Q56" s="6">
        <f t="shared" si="74"/>
        <v>0</v>
      </c>
      <c r="R56" s="6"/>
      <c r="S56" s="6"/>
      <c r="T56" s="6"/>
      <c r="U56" s="6"/>
      <c r="V56" s="6"/>
      <c r="W56" s="6"/>
      <c r="X56" s="6"/>
      <c r="Y56" s="6"/>
      <c r="Z56" s="6">
        <f t="shared" si="65"/>
        <v>0</v>
      </c>
      <c r="AA56" s="6">
        <f t="shared" si="61"/>
        <v>0</v>
      </c>
      <c r="AB56" s="6"/>
      <c r="AC56" s="6"/>
      <c r="AD56" s="6"/>
      <c r="AE56" s="6"/>
      <c r="AF56" s="6"/>
      <c r="AG56" s="6"/>
      <c r="AH56" s="6">
        <f t="shared" si="56"/>
        <v>0</v>
      </c>
      <c r="AI56" s="6">
        <f t="shared" si="66"/>
        <v>0</v>
      </c>
      <c r="AJ56" s="6">
        <f t="shared" si="62"/>
        <v>0</v>
      </c>
      <c r="AK56" s="6"/>
      <c r="AL56" s="6"/>
      <c r="AM56" s="6"/>
      <c r="AN56" s="6"/>
      <c r="AO56" s="6"/>
      <c r="AP56" s="6"/>
      <c r="AQ56" s="6"/>
      <c r="AR56" s="6">
        <f t="shared" si="67"/>
        <v>0</v>
      </c>
      <c r="AS56" s="6">
        <f t="shared" si="63"/>
        <v>0</v>
      </c>
      <c r="AT56" s="6"/>
      <c r="AU56" s="6"/>
      <c r="AV56" s="6"/>
      <c r="AW56" s="6"/>
      <c r="AX56" s="6">
        <f t="shared" si="68"/>
        <v>0</v>
      </c>
      <c r="AY56" s="6">
        <f t="shared" si="69"/>
        <v>0</v>
      </c>
      <c r="AZ56" s="6">
        <f t="shared" si="70"/>
        <v>0</v>
      </c>
      <c r="BA56" s="6">
        <f t="shared" si="71"/>
        <v>0</v>
      </c>
      <c r="BB56" s="6">
        <f t="shared" si="72"/>
        <v>0</v>
      </c>
      <c r="BC56" s="6">
        <f t="shared" si="52"/>
        <v>0</v>
      </c>
      <c r="BD56" s="6">
        <f t="shared" si="53"/>
        <v>0</v>
      </c>
      <c r="BE56" s="6">
        <f t="shared" si="54"/>
        <v>0</v>
      </c>
      <c r="BG56" s="14">
        <f t="shared" si="55"/>
        <v>0</v>
      </c>
      <c r="BH56" s="11">
        <f>BG56-Spare!P115</f>
        <v>0</v>
      </c>
    </row>
    <row r="57" spans="2:60" x14ac:dyDescent="0.3">
      <c r="B57" s="174"/>
      <c r="C57" s="9"/>
      <c r="D57" s="9"/>
      <c r="E57" s="8"/>
      <c r="F57" s="8"/>
      <c r="G57" s="8"/>
      <c r="H57" s="8"/>
      <c r="I57" s="8"/>
      <c r="J57" s="8"/>
      <c r="K57" s="8"/>
      <c r="L57" s="8"/>
      <c r="M57" s="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</row>
    <row r="58" spans="2:60" x14ac:dyDescent="0.3">
      <c r="B58" s="25" t="s">
        <v>119</v>
      </c>
      <c r="E58" s="8"/>
      <c r="F58" s="8"/>
      <c r="G58" s="8"/>
      <c r="H58" s="8"/>
      <c r="I58" s="8"/>
      <c r="J58" s="8"/>
      <c r="K58" s="8"/>
      <c r="L58" s="8"/>
      <c r="M58" s="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</row>
    <row r="59" spans="2:60" x14ac:dyDescent="0.3">
      <c r="B59" s="174" t="str">
        <f>STN_1</f>
        <v>RWN</v>
      </c>
      <c r="C59" s="17">
        <f>Schedule!C26</f>
        <v>43191</v>
      </c>
      <c r="D59" s="17">
        <f>Schedule!D26</f>
        <v>43466</v>
      </c>
      <c r="E59" s="20">
        <f>Schedule!E26</f>
        <v>43709</v>
      </c>
      <c r="F59" s="8" t="s">
        <v>44</v>
      </c>
      <c r="G59" s="8" t="s">
        <v>19</v>
      </c>
      <c r="H59" s="20" t="str">
        <f t="shared" ref="H59:H67" si="76">G59&amp;F59</f>
        <v>Distribution system assetsReplacement</v>
      </c>
      <c r="I59" s="390">
        <f>Direct_Capex_Totals!Q33</f>
        <v>92.527872741419557</v>
      </c>
      <c r="J59" s="390">
        <f>Direct_Capex_Totals!R33</f>
        <v>46.19520522350399</v>
      </c>
      <c r="K59" s="390">
        <f>Direct_Capex_Totals!S33</f>
        <v>0</v>
      </c>
      <c r="L59" s="390">
        <f>Direct_Capex_Totals!T33</f>
        <v>177.27235778576281</v>
      </c>
      <c r="M59" s="390">
        <f>Direct_Capex_Totals!U33</f>
        <v>0</v>
      </c>
      <c r="N59" s="6"/>
      <c r="O59" s="6"/>
      <c r="P59" s="6">
        <f>I59</f>
        <v>92.527872741419557</v>
      </c>
      <c r="Q59" s="6"/>
      <c r="R59" s="6"/>
      <c r="S59" s="6"/>
      <c r="T59" s="6"/>
      <c r="U59" s="6"/>
      <c r="V59" s="6"/>
      <c r="W59" s="6"/>
      <c r="X59" s="6"/>
      <c r="Y59" s="6"/>
      <c r="Z59" s="6">
        <f>J59</f>
        <v>46.19520522350399</v>
      </c>
      <c r="AA59" s="6"/>
      <c r="AB59" s="6"/>
      <c r="AC59" s="6"/>
      <c r="AD59" s="6"/>
      <c r="AE59" s="6"/>
      <c r="AF59" s="6"/>
      <c r="AG59" s="6"/>
      <c r="AH59" s="6">
        <f>K59</f>
        <v>0</v>
      </c>
      <c r="AI59" s="6">
        <f>L59</f>
        <v>177.27235778576281</v>
      </c>
      <c r="AJ59" s="6">
        <v>0</v>
      </c>
      <c r="AK59" s="6"/>
      <c r="AL59" s="6"/>
      <c r="AM59" s="6"/>
      <c r="AN59" s="6"/>
      <c r="AO59" s="6"/>
      <c r="AP59" s="6"/>
      <c r="AQ59" s="6"/>
      <c r="AR59" s="6">
        <f>M59</f>
        <v>0</v>
      </c>
      <c r="AS59" s="6"/>
      <c r="AT59" s="6"/>
      <c r="AU59" s="6"/>
      <c r="AV59" s="6"/>
      <c r="AW59" s="6"/>
      <c r="AX59" s="6">
        <f>N59+W59+AF59+AO59</f>
        <v>0</v>
      </c>
      <c r="AY59" s="6">
        <f t="shared" ref="AY59:AY67" si="77">O59+X59+AG59+AP59</f>
        <v>0</v>
      </c>
      <c r="AZ59" s="6">
        <f t="shared" ref="AZ59:AZ67" si="78">P59+Y59+AH59+AQ59</f>
        <v>92.527872741419557</v>
      </c>
      <c r="BA59" s="6">
        <f t="shared" ref="BA59:BA67" si="79">Q59+Z59+AI59+AR59</f>
        <v>223.4675630092668</v>
      </c>
      <c r="BB59" s="6">
        <f t="shared" ref="BB59:BB67" si="80">R59+AA59+AJ59+AS59</f>
        <v>0</v>
      </c>
      <c r="BC59" s="6">
        <f t="shared" ref="BC59:BC67" si="81">S59+AB59+AK59+AT59</f>
        <v>0</v>
      </c>
      <c r="BD59" s="6">
        <f t="shared" ref="BD59:BD67" si="82">T59+AC59+AL59+AU59</f>
        <v>0</v>
      </c>
      <c r="BE59" s="6">
        <f t="shared" ref="BE59:BE67" si="83">U59+AD59+AM59+AV59</f>
        <v>0</v>
      </c>
      <c r="BG59" s="14">
        <f t="shared" ref="BG59:BG67" si="84">SUM(AX59:BE59)</f>
        <v>315.99543575068634</v>
      </c>
      <c r="BH59" s="11">
        <f>BG59-Direct_Capex_Totals!V33</f>
        <v>0</v>
      </c>
    </row>
    <row r="60" spans="2:60" x14ac:dyDescent="0.3">
      <c r="B60" s="174" t="str">
        <f>STN_2</f>
        <v>ELM</v>
      </c>
      <c r="C60" s="17">
        <f>Schedule!C27</f>
        <v>43282</v>
      </c>
      <c r="D60" s="17">
        <f>Schedule!D27</f>
        <v>43647</v>
      </c>
      <c r="E60" s="20">
        <f>Schedule!E27</f>
        <v>44105</v>
      </c>
      <c r="F60" s="8" t="s">
        <v>44</v>
      </c>
      <c r="G60" s="8" t="s">
        <v>19</v>
      </c>
      <c r="H60" s="20" t="str">
        <f t="shared" si="76"/>
        <v>Distribution system assetsReplacement</v>
      </c>
      <c r="I60" s="390">
        <f>Direct_Capex_Totals!Q34</f>
        <v>142.70143753782313</v>
      </c>
      <c r="J60" s="390">
        <f>Direct_Capex_Totals!R34</f>
        <v>71.244717915122351</v>
      </c>
      <c r="K60" s="390">
        <f>Direct_Capex_Totals!S34</f>
        <v>0</v>
      </c>
      <c r="L60" s="390">
        <f>Direct_Capex_Totals!T34</f>
        <v>273.39891799353563</v>
      </c>
      <c r="M60" s="390">
        <f>Direct_Capex_Totals!U34</f>
        <v>0</v>
      </c>
      <c r="N60" s="6"/>
      <c r="O60" s="6"/>
      <c r="P60" s="6">
        <f>$I60*0.5</f>
        <v>71.350718768911563</v>
      </c>
      <c r="Q60" s="6">
        <f>$I60*0.5</f>
        <v>71.350718768911563</v>
      </c>
      <c r="R60" s="6"/>
      <c r="S60" s="6"/>
      <c r="T60" s="6"/>
      <c r="U60" s="6"/>
      <c r="V60" s="6"/>
      <c r="W60" s="6"/>
      <c r="X60" s="6"/>
      <c r="Y60" s="6"/>
      <c r="Z60" s="6">
        <f>$J60*0.5</f>
        <v>35.622358957561175</v>
      </c>
      <c r="AA60" s="6">
        <f t="shared" ref="AA60:AA67" si="85">$J60*0.5</f>
        <v>35.622358957561175</v>
      </c>
      <c r="AB60" s="6"/>
      <c r="AC60" s="6"/>
      <c r="AD60" s="6"/>
      <c r="AE60" s="6"/>
      <c r="AF60" s="6"/>
      <c r="AG60" s="6"/>
      <c r="AH60" s="6">
        <f t="shared" ref="AH60:AH67" si="86">K60</f>
        <v>0</v>
      </c>
      <c r="AI60" s="6">
        <f>$L60*0.5</f>
        <v>136.69945899676782</v>
      </c>
      <c r="AJ60" s="6">
        <f t="shared" ref="AJ60:AJ67" si="87">$L60*0.5</f>
        <v>136.69945899676782</v>
      </c>
      <c r="AK60" s="6"/>
      <c r="AL60" s="6"/>
      <c r="AM60" s="6"/>
      <c r="AN60" s="6"/>
      <c r="AO60" s="6"/>
      <c r="AP60" s="6"/>
      <c r="AQ60" s="6"/>
      <c r="AR60" s="6">
        <f>$M60*0.5</f>
        <v>0</v>
      </c>
      <c r="AS60" s="6">
        <f t="shared" ref="AS60:AS67" si="88">$M60*0.5</f>
        <v>0</v>
      </c>
      <c r="AT60" s="6"/>
      <c r="AU60" s="6"/>
      <c r="AV60" s="6"/>
      <c r="AW60" s="6"/>
      <c r="AX60" s="6">
        <f t="shared" ref="AX60:AX67" si="89">N60+W60+AF60+AO60</f>
        <v>0</v>
      </c>
      <c r="AY60" s="6">
        <f t="shared" si="77"/>
        <v>0</v>
      </c>
      <c r="AZ60" s="6">
        <f t="shared" si="78"/>
        <v>71.350718768911563</v>
      </c>
      <c r="BA60" s="6">
        <f t="shared" si="79"/>
        <v>243.67253672324057</v>
      </c>
      <c r="BB60" s="6">
        <f t="shared" si="80"/>
        <v>172.32181795432899</v>
      </c>
      <c r="BC60" s="6">
        <f t="shared" si="81"/>
        <v>0</v>
      </c>
      <c r="BD60" s="6">
        <f t="shared" si="82"/>
        <v>0</v>
      </c>
      <c r="BE60" s="6">
        <f t="shared" si="83"/>
        <v>0</v>
      </c>
      <c r="BG60" s="14">
        <f t="shared" si="84"/>
        <v>487.34507344648114</v>
      </c>
      <c r="BH60" s="11">
        <f>BG60-Direct_Capex_Totals!V34</f>
        <v>0</v>
      </c>
    </row>
    <row r="61" spans="2:60" x14ac:dyDescent="0.3">
      <c r="B61" s="174" t="str">
        <f>STN_3</f>
        <v>FGY</v>
      </c>
      <c r="C61" s="17">
        <f>Schedule!C28</f>
        <v>43330</v>
      </c>
      <c r="D61" s="17">
        <f>Schedule!D28</f>
        <v>43586</v>
      </c>
      <c r="E61" s="20">
        <f>Schedule!E28</f>
        <v>44075</v>
      </c>
      <c r="F61" s="8" t="s">
        <v>44</v>
      </c>
      <c r="G61" s="8" t="s">
        <v>19</v>
      </c>
      <c r="H61" s="20" t="str">
        <f t="shared" si="76"/>
        <v>Distribution system assetsReplacement</v>
      </c>
      <c r="I61" s="390">
        <f>Direct_Capex_Totals!Q35</f>
        <v>84.057011152416365</v>
      </c>
      <c r="J61" s="390">
        <f>Direct_Capex_Totals!R35</f>
        <v>41.966066717126864</v>
      </c>
      <c r="K61" s="390">
        <f>Direct_Capex_Totals!S35</f>
        <v>0</v>
      </c>
      <c r="L61" s="390">
        <f>Direct_Capex_Totals!T35</f>
        <v>161.04319827016479</v>
      </c>
      <c r="M61" s="390">
        <f>Direct_Capex_Totals!U35</f>
        <v>0</v>
      </c>
      <c r="N61" s="6"/>
      <c r="O61" s="6"/>
      <c r="P61" s="6">
        <f>$I61*0.6</f>
        <v>50.434206691449816</v>
      </c>
      <c r="Q61" s="6">
        <f>$I61*0.4</f>
        <v>33.622804460966549</v>
      </c>
      <c r="R61" s="6"/>
      <c r="S61" s="6"/>
      <c r="T61" s="6"/>
      <c r="U61" s="6"/>
      <c r="V61" s="6"/>
      <c r="W61" s="6"/>
      <c r="X61" s="6"/>
      <c r="Y61" s="6"/>
      <c r="Z61" s="6">
        <f t="shared" ref="Z61:Z67" si="90">$J61*0.5</f>
        <v>20.983033358563432</v>
      </c>
      <c r="AA61" s="6">
        <f t="shared" si="85"/>
        <v>20.983033358563432</v>
      </c>
      <c r="AB61" s="6"/>
      <c r="AC61" s="6"/>
      <c r="AD61" s="6"/>
      <c r="AE61" s="6"/>
      <c r="AF61" s="6"/>
      <c r="AG61" s="6"/>
      <c r="AH61" s="6">
        <f t="shared" si="86"/>
        <v>0</v>
      </c>
      <c r="AI61" s="6">
        <f t="shared" ref="AI61:AI67" si="91">$L61*0.5</f>
        <v>80.521599135082397</v>
      </c>
      <c r="AJ61" s="6">
        <f t="shared" si="87"/>
        <v>80.521599135082397</v>
      </c>
      <c r="AK61" s="6"/>
      <c r="AL61" s="6"/>
      <c r="AM61" s="6"/>
      <c r="AN61" s="6"/>
      <c r="AO61" s="6"/>
      <c r="AP61" s="6"/>
      <c r="AQ61" s="6"/>
      <c r="AR61" s="6">
        <f t="shared" ref="AR61:AR67" si="92">$M61*0.5</f>
        <v>0</v>
      </c>
      <c r="AS61" s="6">
        <f t="shared" si="88"/>
        <v>0</v>
      </c>
      <c r="AT61" s="6"/>
      <c r="AU61" s="6"/>
      <c r="AV61" s="6"/>
      <c r="AW61" s="6"/>
      <c r="AX61" s="6">
        <f t="shared" si="89"/>
        <v>0</v>
      </c>
      <c r="AY61" s="6">
        <f t="shared" si="77"/>
        <v>0</v>
      </c>
      <c r="AZ61" s="6">
        <f t="shared" si="78"/>
        <v>50.434206691449816</v>
      </c>
      <c r="BA61" s="6">
        <f t="shared" si="79"/>
        <v>135.12743695461239</v>
      </c>
      <c r="BB61" s="6">
        <f t="shared" si="80"/>
        <v>101.50463249364583</v>
      </c>
      <c r="BC61" s="6">
        <f t="shared" si="81"/>
        <v>0</v>
      </c>
      <c r="BD61" s="6">
        <f t="shared" si="82"/>
        <v>0</v>
      </c>
      <c r="BE61" s="6">
        <f t="shared" si="83"/>
        <v>0</v>
      </c>
      <c r="BG61" s="14">
        <f t="shared" si="84"/>
        <v>287.06627613970807</v>
      </c>
      <c r="BH61" s="11">
        <f>BG61-Direct_Capex_Totals!V35</f>
        <v>0</v>
      </c>
    </row>
    <row r="62" spans="2:60" x14ac:dyDescent="0.3">
      <c r="B62" s="174" t="str">
        <f>STN_4</f>
        <v>WOTS22</v>
      </c>
      <c r="C62" s="17">
        <f>Schedule!C29</f>
        <v>43238</v>
      </c>
      <c r="D62" s="17">
        <f>Schedule!D29</f>
        <v>43525</v>
      </c>
      <c r="E62" s="20">
        <f>Schedule!E29</f>
        <v>44061</v>
      </c>
      <c r="F62" s="8" t="s">
        <v>44</v>
      </c>
      <c r="G62" s="8" t="s">
        <v>19</v>
      </c>
      <c r="H62" s="20" t="str">
        <f t="shared" si="76"/>
        <v>Distribution system assetsReplacement</v>
      </c>
      <c r="I62" s="390">
        <f>Direct_Capex_Totals!Q36</f>
        <v>597.52154439353342</v>
      </c>
      <c r="J62" s="390">
        <f>Direct_Capex_Totals!R36</f>
        <v>298.31692387290963</v>
      </c>
      <c r="K62" s="390">
        <f>Direct_Capex_Totals!S36</f>
        <v>0</v>
      </c>
      <c r="L62" s="390">
        <f>Direct_Capex_Totals!T36</f>
        <v>1144.7799442925668</v>
      </c>
      <c r="M62" s="390">
        <f>Direct_Capex_Totals!U36</f>
        <v>0</v>
      </c>
      <c r="N62" s="6"/>
      <c r="O62" s="6"/>
      <c r="P62" s="6">
        <f>I62</f>
        <v>597.52154439353342</v>
      </c>
      <c r="Q62" s="6"/>
      <c r="R62" s="6"/>
      <c r="S62" s="6"/>
      <c r="T62" s="6"/>
      <c r="U62" s="6"/>
      <c r="V62" s="6"/>
      <c r="W62" s="6"/>
      <c r="X62" s="6"/>
      <c r="Y62" s="6"/>
      <c r="Z62" s="6">
        <f t="shared" si="90"/>
        <v>149.15846193645481</v>
      </c>
      <c r="AA62" s="6">
        <f t="shared" si="85"/>
        <v>149.15846193645481</v>
      </c>
      <c r="AB62" s="6"/>
      <c r="AC62" s="6"/>
      <c r="AD62" s="6"/>
      <c r="AE62" s="6"/>
      <c r="AF62" s="6"/>
      <c r="AG62" s="6"/>
      <c r="AH62" s="6">
        <f t="shared" si="86"/>
        <v>0</v>
      </c>
      <c r="AI62" s="6">
        <f t="shared" si="91"/>
        <v>572.38997214628341</v>
      </c>
      <c r="AJ62" s="6">
        <f t="shared" si="87"/>
        <v>572.38997214628341</v>
      </c>
      <c r="AK62" s="6"/>
      <c r="AL62" s="6"/>
      <c r="AM62" s="6"/>
      <c r="AN62" s="6"/>
      <c r="AO62" s="6"/>
      <c r="AP62" s="6"/>
      <c r="AQ62" s="6"/>
      <c r="AR62" s="6">
        <f t="shared" si="92"/>
        <v>0</v>
      </c>
      <c r="AS62" s="6">
        <f t="shared" si="88"/>
        <v>0</v>
      </c>
      <c r="AT62" s="6"/>
      <c r="AU62" s="6"/>
      <c r="AV62" s="6"/>
      <c r="AW62" s="6"/>
      <c r="AX62" s="6">
        <f t="shared" si="89"/>
        <v>0</v>
      </c>
      <c r="AY62" s="6">
        <f t="shared" si="77"/>
        <v>0</v>
      </c>
      <c r="AZ62" s="6">
        <f t="shared" si="78"/>
        <v>597.52154439353342</v>
      </c>
      <c r="BA62" s="6">
        <f t="shared" si="79"/>
        <v>721.54843408273825</v>
      </c>
      <c r="BB62" s="6">
        <f t="shared" si="80"/>
        <v>721.54843408273825</v>
      </c>
      <c r="BC62" s="6">
        <f t="shared" si="81"/>
        <v>0</v>
      </c>
      <c r="BD62" s="6">
        <f t="shared" si="82"/>
        <v>0</v>
      </c>
      <c r="BE62" s="6">
        <f t="shared" si="83"/>
        <v>0</v>
      </c>
      <c r="BG62" s="14">
        <f t="shared" si="84"/>
        <v>2040.6184125590098</v>
      </c>
      <c r="BH62" s="11">
        <f>BG62-Direct_Capex_Totals!V36</f>
        <v>0</v>
      </c>
    </row>
    <row r="63" spans="2:60" x14ac:dyDescent="0.3">
      <c r="B63" s="174" t="str">
        <f>STN_5</f>
        <v>MOE</v>
      </c>
      <c r="C63" s="17">
        <f>Schedule!C30</f>
        <v>43330</v>
      </c>
      <c r="D63" s="17">
        <f>Schedule!D30</f>
        <v>43739</v>
      </c>
      <c r="E63" s="20">
        <f>Schedule!E30</f>
        <v>44136</v>
      </c>
      <c r="F63" s="8" t="s">
        <v>44</v>
      </c>
      <c r="G63" s="8" t="s">
        <v>19</v>
      </c>
      <c r="H63" s="20" t="str">
        <f t="shared" si="76"/>
        <v>Distribution system assetsReplacement</v>
      </c>
      <c r="I63" s="390">
        <f>Direct_Capex_Totals!Q37</f>
        <v>514.76774271634827</v>
      </c>
      <c r="J63" s="390">
        <f>Direct_Capex_Totals!R37</f>
        <v>257.00149384907149</v>
      </c>
      <c r="K63" s="390">
        <f>Direct_Capex_Totals!S37</f>
        <v>0</v>
      </c>
      <c r="L63" s="390">
        <f>Direct_Capex_Totals!T37</f>
        <v>986.23353979403248</v>
      </c>
      <c r="M63" s="390">
        <f>Direct_Capex_Totals!U37</f>
        <v>0</v>
      </c>
      <c r="N63" s="6"/>
      <c r="O63" s="6"/>
      <c r="P63" s="6">
        <v>0</v>
      </c>
      <c r="Q63" s="6">
        <f>I63</f>
        <v>514.76774271634827</v>
      </c>
      <c r="R63" s="6"/>
      <c r="S63" s="6"/>
      <c r="T63" s="6"/>
      <c r="U63" s="6"/>
      <c r="V63" s="6"/>
      <c r="W63" s="6"/>
      <c r="X63" s="6"/>
      <c r="Y63" s="6"/>
      <c r="Z63" s="6">
        <f t="shared" si="90"/>
        <v>128.50074692453575</v>
      </c>
      <c r="AA63" s="6">
        <f t="shared" si="85"/>
        <v>128.50074692453575</v>
      </c>
      <c r="AB63" s="6"/>
      <c r="AC63" s="6"/>
      <c r="AD63" s="6"/>
      <c r="AE63" s="6"/>
      <c r="AF63" s="6"/>
      <c r="AG63" s="6"/>
      <c r="AH63" s="6">
        <f t="shared" si="86"/>
        <v>0</v>
      </c>
      <c r="AI63" s="6">
        <f t="shared" si="91"/>
        <v>493.11676989701624</v>
      </c>
      <c r="AJ63" s="6">
        <f t="shared" si="87"/>
        <v>493.11676989701624</v>
      </c>
      <c r="AK63" s="6"/>
      <c r="AL63" s="6"/>
      <c r="AM63" s="6"/>
      <c r="AN63" s="6"/>
      <c r="AO63" s="6"/>
      <c r="AP63" s="6"/>
      <c r="AQ63" s="6"/>
      <c r="AR63" s="6">
        <f t="shared" si="92"/>
        <v>0</v>
      </c>
      <c r="AS63" s="6">
        <f t="shared" si="88"/>
        <v>0</v>
      </c>
      <c r="AT63" s="6"/>
      <c r="AU63" s="6"/>
      <c r="AV63" s="6"/>
      <c r="AW63" s="6"/>
      <c r="AX63" s="6">
        <f t="shared" si="89"/>
        <v>0</v>
      </c>
      <c r="AY63" s="6">
        <f t="shared" si="77"/>
        <v>0</v>
      </c>
      <c r="AZ63" s="6">
        <f t="shared" si="78"/>
        <v>0</v>
      </c>
      <c r="BA63" s="6">
        <f t="shared" si="79"/>
        <v>1136.3852595379003</v>
      </c>
      <c r="BB63" s="6">
        <f t="shared" si="80"/>
        <v>621.61751682155204</v>
      </c>
      <c r="BC63" s="6">
        <f t="shared" si="81"/>
        <v>0</v>
      </c>
      <c r="BD63" s="6">
        <f t="shared" si="82"/>
        <v>0</v>
      </c>
      <c r="BE63" s="6">
        <f t="shared" si="83"/>
        <v>0</v>
      </c>
      <c r="BG63" s="14">
        <f t="shared" si="84"/>
        <v>1758.0027763594524</v>
      </c>
      <c r="BH63" s="11">
        <f>BG63-Direct_Capex_Totals!V37</f>
        <v>0</v>
      </c>
    </row>
    <row r="64" spans="2:60" x14ac:dyDescent="0.3">
      <c r="B64" s="174" t="str">
        <f>STN_6</f>
        <v>BGE</v>
      </c>
      <c r="C64" s="17">
        <f>Schedule!C31</f>
        <v>43282</v>
      </c>
      <c r="D64" s="17">
        <f>Schedule!D31</f>
        <v>43617</v>
      </c>
      <c r="E64" s="20">
        <f>Schedule!E31</f>
        <v>44013</v>
      </c>
      <c r="F64" s="8" t="s">
        <v>44</v>
      </c>
      <c r="G64" s="8" t="s">
        <v>19</v>
      </c>
      <c r="H64" s="20" t="str">
        <f t="shared" si="76"/>
        <v>Distribution system assetsReplacement</v>
      </c>
      <c r="I64" s="390">
        <f>Direct_Capex_Totals!Q38</f>
        <v>170.72044125529527</v>
      </c>
      <c r="J64" s="390">
        <f>Direct_Capex_Totals!R38</f>
        <v>85.233406820831306</v>
      </c>
      <c r="K64" s="390">
        <f>Direct_Capex_Totals!S38</f>
        <v>0</v>
      </c>
      <c r="L64" s="390">
        <f>Direct_Capex_Totals!T38</f>
        <v>327.07998408359055</v>
      </c>
      <c r="M64" s="390">
        <f>Direct_Capex_Totals!U38</f>
        <v>0</v>
      </c>
      <c r="N64" s="6"/>
      <c r="O64" s="6"/>
      <c r="P64" s="6">
        <f>$I64*0.6</f>
        <v>102.43226475317717</v>
      </c>
      <c r="Q64" s="6">
        <f>$I64*0.4</f>
        <v>68.288176502118105</v>
      </c>
      <c r="R64" s="6"/>
      <c r="S64" s="6"/>
      <c r="T64" s="6"/>
      <c r="U64" s="6"/>
      <c r="V64" s="6"/>
      <c r="W64" s="6"/>
      <c r="X64" s="6"/>
      <c r="Y64" s="6"/>
      <c r="Z64" s="6">
        <f t="shared" si="90"/>
        <v>42.616703410415653</v>
      </c>
      <c r="AA64" s="6">
        <f t="shared" si="85"/>
        <v>42.616703410415653</v>
      </c>
      <c r="AB64" s="6"/>
      <c r="AC64" s="6"/>
      <c r="AD64" s="6"/>
      <c r="AE64" s="6"/>
      <c r="AF64" s="6"/>
      <c r="AG64" s="6"/>
      <c r="AH64" s="6">
        <f t="shared" si="86"/>
        <v>0</v>
      </c>
      <c r="AI64" s="6">
        <f t="shared" si="91"/>
        <v>163.53999204179527</v>
      </c>
      <c r="AJ64" s="6">
        <f t="shared" si="87"/>
        <v>163.53999204179527</v>
      </c>
      <c r="AK64" s="6"/>
      <c r="AL64" s="6"/>
      <c r="AM64" s="6"/>
      <c r="AN64" s="6"/>
      <c r="AO64" s="6"/>
      <c r="AP64" s="6"/>
      <c r="AQ64" s="6"/>
      <c r="AR64" s="6">
        <f t="shared" si="92"/>
        <v>0</v>
      </c>
      <c r="AS64" s="6">
        <f t="shared" si="88"/>
        <v>0</v>
      </c>
      <c r="AT64" s="6"/>
      <c r="AU64" s="6"/>
      <c r="AV64" s="6"/>
      <c r="AW64" s="6"/>
      <c r="AX64" s="6">
        <f t="shared" si="89"/>
        <v>0</v>
      </c>
      <c r="AY64" s="6">
        <f t="shared" si="77"/>
        <v>0</v>
      </c>
      <c r="AZ64" s="6">
        <f t="shared" si="78"/>
        <v>102.43226475317717</v>
      </c>
      <c r="BA64" s="6">
        <f t="shared" si="79"/>
        <v>274.44487195432902</v>
      </c>
      <c r="BB64" s="6">
        <f t="shared" si="80"/>
        <v>206.15669545221093</v>
      </c>
      <c r="BC64" s="6">
        <f t="shared" si="81"/>
        <v>0</v>
      </c>
      <c r="BD64" s="6">
        <f t="shared" si="82"/>
        <v>0</v>
      </c>
      <c r="BE64" s="6">
        <f t="shared" si="83"/>
        <v>0</v>
      </c>
      <c r="BG64" s="14">
        <f t="shared" si="84"/>
        <v>583.03383215971712</v>
      </c>
      <c r="BH64" s="11">
        <f>BG64-Direct_Capex_Totals!V38</f>
        <v>0</v>
      </c>
    </row>
    <row r="65" spans="2:60" x14ac:dyDescent="0.3">
      <c r="B65" s="174" t="str">
        <f>STN_7</f>
        <v>LDL</v>
      </c>
      <c r="C65" s="17">
        <f>Schedule!C32</f>
        <v>43422</v>
      </c>
      <c r="D65" s="17">
        <f>Schedule!D32</f>
        <v>43739</v>
      </c>
      <c r="E65" s="20">
        <f>Schedule!E32</f>
        <v>44044</v>
      </c>
      <c r="F65" s="8" t="s">
        <v>44</v>
      </c>
      <c r="G65" s="8" t="s">
        <v>19</v>
      </c>
      <c r="H65" s="20" t="str">
        <f t="shared" si="76"/>
        <v>Distribution system assetsReplacement</v>
      </c>
      <c r="I65" s="390">
        <f>Direct_Capex_Totals!Q39</f>
        <v>145.95946122590129</v>
      </c>
      <c r="J65" s="390">
        <f>Direct_Capex_Totals!R39</f>
        <v>72.871309648344322</v>
      </c>
      <c r="K65" s="390">
        <f>Direct_Capex_Totals!S39</f>
        <v>0</v>
      </c>
      <c r="L65" s="390">
        <f>Direct_Capex_Totals!T39</f>
        <v>279.64090242261176</v>
      </c>
      <c r="M65" s="390">
        <f>Direct_Capex_Totals!U39</f>
        <v>0</v>
      </c>
      <c r="N65" s="6"/>
      <c r="O65" s="6"/>
      <c r="P65" s="6">
        <v>0</v>
      </c>
      <c r="Q65" s="6">
        <f>I65</f>
        <v>145.95946122590129</v>
      </c>
      <c r="R65" s="6"/>
      <c r="S65" s="6"/>
      <c r="T65" s="6"/>
      <c r="U65" s="6"/>
      <c r="V65" s="6"/>
      <c r="W65" s="6"/>
      <c r="X65" s="6"/>
      <c r="Y65" s="6"/>
      <c r="Z65" s="6">
        <f t="shared" si="90"/>
        <v>36.435654824172161</v>
      </c>
      <c r="AA65" s="6">
        <f t="shared" si="85"/>
        <v>36.435654824172161</v>
      </c>
      <c r="AB65" s="6"/>
      <c r="AC65" s="6"/>
      <c r="AD65" s="6"/>
      <c r="AE65" s="6"/>
      <c r="AF65" s="6"/>
      <c r="AG65" s="6"/>
      <c r="AH65" s="6">
        <f t="shared" si="86"/>
        <v>0</v>
      </c>
      <c r="AI65" s="6">
        <f t="shared" si="91"/>
        <v>139.82045121130588</v>
      </c>
      <c r="AJ65" s="6">
        <f t="shared" si="87"/>
        <v>139.82045121130588</v>
      </c>
      <c r="AK65" s="6"/>
      <c r="AL65" s="6"/>
      <c r="AM65" s="6"/>
      <c r="AN65" s="6"/>
      <c r="AO65" s="6"/>
      <c r="AP65" s="6"/>
      <c r="AQ65" s="6"/>
      <c r="AR65" s="6">
        <f t="shared" si="92"/>
        <v>0</v>
      </c>
      <c r="AS65" s="6">
        <f t="shared" si="88"/>
        <v>0</v>
      </c>
      <c r="AT65" s="6"/>
      <c r="AU65" s="6"/>
      <c r="AV65" s="6"/>
      <c r="AW65" s="6"/>
      <c r="AX65" s="6">
        <f t="shared" si="89"/>
        <v>0</v>
      </c>
      <c r="AY65" s="6">
        <f t="shared" si="77"/>
        <v>0</v>
      </c>
      <c r="AZ65" s="6">
        <f t="shared" si="78"/>
        <v>0</v>
      </c>
      <c r="BA65" s="6">
        <f t="shared" si="79"/>
        <v>322.21556726137931</v>
      </c>
      <c r="BB65" s="6">
        <f t="shared" si="80"/>
        <v>176.25610603547804</v>
      </c>
      <c r="BC65" s="6">
        <f t="shared" si="81"/>
        <v>0</v>
      </c>
      <c r="BD65" s="6">
        <f t="shared" si="82"/>
        <v>0</v>
      </c>
      <c r="BE65" s="6">
        <f t="shared" si="83"/>
        <v>0</v>
      </c>
      <c r="BG65" s="14">
        <f t="shared" si="84"/>
        <v>498.47167329685738</v>
      </c>
      <c r="BH65" s="11">
        <f>BG65-Direct_Capex_Totals!V39</f>
        <v>0</v>
      </c>
    </row>
    <row r="66" spans="2:60" x14ac:dyDescent="0.3">
      <c r="B66" s="174" t="str">
        <f>STN_8</f>
        <v>BDL</v>
      </c>
      <c r="C66" s="17">
        <f>Schedule!C33</f>
        <v>43282</v>
      </c>
      <c r="D66" s="17">
        <f>Schedule!D33</f>
        <v>43603</v>
      </c>
      <c r="E66" s="20">
        <f>Schedule!E33</f>
        <v>43952</v>
      </c>
      <c r="F66" s="8" t="s">
        <v>44</v>
      </c>
      <c r="G66" s="8" t="s">
        <v>19</v>
      </c>
      <c r="H66" s="20" t="str">
        <f t="shared" si="76"/>
        <v>Distribution system assetsReplacement</v>
      </c>
      <c r="I66" s="390">
        <f>Direct_Capex_Totals!Q40</f>
        <v>530.40625641912345</v>
      </c>
      <c r="J66" s="390">
        <f>Direct_Capex_Totals!R40</f>
        <v>264.80913416853696</v>
      </c>
      <c r="K66" s="390">
        <f>Direct_Capex_Totals!S40</f>
        <v>0</v>
      </c>
      <c r="L66" s="390">
        <f>Direct_Capex_Totals!T40</f>
        <v>1016.1950650535981</v>
      </c>
      <c r="M66" s="390">
        <f>Direct_Capex_Totals!U40</f>
        <v>0</v>
      </c>
      <c r="N66" s="6"/>
      <c r="O66" s="6"/>
      <c r="P66" s="6">
        <f>$I66*0.6</f>
        <v>318.24375385147408</v>
      </c>
      <c r="Q66" s="6">
        <f>$I66*0.4</f>
        <v>212.1625025676494</v>
      </c>
      <c r="R66" s="6"/>
      <c r="S66" s="6"/>
      <c r="T66" s="6"/>
      <c r="U66" s="6"/>
      <c r="V66" s="6"/>
      <c r="W66" s="6"/>
      <c r="X66" s="6"/>
      <c r="Y66" s="6"/>
      <c r="Z66" s="6">
        <f t="shared" si="90"/>
        <v>132.40456708426848</v>
      </c>
      <c r="AA66" s="6">
        <f t="shared" si="85"/>
        <v>132.40456708426848</v>
      </c>
      <c r="AB66" s="6"/>
      <c r="AC66" s="6"/>
      <c r="AD66" s="6"/>
      <c r="AE66" s="6"/>
      <c r="AF66" s="6"/>
      <c r="AG66" s="6"/>
      <c r="AH66" s="6">
        <f t="shared" si="86"/>
        <v>0</v>
      </c>
      <c r="AI66" s="6">
        <f t="shared" si="91"/>
        <v>508.09753252679906</v>
      </c>
      <c r="AJ66" s="6">
        <f t="shared" si="87"/>
        <v>508.09753252679906</v>
      </c>
      <c r="AK66" s="6"/>
      <c r="AL66" s="6"/>
      <c r="AM66" s="6"/>
      <c r="AN66" s="6"/>
      <c r="AO66" s="6"/>
      <c r="AP66" s="6"/>
      <c r="AQ66" s="6"/>
      <c r="AR66" s="6">
        <f t="shared" si="92"/>
        <v>0</v>
      </c>
      <c r="AS66" s="6">
        <f t="shared" si="88"/>
        <v>0</v>
      </c>
      <c r="AT66" s="6"/>
      <c r="AU66" s="6"/>
      <c r="AV66" s="6"/>
      <c r="AW66" s="6"/>
      <c r="AX66" s="6">
        <f t="shared" si="89"/>
        <v>0</v>
      </c>
      <c r="AY66" s="6">
        <f t="shared" si="77"/>
        <v>0</v>
      </c>
      <c r="AZ66" s="6">
        <f t="shared" si="78"/>
        <v>318.24375385147408</v>
      </c>
      <c r="BA66" s="6">
        <f t="shared" si="79"/>
        <v>852.6646021787169</v>
      </c>
      <c r="BB66" s="6">
        <f t="shared" si="80"/>
        <v>640.50209961106748</v>
      </c>
      <c r="BC66" s="6">
        <f t="shared" si="81"/>
        <v>0</v>
      </c>
      <c r="BD66" s="6">
        <f t="shared" si="82"/>
        <v>0</v>
      </c>
      <c r="BE66" s="6">
        <f t="shared" si="83"/>
        <v>0</v>
      </c>
      <c r="BG66" s="14">
        <f t="shared" si="84"/>
        <v>1811.4104556412585</v>
      </c>
      <c r="BH66" s="11">
        <f>BG66-Direct_Capex_Totals!V40</f>
        <v>0</v>
      </c>
    </row>
    <row r="67" spans="2:60" x14ac:dyDescent="0.3">
      <c r="B67" s="174" t="str">
        <f>STN_9</f>
        <v>[spare]</v>
      </c>
      <c r="C67" s="17">
        <f>Schedule!C34</f>
        <v>0</v>
      </c>
      <c r="D67" s="17">
        <f>Schedule!D34</f>
        <v>0</v>
      </c>
      <c r="E67" s="20">
        <f>Schedule!E34</f>
        <v>0</v>
      </c>
      <c r="F67" s="8" t="s">
        <v>44</v>
      </c>
      <c r="G67" s="8" t="s">
        <v>19</v>
      </c>
      <c r="H67" s="20" t="str">
        <f t="shared" si="76"/>
        <v>Distribution system assetsReplacement</v>
      </c>
      <c r="I67" s="390">
        <f>Direct_Capex_Totals!Q41</f>
        <v>0</v>
      </c>
      <c r="J67" s="390">
        <f>Direct_Capex_Totals!R41</f>
        <v>0</v>
      </c>
      <c r="K67" s="390">
        <f>Direct_Capex_Totals!S41</f>
        <v>0</v>
      </c>
      <c r="L67" s="390">
        <f>Direct_Capex_Totals!T41</f>
        <v>0</v>
      </c>
      <c r="M67" s="390">
        <f>Direct_Capex_Totals!U41</f>
        <v>0</v>
      </c>
      <c r="N67" s="6"/>
      <c r="O67" s="6"/>
      <c r="P67" s="6">
        <f>$I67*0.6</f>
        <v>0</v>
      </c>
      <c r="Q67" s="6">
        <f>$I67*0.4</f>
        <v>0</v>
      </c>
      <c r="R67" s="6"/>
      <c r="S67" s="6"/>
      <c r="T67" s="6"/>
      <c r="U67" s="6"/>
      <c r="V67" s="6"/>
      <c r="W67" s="6"/>
      <c r="X67" s="6"/>
      <c r="Y67" s="6"/>
      <c r="Z67" s="6">
        <f t="shared" si="90"/>
        <v>0</v>
      </c>
      <c r="AA67" s="6">
        <f t="shared" si="85"/>
        <v>0</v>
      </c>
      <c r="AB67" s="6"/>
      <c r="AC67" s="6"/>
      <c r="AD67" s="6"/>
      <c r="AE67" s="6"/>
      <c r="AF67" s="6"/>
      <c r="AG67" s="6"/>
      <c r="AH67" s="6">
        <f t="shared" si="86"/>
        <v>0</v>
      </c>
      <c r="AI67" s="6">
        <f t="shared" si="91"/>
        <v>0</v>
      </c>
      <c r="AJ67" s="6">
        <f t="shared" si="87"/>
        <v>0</v>
      </c>
      <c r="AK67" s="6"/>
      <c r="AL67" s="6"/>
      <c r="AM67" s="6"/>
      <c r="AN67" s="6"/>
      <c r="AO67" s="6"/>
      <c r="AP67" s="6"/>
      <c r="AQ67" s="6"/>
      <c r="AR67" s="6">
        <f t="shared" si="92"/>
        <v>0</v>
      </c>
      <c r="AS67" s="6">
        <f t="shared" si="88"/>
        <v>0</v>
      </c>
      <c r="AT67" s="6"/>
      <c r="AU67" s="6"/>
      <c r="AV67" s="6"/>
      <c r="AW67" s="6"/>
      <c r="AX67" s="6">
        <f t="shared" si="89"/>
        <v>0</v>
      </c>
      <c r="AY67" s="6">
        <f t="shared" si="77"/>
        <v>0</v>
      </c>
      <c r="AZ67" s="6">
        <f t="shared" si="78"/>
        <v>0</v>
      </c>
      <c r="BA67" s="6">
        <f t="shared" si="79"/>
        <v>0</v>
      </c>
      <c r="BB67" s="6">
        <f t="shared" si="80"/>
        <v>0</v>
      </c>
      <c r="BC67" s="6">
        <f t="shared" si="81"/>
        <v>0</v>
      </c>
      <c r="BD67" s="6">
        <f t="shared" si="82"/>
        <v>0</v>
      </c>
      <c r="BE67" s="6">
        <f t="shared" si="83"/>
        <v>0</v>
      </c>
      <c r="BG67" s="14">
        <f t="shared" si="84"/>
        <v>0</v>
      </c>
      <c r="BH67" s="11">
        <f>BG67-Direct_Capex_Totals!V41</f>
        <v>0</v>
      </c>
    </row>
    <row r="68" spans="2:60" x14ac:dyDescent="0.3">
      <c r="C68" s="45"/>
      <c r="D68" s="45"/>
      <c r="E68" s="20"/>
      <c r="F68" s="8"/>
      <c r="G68" s="8"/>
      <c r="H68" s="8"/>
      <c r="I68" s="8"/>
      <c r="J68" s="8"/>
      <c r="K68" s="8"/>
      <c r="L68" s="8"/>
      <c r="M68" s="8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</row>
    <row r="69" spans="2:60" x14ac:dyDescent="0.3">
      <c r="B69" s="25" t="s">
        <v>491</v>
      </c>
      <c r="C69" s="45"/>
      <c r="D69" s="45"/>
      <c r="E69" s="20"/>
      <c r="F69" s="8"/>
      <c r="G69" s="8"/>
      <c r="H69" s="8"/>
      <c r="I69" s="8"/>
      <c r="J69" s="8"/>
      <c r="K69" s="8"/>
      <c r="L69" s="8"/>
      <c r="M69" s="8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</row>
    <row r="70" spans="2:60" x14ac:dyDescent="0.3">
      <c r="B70" s="174" t="str">
        <f>STN_1</f>
        <v>RWN</v>
      </c>
      <c r="C70" s="17">
        <f>Schedule!C37</f>
        <v>43191</v>
      </c>
      <c r="D70" s="17">
        <f>Schedule!D37</f>
        <v>43466</v>
      </c>
      <c r="E70" s="17">
        <f>Schedule!E37</f>
        <v>43709</v>
      </c>
      <c r="F70" s="8" t="s">
        <v>44</v>
      </c>
      <c r="G70" s="8" t="s">
        <v>19</v>
      </c>
      <c r="H70" s="20" t="str">
        <f t="shared" ref="H70:H78" si="93">G70&amp;F70</f>
        <v>Distribution system assetsReplacement</v>
      </c>
      <c r="I70" s="390">
        <f>Direct_Capex_Totals!Q46</f>
        <v>154.40411233885823</v>
      </c>
      <c r="J70" s="390">
        <f>Direct_Capex_Totals!R46</f>
        <v>268.65959780621563</v>
      </c>
      <c r="K70" s="390">
        <f>Direct_Capex_Totals!S46</f>
        <v>0</v>
      </c>
      <c r="L70" s="390">
        <f>Direct_Capex_Totals!T46</f>
        <v>312.08104943609578</v>
      </c>
      <c r="M70" s="390">
        <f>Direct_Capex_Totals!U46</f>
        <v>0</v>
      </c>
      <c r="N70" s="6"/>
      <c r="O70" s="6"/>
      <c r="P70" s="6">
        <f>I70</f>
        <v>154.40411233885823</v>
      </c>
      <c r="Q70" s="6"/>
      <c r="R70" s="6"/>
      <c r="S70" s="6"/>
      <c r="T70" s="6"/>
      <c r="U70" s="6"/>
      <c r="V70" s="6"/>
      <c r="W70" s="6"/>
      <c r="X70" s="6"/>
      <c r="Y70" s="6"/>
      <c r="Z70" s="6">
        <f>J70</f>
        <v>268.65959780621563</v>
      </c>
      <c r="AA70" s="6"/>
      <c r="AB70" s="6"/>
      <c r="AC70" s="6"/>
      <c r="AD70" s="6"/>
      <c r="AE70" s="6"/>
      <c r="AF70" s="6"/>
      <c r="AG70" s="6"/>
      <c r="AH70" s="6">
        <f>K70</f>
        <v>0</v>
      </c>
      <c r="AI70" s="6">
        <f>L70</f>
        <v>312.08104943609578</v>
      </c>
      <c r="AJ70" s="6">
        <v>0</v>
      </c>
      <c r="AK70" s="6"/>
      <c r="AL70" s="6"/>
      <c r="AM70" s="6"/>
      <c r="AN70" s="6"/>
      <c r="AO70" s="6"/>
      <c r="AP70" s="6"/>
      <c r="AQ70" s="6"/>
      <c r="AR70" s="6">
        <f>M70</f>
        <v>0</v>
      </c>
      <c r="AS70" s="6"/>
      <c r="AT70" s="6"/>
      <c r="AU70" s="6"/>
      <c r="AV70" s="6"/>
      <c r="AW70" s="6"/>
      <c r="AX70" s="6">
        <f t="shared" ref="AX70" si="94">N70+W70+AF70+AO70</f>
        <v>0</v>
      </c>
      <c r="AY70" s="6">
        <f t="shared" ref="AY70" si="95">O70+X70+AG70+AP70</f>
        <v>0</v>
      </c>
      <c r="AZ70" s="6">
        <f t="shared" ref="AZ70" si="96">P70+Y70+AH70+AQ70</f>
        <v>154.40411233885823</v>
      </c>
      <c r="BA70" s="6">
        <f t="shared" ref="BA70" si="97">Q70+Z70+AI70+AR70</f>
        <v>580.74064724231141</v>
      </c>
      <c r="BB70" s="6">
        <f t="shared" ref="BB70" si="98">R70+AA70+AJ70+AS70</f>
        <v>0</v>
      </c>
      <c r="BC70" s="6">
        <f t="shared" ref="BC70" si="99">S70+AB70+AK70+AT70</f>
        <v>0</v>
      </c>
      <c r="BD70" s="6">
        <f t="shared" ref="BD70" si="100">T70+AC70+AL70+AU70</f>
        <v>0</v>
      </c>
      <c r="BE70" s="6">
        <f t="shared" ref="BE70" si="101">U70+AD70+AM70+AV70</f>
        <v>0</v>
      </c>
      <c r="BG70" s="14">
        <f t="shared" ref="BG70:BG78" si="102">SUM(AX70:BE70)</f>
        <v>735.14475958116964</v>
      </c>
      <c r="BH70" s="19">
        <f>BG70-Direct_Capex_Totals!V46</f>
        <v>0</v>
      </c>
    </row>
    <row r="71" spans="2:60" x14ac:dyDescent="0.3">
      <c r="B71" s="174" t="str">
        <f>STN_2</f>
        <v>ELM</v>
      </c>
      <c r="C71" s="17">
        <f>Schedule!C38</f>
        <v>43282</v>
      </c>
      <c r="D71" s="17">
        <f>Schedule!D38</f>
        <v>43647</v>
      </c>
      <c r="E71" s="17">
        <f>Schedule!E38</f>
        <v>44105</v>
      </c>
      <c r="F71" s="8" t="s">
        <v>44</v>
      </c>
      <c r="G71" s="8" t="s">
        <v>19</v>
      </c>
      <c r="H71" s="20" t="str">
        <f t="shared" si="93"/>
        <v>Distribution system assetsReplacement</v>
      </c>
      <c r="I71" s="390">
        <f>Direct_Capex_Totals!Q47</f>
        <v>328.59793554327814</v>
      </c>
      <c r="J71" s="390">
        <f>Direct_Capex_Totals!R47</f>
        <v>603.50786106032899</v>
      </c>
      <c r="K71" s="390">
        <f>Direct_Capex_Totals!S47</f>
        <v>0</v>
      </c>
      <c r="L71" s="390">
        <f>Direct_Capex_Totals!T47</f>
        <v>670.51172449244928</v>
      </c>
      <c r="M71" s="390">
        <f>Direct_Capex_Totals!U47</f>
        <v>0</v>
      </c>
      <c r="N71" s="6"/>
      <c r="O71" s="6"/>
      <c r="P71" s="6">
        <f>$I71*0.5</f>
        <v>164.29896777163907</v>
      </c>
      <c r="Q71" s="6">
        <f>$I71*0.5</f>
        <v>164.29896777163907</v>
      </c>
      <c r="R71" s="6"/>
      <c r="S71" s="6"/>
      <c r="T71" s="6"/>
      <c r="U71" s="6"/>
      <c r="V71" s="6"/>
      <c r="W71" s="6"/>
      <c r="X71" s="6"/>
      <c r="Y71" s="6"/>
      <c r="Z71" s="6">
        <f>$J71*0.5</f>
        <v>301.7539305301645</v>
      </c>
      <c r="AA71" s="6">
        <f t="shared" ref="AA71:AA78" si="103">$J71*0.5</f>
        <v>301.7539305301645</v>
      </c>
      <c r="AB71" s="6"/>
      <c r="AC71" s="6"/>
      <c r="AD71" s="6"/>
      <c r="AE71" s="6"/>
      <c r="AF71" s="6"/>
      <c r="AG71" s="6"/>
      <c r="AH71" s="6">
        <f t="shared" ref="AH71:AH78" si="104">K71</f>
        <v>0</v>
      </c>
      <c r="AI71" s="6">
        <f>$L71*0.5</f>
        <v>335.25586224622464</v>
      </c>
      <c r="AJ71" s="6">
        <f t="shared" ref="AJ71:AJ78" si="105">$L71*0.5</f>
        <v>335.25586224622464</v>
      </c>
      <c r="AK71" s="6"/>
      <c r="AL71" s="6"/>
      <c r="AM71" s="6"/>
      <c r="AN71" s="6"/>
      <c r="AO71" s="6"/>
      <c r="AP71" s="6"/>
      <c r="AQ71" s="6"/>
      <c r="AR71" s="6">
        <f>$M71*0.5</f>
        <v>0</v>
      </c>
      <c r="AS71" s="6">
        <f t="shared" ref="AS71:AS78" si="106">$M71*0.5</f>
        <v>0</v>
      </c>
      <c r="AT71" s="6"/>
      <c r="AU71" s="6"/>
      <c r="AV71" s="6"/>
      <c r="AW71" s="6"/>
      <c r="AX71" s="6">
        <f t="shared" ref="AX71:AX78" si="107">N71+W71+AF71+AO71</f>
        <v>0</v>
      </c>
      <c r="AY71" s="6">
        <f t="shared" ref="AY71:AY78" si="108">O71+X71+AG71+AP71</f>
        <v>0</v>
      </c>
      <c r="AZ71" s="6">
        <f t="shared" ref="AZ71:AZ78" si="109">P71+Y71+AH71+AQ71</f>
        <v>164.29896777163907</v>
      </c>
      <c r="BA71" s="6">
        <f t="shared" ref="BA71:BA78" si="110">Q71+Z71+AI71+AR71</f>
        <v>801.3087605480282</v>
      </c>
      <c r="BB71" s="6">
        <f t="shared" ref="BB71:BB78" si="111">R71+AA71+AJ71+AS71</f>
        <v>637.00979277638908</v>
      </c>
      <c r="BC71" s="6">
        <f t="shared" ref="BC71:BC78" si="112">S71+AB71+AK71+AT71</f>
        <v>0</v>
      </c>
      <c r="BD71" s="6">
        <f t="shared" ref="BD71:BD78" si="113">T71+AC71+AL71+AU71</f>
        <v>0</v>
      </c>
      <c r="BE71" s="6">
        <f t="shared" ref="BE71:BE78" si="114">U71+AD71+AM71+AV71</f>
        <v>0</v>
      </c>
      <c r="BG71" s="14">
        <f t="shared" si="102"/>
        <v>1602.6175210960564</v>
      </c>
      <c r="BH71" s="19">
        <f>BG71-Direct_Capex_Totals!V47</f>
        <v>0</v>
      </c>
    </row>
    <row r="72" spans="2:60" x14ac:dyDescent="0.3">
      <c r="B72" s="174" t="str">
        <f>STN_3</f>
        <v>FGY</v>
      </c>
      <c r="C72" s="17">
        <f>Schedule!C39</f>
        <v>43330</v>
      </c>
      <c r="D72" s="17">
        <f>Schedule!D39</f>
        <v>43586</v>
      </c>
      <c r="E72" s="17">
        <f>Schedule!E39</f>
        <v>44075</v>
      </c>
      <c r="F72" s="8" t="s">
        <v>44</v>
      </c>
      <c r="G72" s="8" t="s">
        <v>19</v>
      </c>
      <c r="H72" s="20" t="str">
        <f t="shared" si="93"/>
        <v>Distribution system assetsReplacement</v>
      </c>
      <c r="I72" s="390">
        <f>Direct_Capex_Totals!Q48</f>
        <v>489.96932965009205</v>
      </c>
      <c r="J72" s="390">
        <f>Direct_Capex_Totals!R48</f>
        <v>912.38829981718447</v>
      </c>
      <c r="K72" s="390">
        <f>Direct_Capex_Totals!S48</f>
        <v>0</v>
      </c>
      <c r="L72" s="390">
        <f>Direct_Capex_Totals!T48</f>
        <v>1019.2089539882136</v>
      </c>
      <c r="M72" s="390">
        <f>Direct_Capex_Totals!U48</f>
        <v>0</v>
      </c>
      <c r="N72" s="6"/>
      <c r="O72" s="6"/>
      <c r="P72" s="6">
        <f>$I72*0.6</f>
        <v>293.98159779005522</v>
      </c>
      <c r="Q72" s="6">
        <f>$I72*0.4</f>
        <v>195.98773186003683</v>
      </c>
      <c r="R72" s="6"/>
      <c r="S72" s="6"/>
      <c r="T72" s="6"/>
      <c r="U72" s="6"/>
      <c r="V72" s="6"/>
      <c r="W72" s="6"/>
      <c r="X72" s="6"/>
      <c r="Y72" s="6"/>
      <c r="Z72" s="6">
        <f t="shared" ref="Z72:Z78" si="115">$J72*0.5</f>
        <v>456.19414990859224</v>
      </c>
      <c r="AA72" s="6">
        <f t="shared" si="103"/>
        <v>456.19414990859224</v>
      </c>
      <c r="AB72" s="6"/>
      <c r="AC72" s="6"/>
      <c r="AD72" s="6"/>
      <c r="AE72" s="6"/>
      <c r="AF72" s="6"/>
      <c r="AG72" s="6"/>
      <c r="AH72" s="6">
        <f t="shared" si="104"/>
        <v>0</v>
      </c>
      <c r="AI72" s="6">
        <f t="shared" ref="AI72:AI78" si="116">$L72*0.5</f>
        <v>509.60447699410679</v>
      </c>
      <c r="AJ72" s="6">
        <f t="shared" si="105"/>
        <v>509.60447699410679</v>
      </c>
      <c r="AK72" s="6"/>
      <c r="AL72" s="6"/>
      <c r="AM72" s="6"/>
      <c r="AN72" s="6"/>
      <c r="AO72" s="6"/>
      <c r="AP72" s="6"/>
      <c r="AQ72" s="6"/>
      <c r="AR72" s="6">
        <f t="shared" ref="AR72:AR78" si="117">$M72*0.5</f>
        <v>0</v>
      </c>
      <c r="AS72" s="6">
        <f t="shared" si="106"/>
        <v>0</v>
      </c>
      <c r="AT72" s="6"/>
      <c r="AU72" s="6"/>
      <c r="AV72" s="6"/>
      <c r="AW72" s="6"/>
      <c r="AX72" s="6">
        <f t="shared" si="107"/>
        <v>0</v>
      </c>
      <c r="AY72" s="6">
        <f t="shared" si="108"/>
        <v>0</v>
      </c>
      <c r="AZ72" s="6">
        <f t="shared" si="109"/>
        <v>293.98159779005522</v>
      </c>
      <c r="BA72" s="6">
        <f t="shared" si="110"/>
        <v>1161.7863587627357</v>
      </c>
      <c r="BB72" s="6">
        <f t="shared" si="111"/>
        <v>965.79862690269897</v>
      </c>
      <c r="BC72" s="6">
        <f t="shared" si="112"/>
        <v>0</v>
      </c>
      <c r="BD72" s="6">
        <f t="shared" si="113"/>
        <v>0</v>
      </c>
      <c r="BE72" s="6">
        <f t="shared" si="114"/>
        <v>0</v>
      </c>
      <c r="BG72" s="14">
        <f t="shared" si="102"/>
        <v>2421.5665834554902</v>
      </c>
      <c r="BH72" s="19">
        <f>BG72-Direct_Capex_Totals!V48</f>
        <v>0</v>
      </c>
    </row>
    <row r="73" spans="2:60" x14ac:dyDescent="0.3">
      <c r="B73" s="174" t="str">
        <f>STN_4</f>
        <v>WOTS22</v>
      </c>
      <c r="C73" s="17">
        <f>Schedule!C40</f>
        <v>43238</v>
      </c>
      <c r="D73" s="17">
        <f>Schedule!D40</f>
        <v>43525</v>
      </c>
      <c r="E73" s="17">
        <f>Schedule!E40</f>
        <v>44061</v>
      </c>
      <c r="F73" s="8" t="s">
        <v>44</v>
      </c>
      <c r="G73" s="8" t="s">
        <v>19</v>
      </c>
      <c r="H73" s="20" t="str">
        <f t="shared" si="93"/>
        <v>Distribution system assetsReplacement</v>
      </c>
      <c r="I73" s="390">
        <f>Direct_Capex_Totals!Q49</f>
        <v>392.52358011049728</v>
      </c>
      <c r="J73" s="390">
        <f>Direct_Capex_Totals!R49</f>
        <v>714.1151736745885</v>
      </c>
      <c r="K73" s="390">
        <f>Direct_Capex_Totals!S49</f>
        <v>0</v>
      </c>
      <c r="L73" s="390">
        <f>Direct_Capex_Totals!T49</f>
        <v>816.16116459373848</v>
      </c>
      <c r="M73" s="390">
        <f>Direct_Capex_Totals!U49</f>
        <v>0</v>
      </c>
      <c r="N73" s="6"/>
      <c r="O73" s="6"/>
      <c r="P73" s="6">
        <f>I73</f>
        <v>392.52358011049728</v>
      </c>
      <c r="Q73" s="6"/>
      <c r="R73" s="6"/>
      <c r="S73" s="6"/>
      <c r="T73" s="6"/>
      <c r="U73" s="6"/>
      <c r="V73" s="6"/>
      <c r="W73" s="6"/>
      <c r="X73" s="6"/>
      <c r="Y73" s="6"/>
      <c r="Z73" s="6">
        <f t="shared" si="115"/>
        <v>357.05758683729425</v>
      </c>
      <c r="AA73" s="6">
        <f t="shared" si="103"/>
        <v>357.05758683729425</v>
      </c>
      <c r="AB73" s="6"/>
      <c r="AC73" s="6"/>
      <c r="AD73" s="6"/>
      <c r="AE73" s="6"/>
      <c r="AF73" s="6"/>
      <c r="AG73" s="6"/>
      <c r="AH73" s="6">
        <f t="shared" si="104"/>
        <v>0</v>
      </c>
      <c r="AI73" s="6">
        <f t="shared" si="116"/>
        <v>408.08058229686924</v>
      </c>
      <c r="AJ73" s="6">
        <f t="shared" si="105"/>
        <v>408.08058229686924</v>
      </c>
      <c r="AK73" s="6"/>
      <c r="AL73" s="6"/>
      <c r="AM73" s="6"/>
      <c r="AN73" s="6"/>
      <c r="AO73" s="6"/>
      <c r="AP73" s="6"/>
      <c r="AQ73" s="6"/>
      <c r="AR73" s="6">
        <f t="shared" si="117"/>
        <v>0</v>
      </c>
      <c r="AS73" s="6">
        <f t="shared" si="106"/>
        <v>0</v>
      </c>
      <c r="AT73" s="6"/>
      <c r="AU73" s="6"/>
      <c r="AV73" s="6"/>
      <c r="AW73" s="6"/>
      <c r="AX73" s="6">
        <f t="shared" si="107"/>
        <v>0</v>
      </c>
      <c r="AY73" s="6">
        <f t="shared" si="108"/>
        <v>0</v>
      </c>
      <c r="AZ73" s="6">
        <f t="shared" si="109"/>
        <v>392.52358011049728</v>
      </c>
      <c r="BA73" s="6">
        <f t="shared" si="110"/>
        <v>765.13816913416349</v>
      </c>
      <c r="BB73" s="6">
        <f t="shared" si="111"/>
        <v>765.13816913416349</v>
      </c>
      <c r="BC73" s="6">
        <f t="shared" si="112"/>
        <v>0</v>
      </c>
      <c r="BD73" s="6">
        <f t="shared" si="113"/>
        <v>0</v>
      </c>
      <c r="BE73" s="6">
        <f t="shared" si="114"/>
        <v>0</v>
      </c>
      <c r="BG73" s="14">
        <f t="shared" si="102"/>
        <v>1922.7999183788243</v>
      </c>
      <c r="BH73" s="19">
        <f>BG73-Direct_Capex_Totals!V49</f>
        <v>0</v>
      </c>
    </row>
    <row r="74" spans="2:60" x14ac:dyDescent="0.3">
      <c r="B74" s="174" t="str">
        <f>STN_5</f>
        <v>MOE</v>
      </c>
      <c r="C74" s="17">
        <f>Schedule!C41</f>
        <v>43330</v>
      </c>
      <c r="D74" s="17">
        <f>Schedule!D41</f>
        <v>43739</v>
      </c>
      <c r="E74" s="17">
        <f>Schedule!E41</f>
        <v>44136</v>
      </c>
      <c r="F74" s="8" t="s">
        <v>44</v>
      </c>
      <c r="G74" s="8" t="s">
        <v>19</v>
      </c>
      <c r="H74" s="20" t="str">
        <f t="shared" si="93"/>
        <v>Distribution system assetsReplacement</v>
      </c>
      <c r="I74" s="390">
        <f>Direct_Capex_Totals!Q50</f>
        <v>219.10520810313079</v>
      </c>
      <c r="J74" s="390">
        <f>Direct_Capex_Totals!R50</f>
        <v>324.59780621572202</v>
      </c>
      <c r="K74" s="390">
        <f>Direct_Capex_Totals!S50</f>
        <v>0</v>
      </c>
      <c r="L74" s="390">
        <f>Direct_Capex_Totals!T50</f>
        <v>417.15023908066303</v>
      </c>
      <c r="M74" s="390">
        <f>Direct_Capex_Totals!U50</f>
        <v>0</v>
      </c>
      <c r="N74" s="6"/>
      <c r="O74" s="6"/>
      <c r="P74" s="6">
        <v>0</v>
      </c>
      <c r="Q74" s="6">
        <f>I74</f>
        <v>219.10520810313079</v>
      </c>
      <c r="R74" s="6"/>
      <c r="S74" s="6"/>
      <c r="T74" s="6"/>
      <c r="U74" s="6"/>
      <c r="V74" s="6"/>
      <c r="W74" s="6"/>
      <c r="X74" s="6"/>
      <c r="Y74" s="6"/>
      <c r="Z74" s="6">
        <f t="shared" si="115"/>
        <v>162.29890310786101</v>
      </c>
      <c r="AA74" s="6">
        <f t="shared" si="103"/>
        <v>162.29890310786101</v>
      </c>
      <c r="AB74" s="6"/>
      <c r="AC74" s="6"/>
      <c r="AD74" s="6"/>
      <c r="AE74" s="6"/>
      <c r="AF74" s="6"/>
      <c r="AG74" s="6"/>
      <c r="AH74" s="6">
        <f t="shared" si="104"/>
        <v>0</v>
      </c>
      <c r="AI74" s="6">
        <f t="shared" si="116"/>
        <v>208.57511954033151</v>
      </c>
      <c r="AJ74" s="6">
        <f t="shared" si="105"/>
        <v>208.57511954033151</v>
      </c>
      <c r="AK74" s="6"/>
      <c r="AL74" s="6"/>
      <c r="AM74" s="6"/>
      <c r="AN74" s="6"/>
      <c r="AO74" s="6"/>
      <c r="AP74" s="6"/>
      <c r="AQ74" s="6"/>
      <c r="AR74" s="6">
        <f t="shared" si="117"/>
        <v>0</v>
      </c>
      <c r="AS74" s="6">
        <f t="shared" si="106"/>
        <v>0</v>
      </c>
      <c r="AT74" s="6"/>
      <c r="AU74" s="6"/>
      <c r="AV74" s="6"/>
      <c r="AW74" s="6"/>
      <c r="AX74" s="6">
        <f t="shared" si="107"/>
        <v>0</v>
      </c>
      <c r="AY74" s="6">
        <f t="shared" si="108"/>
        <v>0</v>
      </c>
      <c r="AZ74" s="6">
        <f t="shared" si="109"/>
        <v>0</v>
      </c>
      <c r="BA74" s="6">
        <f t="shared" si="110"/>
        <v>589.97923075132326</v>
      </c>
      <c r="BB74" s="6">
        <f t="shared" si="111"/>
        <v>370.87402264819252</v>
      </c>
      <c r="BC74" s="6">
        <f t="shared" si="112"/>
        <v>0</v>
      </c>
      <c r="BD74" s="6">
        <f t="shared" si="113"/>
        <v>0</v>
      </c>
      <c r="BE74" s="6">
        <f t="shared" si="114"/>
        <v>0</v>
      </c>
      <c r="BG74" s="14">
        <f t="shared" si="102"/>
        <v>960.85325339951578</v>
      </c>
      <c r="BH74" s="19">
        <f>BG74-Direct_Capex_Totals!V50</f>
        <v>0</v>
      </c>
    </row>
    <row r="75" spans="2:60" x14ac:dyDescent="0.3">
      <c r="B75" s="174" t="str">
        <f>STN_6</f>
        <v>BGE</v>
      </c>
      <c r="C75" s="17">
        <f>Schedule!C42</f>
        <v>43282</v>
      </c>
      <c r="D75" s="17">
        <f>Schedule!D42</f>
        <v>43617</v>
      </c>
      <c r="E75" s="17">
        <f>Schedule!E42</f>
        <v>44013</v>
      </c>
      <c r="F75" s="8" t="s">
        <v>44</v>
      </c>
      <c r="G75" s="8" t="s">
        <v>19</v>
      </c>
      <c r="H75" s="20" t="str">
        <f t="shared" si="93"/>
        <v>Distribution system assetsReplacement</v>
      </c>
      <c r="I75" s="390">
        <f>Direct_Capex_Totals!Q51</f>
        <v>448.26576058931869</v>
      </c>
      <c r="J75" s="390">
        <f>Direct_Capex_Totals!R51</f>
        <v>326.55027422303465</v>
      </c>
      <c r="K75" s="390">
        <f>Direct_Capex_Totals!S51</f>
        <v>0</v>
      </c>
      <c r="L75" s="390">
        <f>Direct_Capex_Totals!T51</f>
        <v>755.45128355211773</v>
      </c>
      <c r="M75" s="390">
        <f>Direct_Capex_Totals!U51</f>
        <v>0</v>
      </c>
      <c r="N75" s="6"/>
      <c r="O75" s="6"/>
      <c r="P75" s="6">
        <f>$I75*0.6</f>
        <v>268.95945635359118</v>
      </c>
      <c r="Q75" s="6">
        <f>$I75*0.4</f>
        <v>179.30630423572748</v>
      </c>
      <c r="R75" s="6"/>
      <c r="S75" s="6"/>
      <c r="T75" s="6"/>
      <c r="U75" s="6"/>
      <c r="V75" s="6"/>
      <c r="W75" s="6"/>
      <c r="X75" s="6"/>
      <c r="Y75" s="6"/>
      <c r="Z75" s="6">
        <f t="shared" si="115"/>
        <v>163.27513711151732</v>
      </c>
      <c r="AA75" s="6">
        <f t="shared" si="103"/>
        <v>163.27513711151732</v>
      </c>
      <c r="AB75" s="6"/>
      <c r="AC75" s="6"/>
      <c r="AD75" s="6"/>
      <c r="AE75" s="6"/>
      <c r="AF75" s="6"/>
      <c r="AG75" s="6"/>
      <c r="AH75" s="6">
        <f t="shared" si="104"/>
        <v>0</v>
      </c>
      <c r="AI75" s="6">
        <f t="shared" si="116"/>
        <v>377.72564177605886</v>
      </c>
      <c r="AJ75" s="6">
        <f t="shared" si="105"/>
        <v>377.72564177605886</v>
      </c>
      <c r="AK75" s="6"/>
      <c r="AL75" s="6"/>
      <c r="AM75" s="6"/>
      <c r="AN75" s="6"/>
      <c r="AO75" s="6"/>
      <c r="AP75" s="6"/>
      <c r="AQ75" s="6"/>
      <c r="AR75" s="6">
        <f t="shared" si="117"/>
        <v>0</v>
      </c>
      <c r="AS75" s="6">
        <f t="shared" si="106"/>
        <v>0</v>
      </c>
      <c r="AT75" s="6"/>
      <c r="AU75" s="6"/>
      <c r="AV75" s="6"/>
      <c r="AW75" s="6"/>
      <c r="AX75" s="6">
        <f t="shared" si="107"/>
        <v>0</v>
      </c>
      <c r="AY75" s="6">
        <f t="shared" si="108"/>
        <v>0</v>
      </c>
      <c r="AZ75" s="6">
        <f t="shared" si="109"/>
        <v>268.95945635359118</v>
      </c>
      <c r="BA75" s="6">
        <f t="shared" si="110"/>
        <v>720.30708312330364</v>
      </c>
      <c r="BB75" s="6">
        <f t="shared" si="111"/>
        <v>541.00077888757619</v>
      </c>
      <c r="BC75" s="6">
        <f t="shared" si="112"/>
        <v>0</v>
      </c>
      <c r="BD75" s="6">
        <f t="shared" si="113"/>
        <v>0</v>
      </c>
      <c r="BE75" s="6">
        <f t="shared" si="114"/>
        <v>0</v>
      </c>
      <c r="BG75" s="14">
        <f t="shared" si="102"/>
        <v>1530.2673183644711</v>
      </c>
      <c r="BH75" s="19">
        <f>BG75-Direct_Capex_Totals!V51</f>
        <v>0</v>
      </c>
    </row>
    <row r="76" spans="2:60" x14ac:dyDescent="0.3">
      <c r="B76" s="174" t="str">
        <f>STN_7</f>
        <v>LDL</v>
      </c>
      <c r="C76" s="17">
        <f>Schedule!C43</f>
        <v>43422</v>
      </c>
      <c r="D76" s="17">
        <f>Schedule!D43</f>
        <v>43739</v>
      </c>
      <c r="E76" s="17">
        <f>Schedule!E43</f>
        <v>44044</v>
      </c>
      <c r="F76" s="8" t="s">
        <v>44</v>
      </c>
      <c r="G76" s="8" t="s">
        <v>19</v>
      </c>
      <c r="H76" s="20" t="str">
        <f t="shared" si="93"/>
        <v>Distribution system assetsReplacement</v>
      </c>
      <c r="I76" s="390">
        <f>Direct_Capex_Totals!Q52</f>
        <v>312.40180294659308</v>
      </c>
      <c r="J76" s="390">
        <f>Direct_Capex_Totals!R52</f>
        <v>452.77733089579522</v>
      </c>
      <c r="K76" s="390">
        <f>Direct_Capex_Totals!S52</f>
        <v>0</v>
      </c>
      <c r="L76" s="390">
        <f>Direct_Capex_Totals!T52</f>
        <v>602.8443806618784</v>
      </c>
      <c r="M76" s="390">
        <f>Direct_Capex_Totals!U52</f>
        <v>0</v>
      </c>
      <c r="N76" s="6"/>
      <c r="O76" s="6"/>
      <c r="P76" s="6">
        <v>0</v>
      </c>
      <c r="Q76" s="6">
        <f>I76</f>
        <v>312.40180294659308</v>
      </c>
      <c r="R76" s="6"/>
      <c r="S76" s="6"/>
      <c r="T76" s="6"/>
      <c r="U76" s="6"/>
      <c r="V76" s="6"/>
      <c r="W76" s="6"/>
      <c r="X76" s="6"/>
      <c r="Y76" s="6"/>
      <c r="Z76" s="6">
        <f t="shared" si="115"/>
        <v>226.38866544789761</v>
      </c>
      <c r="AA76" s="6">
        <f t="shared" si="103"/>
        <v>226.38866544789761</v>
      </c>
      <c r="AB76" s="6"/>
      <c r="AC76" s="6"/>
      <c r="AD76" s="6"/>
      <c r="AE76" s="6"/>
      <c r="AF76" s="6"/>
      <c r="AG76" s="6"/>
      <c r="AH76" s="6">
        <f t="shared" si="104"/>
        <v>0</v>
      </c>
      <c r="AI76" s="6">
        <f t="shared" si="116"/>
        <v>301.4221903309392</v>
      </c>
      <c r="AJ76" s="6">
        <f t="shared" si="105"/>
        <v>301.4221903309392</v>
      </c>
      <c r="AK76" s="6"/>
      <c r="AL76" s="6"/>
      <c r="AM76" s="6"/>
      <c r="AN76" s="6"/>
      <c r="AO76" s="6"/>
      <c r="AP76" s="6"/>
      <c r="AQ76" s="6"/>
      <c r="AR76" s="6">
        <f t="shared" si="117"/>
        <v>0</v>
      </c>
      <c r="AS76" s="6">
        <f t="shared" si="106"/>
        <v>0</v>
      </c>
      <c r="AT76" s="6"/>
      <c r="AU76" s="6"/>
      <c r="AV76" s="6"/>
      <c r="AW76" s="6"/>
      <c r="AX76" s="6">
        <f t="shared" si="107"/>
        <v>0</v>
      </c>
      <c r="AY76" s="6">
        <f t="shared" si="108"/>
        <v>0</v>
      </c>
      <c r="AZ76" s="6">
        <f t="shared" si="109"/>
        <v>0</v>
      </c>
      <c r="BA76" s="6">
        <f t="shared" si="110"/>
        <v>840.21265872542995</v>
      </c>
      <c r="BB76" s="6">
        <f t="shared" si="111"/>
        <v>527.81085577883687</v>
      </c>
      <c r="BC76" s="6">
        <f t="shared" si="112"/>
        <v>0</v>
      </c>
      <c r="BD76" s="6">
        <f t="shared" si="113"/>
        <v>0</v>
      </c>
      <c r="BE76" s="6">
        <f t="shared" si="114"/>
        <v>0</v>
      </c>
      <c r="BG76" s="14">
        <f t="shared" si="102"/>
        <v>1368.0235145042668</v>
      </c>
      <c r="BH76" s="19">
        <f>BG76-Direct_Capex_Totals!V52</f>
        <v>0</v>
      </c>
    </row>
    <row r="77" spans="2:60" x14ac:dyDescent="0.3">
      <c r="B77" s="174" t="str">
        <f>STN_8</f>
        <v>BDL</v>
      </c>
      <c r="C77" s="17">
        <f>Schedule!C44</f>
        <v>43282</v>
      </c>
      <c r="D77" s="17">
        <f>Schedule!D44</f>
        <v>43603</v>
      </c>
      <c r="E77" s="17">
        <f>Schedule!E44</f>
        <v>43952</v>
      </c>
      <c r="F77" s="8" t="s">
        <v>44</v>
      </c>
      <c r="G77" s="8" t="s">
        <v>19</v>
      </c>
      <c r="H77" s="20" t="str">
        <f t="shared" si="93"/>
        <v>Distribution system assetsReplacement</v>
      </c>
      <c r="I77" s="390">
        <f>Direct_Capex_Totals!Q53</f>
        <v>269.63812338858196</v>
      </c>
      <c r="J77" s="390">
        <f>Direct_Capex_Totals!R53</f>
        <v>595.99085923217535</v>
      </c>
      <c r="K77" s="390">
        <f>Direct_Capex_Totals!S53</f>
        <v>0</v>
      </c>
      <c r="L77" s="390">
        <f>Direct_Capex_Totals!T53</f>
        <v>593.94366583535907</v>
      </c>
      <c r="M77" s="390">
        <f>Direct_Capex_Totals!U53</f>
        <v>0</v>
      </c>
      <c r="N77" s="6"/>
      <c r="O77" s="6"/>
      <c r="P77" s="6">
        <f>$I77*0.6</f>
        <v>161.78287403314917</v>
      </c>
      <c r="Q77" s="6">
        <f>$I77*0.4</f>
        <v>107.85524935543279</v>
      </c>
      <c r="R77" s="6"/>
      <c r="S77" s="6"/>
      <c r="T77" s="6"/>
      <c r="U77" s="6"/>
      <c r="V77" s="6"/>
      <c r="W77" s="6"/>
      <c r="X77" s="6"/>
      <c r="Y77" s="6"/>
      <c r="Z77" s="6">
        <f t="shared" si="115"/>
        <v>297.99542961608768</v>
      </c>
      <c r="AA77" s="6">
        <f t="shared" si="103"/>
        <v>297.99542961608768</v>
      </c>
      <c r="AB77" s="6"/>
      <c r="AC77" s="6"/>
      <c r="AD77" s="6"/>
      <c r="AE77" s="6"/>
      <c r="AF77" s="6"/>
      <c r="AG77" s="6"/>
      <c r="AH77" s="6">
        <f t="shared" si="104"/>
        <v>0</v>
      </c>
      <c r="AI77" s="6">
        <f t="shared" si="116"/>
        <v>296.97183291767954</v>
      </c>
      <c r="AJ77" s="6">
        <f t="shared" si="105"/>
        <v>296.97183291767954</v>
      </c>
      <c r="AK77" s="6"/>
      <c r="AL77" s="6"/>
      <c r="AM77" s="6"/>
      <c r="AN77" s="6"/>
      <c r="AO77" s="6"/>
      <c r="AP77" s="6"/>
      <c r="AQ77" s="6"/>
      <c r="AR77" s="6">
        <f t="shared" si="117"/>
        <v>0</v>
      </c>
      <c r="AS77" s="6">
        <f t="shared" si="106"/>
        <v>0</v>
      </c>
      <c r="AT77" s="6"/>
      <c r="AU77" s="6"/>
      <c r="AV77" s="6"/>
      <c r="AW77" s="6"/>
      <c r="AX77" s="6">
        <f t="shared" si="107"/>
        <v>0</v>
      </c>
      <c r="AY77" s="6">
        <f t="shared" si="108"/>
        <v>0</v>
      </c>
      <c r="AZ77" s="6">
        <f t="shared" si="109"/>
        <v>161.78287403314917</v>
      </c>
      <c r="BA77" s="6">
        <f t="shared" si="110"/>
        <v>702.82251188919997</v>
      </c>
      <c r="BB77" s="6">
        <f t="shared" si="111"/>
        <v>594.96726253376721</v>
      </c>
      <c r="BC77" s="6">
        <f t="shared" si="112"/>
        <v>0</v>
      </c>
      <c r="BD77" s="6">
        <f t="shared" si="113"/>
        <v>0</v>
      </c>
      <c r="BE77" s="6">
        <f t="shared" si="114"/>
        <v>0</v>
      </c>
      <c r="BG77" s="14">
        <f t="shared" si="102"/>
        <v>1459.5726484561164</v>
      </c>
      <c r="BH77" s="19">
        <f>BG77-Direct_Capex_Totals!V53</f>
        <v>0</v>
      </c>
    </row>
    <row r="78" spans="2:60" x14ac:dyDescent="0.3">
      <c r="B78" s="174" t="str">
        <f>STN_9</f>
        <v>[spare]</v>
      </c>
      <c r="C78" s="17">
        <f>Schedule!C45</f>
        <v>0</v>
      </c>
      <c r="D78" s="17">
        <f>Schedule!D45</f>
        <v>0</v>
      </c>
      <c r="E78" s="17">
        <f>Schedule!E45</f>
        <v>0</v>
      </c>
      <c r="F78" s="8" t="s">
        <v>44</v>
      </c>
      <c r="G78" s="8" t="s">
        <v>19</v>
      </c>
      <c r="H78" s="20" t="str">
        <f t="shared" si="93"/>
        <v>Distribution system assetsReplacement</v>
      </c>
      <c r="I78" s="390">
        <f>Direct_Capex_Totals!Q54</f>
        <v>0</v>
      </c>
      <c r="J78" s="390">
        <f>Direct_Capex_Totals!R54</f>
        <v>0</v>
      </c>
      <c r="K78" s="390">
        <f>Direct_Capex_Totals!S54</f>
        <v>0</v>
      </c>
      <c r="L78" s="390">
        <f>Direct_Capex_Totals!T54</f>
        <v>0</v>
      </c>
      <c r="M78" s="390">
        <f>Direct_Capex_Totals!U54</f>
        <v>0</v>
      </c>
      <c r="N78" s="6"/>
      <c r="O78" s="6"/>
      <c r="P78" s="6">
        <f>$I78*0.6</f>
        <v>0</v>
      </c>
      <c r="Q78" s="6">
        <f>$I78*0.4</f>
        <v>0</v>
      </c>
      <c r="R78" s="6"/>
      <c r="S78" s="6"/>
      <c r="T78" s="6"/>
      <c r="U78" s="6"/>
      <c r="V78" s="6"/>
      <c r="W78" s="6"/>
      <c r="X78" s="6"/>
      <c r="Y78" s="6"/>
      <c r="Z78" s="6">
        <f t="shared" si="115"/>
        <v>0</v>
      </c>
      <c r="AA78" s="6">
        <f t="shared" si="103"/>
        <v>0</v>
      </c>
      <c r="AB78" s="6"/>
      <c r="AC78" s="6"/>
      <c r="AD78" s="6"/>
      <c r="AE78" s="6"/>
      <c r="AF78" s="6"/>
      <c r="AG78" s="6"/>
      <c r="AH78" s="6">
        <f t="shared" si="104"/>
        <v>0</v>
      </c>
      <c r="AI78" s="6">
        <f t="shared" si="116"/>
        <v>0</v>
      </c>
      <c r="AJ78" s="6">
        <f t="shared" si="105"/>
        <v>0</v>
      </c>
      <c r="AK78" s="6"/>
      <c r="AL78" s="6"/>
      <c r="AM78" s="6"/>
      <c r="AN78" s="6"/>
      <c r="AO78" s="6"/>
      <c r="AP78" s="6"/>
      <c r="AQ78" s="6"/>
      <c r="AR78" s="6">
        <f t="shared" si="117"/>
        <v>0</v>
      </c>
      <c r="AS78" s="6">
        <f t="shared" si="106"/>
        <v>0</v>
      </c>
      <c r="AT78" s="6"/>
      <c r="AU78" s="6"/>
      <c r="AV78" s="6"/>
      <c r="AW78" s="6"/>
      <c r="AX78" s="6">
        <f t="shared" si="107"/>
        <v>0</v>
      </c>
      <c r="AY78" s="6">
        <f t="shared" si="108"/>
        <v>0</v>
      </c>
      <c r="AZ78" s="6">
        <f t="shared" si="109"/>
        <v>0</v>
      </c>
      <c r="BA78" s="6">
        <f t="shared" si="110"/>
        <v>0</v>
      </c>
      <c r="BB78" s="6">
        <f t="shared" si="111"/>
        <v>0</v>
      </c>
      <c r="BC78" s="6">
        <f t="shared" si="112"/>
        <v>0</v>
      </c>
      <c r="BD78" s="6">
        <f t="shared" si="113"/>
        <v>0</v>
      </c>
      <c r="BE78" s="6">
        <f t="shared" si="114"/>
        <v>0</v>
      </c>
      <c r="BG78" s="14">
        <f t="shared" si="102"/>
        <v>0</v>
      </c>
      <c r="BH78" s="19">
        <f>BG78-Direct_Capex_Totals!V54</f>
        <v>0</v>
      </c>
    </row>
    <row r="79" spans="2:60" x14ac:dyDescent="0.3">
      <c r="C79" s="45"/>
      <c r="D79" s="45"/>
      <c r="E79" s="20"/>
      <c r="F79" s="8"/>
      <c r="G79" s="8"/>
      <c r="H79" s="8"/>
      <c r="I79" s="8"/>
      <c r="J79" s="8"/>
      <c r="K79" s="8"/>
      <c r="L79" s="8"/>
      <c r="M79" s="8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</row>
    <row r="80" spans="2:60" x14ac:dyDescent="0.3">
      <c r="B80" s="25" t="s">
        <v>118</v>
      </c>
      <c r="C80" s="45"/>
      <c r="D80" s="45"/>
      <c r="E80" s="20"/>
      <c r="F80" s="8"/>
      <c r="G80" s="8"/>
      <c r="H80" s="8"/>
      <c r="I80" s="8"/>
      <c r="J80" s="8"/>
      <c r="K80" s="8"/>
      <c r="L80" s="8"/>
      <c r="M80" s="8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</row>
    <row r="81" spans="2:60" x14ac:dyDescent="0.3">
      <c r="B81" s="174" t="str">
        <f>STN_1</f>
        <v>RWN</v>
      </c>
      <c r="C81" s="17">
        <f>Schedule!C48</f>
        <v>43191</v>
      </c>
      <c r="D81" s="17">
        <f>Schedule!D48</f>
        <v>43466</v>
      </c>
      <c r="E81" s="20">
        <f>Schedule!E48</f>
        <v>43709</v>
      </c>
      <c r="F81" s="8" t="s">
        <v>44</v>
      </c>
      <c r="G81" s="8" t="s">
        <v>19</v>
      </c>
      <c r="H81" s="20" t="str">
        <f t="shared" ref="H81:H89" si="118">G81&amp;F81</f>
        <v>Distribution system assetsReplacement</v>
      </c>
      <c r="I81" s="390">
        <f>Direct_Capex_Totals!Q59</f>
        <v>21.323700104130506</v>
      </c>
      <c r="J81" s="390">
        <f>Direct_Capex_Totals!R59</f>
        <v>6.8797885572139581</v>
      </c>
      <c r="K81" s="390">
        <f>Direct_Capex_Totals!S59</f>
        <v>4.3901735508503981</v>
      </c>
      <c r="L81" s="390">
        <f>Direct_Capex_Totals!T59</f>
        <v>23.832370704616444</v>
      </c>
      <c r="M81" s="390">
        <f>Direct_Capex_Totals!U59</f>
        <v>6.2716765012148539</v>
      </c>
      <c r="N81" s="6"/>
      <c r="O81" s="6"/>
      <c r="P81" s="6">
        <f>I81</f>
        <v>21.323700104130506</v>
      </c>
      <c r="Q81" s="6"/>
      <c r="R81" s="6"/>
      <c r="S81" s="6"/>
      <c r="T81" s="6"/>
      <c r="U81" s="6"/>
      <c r="V81" s="6"/>
      <c r="W81" s="6"/>
      <c r="X81" s="6"/>
      <c r="Y81" s="6"/>
      <c r="Z81" s="6">
        <f>J81</f>
        <v>6.8797885572139581</v>
      </c>
      <c r="AA81" s="6"/>
      <c r="AB81" s="6"/>
      <c r="AC81" s="6"/>
      <c r="AD81" s="6"/>
      <c r="AE81" s="6"/>
      <c r="AF81" s="6"/>
      <c r="AG81" s="6"/>
      <c r="AH81" s="6">
        <f>K81</f>
        <v>4.3901735508503981</v>
      </c>
      <c r="AI81" s="6">
        <f>L81</f>
        <v>23.832370704616444</v>
      </c>
      <c r="AJ81" s="6">
        <v>0</v>
      </c>
      <c r="AK81" s="6"/>
      <c r="AL81" s="6"/>
      <c r="AM81" s="6"/>
      <c r="AN81" s="6"/>
      <c r="AO81" s="6"/>
      <c r="AP81" s="6"/>
      <c r="AQ81" s="6"/>
      <c r="AR81" s="6">
        <f>M81</f>
        <v>6.2716765012148539</v>
      </c>
      <c r="AS81" s="6"/>
      <c r="AT81" s="6"/>
      <c r="AU81" s="6"/>
      <c r="AV81" s="6"/>
      <c r="AW81" s="6"/>
      <c r="AX81" s="38">
        <f>N81+W81+AF81+AO81</f>
        <v>0</v>
      </c>
      <c r="AY81" s="6">
        <f t="shared" ref="AY81:AY89" si="119">O81+X81+AG81+AP81</f>
        <v>0</v>
      </c>
      <c r="AZ81" s="6">
        <f t="shared" ref="AZ81:AZ89" si="120">P81+Y81+AH81+AQ81</f>
        <v>25.713873654980905</v>
      </c>
      <c r="BA81" s="6">
        <f t="shared" ref="BA81:BA89" si="121">Q81+Z81+AI81+AR81</f>
        <v>36.983835763045256</v>
      </c>
      <c r="BB81" s="6">
        <f t="shared" ref="BB81:BB89" si="122">R81+AA81+AJ81+AS81</f>
        <v>0</v>
      </c>
      <c r="BC81" s="6">
        <f t="shared" ref="BC81:BC89" si="123">S81+AB81+AK81+AT81</f>
        <v>0</v>
      </c>
      <c r="BD81" s="6">
        <f t="shared" ref="BD81:BD89" si="124">T81+AC81+AL81+AU81</f>
        <v>0</v>
      </c>
      <c r="BE81" s="6">
        <f t="shared" ref="BE81:BE89" si="125">U81+AD81+AM81+AV81</f>
        <v>0</v>
      </c>
      <c r="BG81" s="14">
        <f t="shared" ref="BG81:BG89" si="126">SUM(AX81:BE81)</f>
        <v>62.697709418026164</v>
      </c>
      <c r="BH81" s="11">
        <f>BG81-Direct_Capex_Totals!V59</f>
        <v>0</v>
      </c>
    </row>
    <row r="82" spans="2:60" x14ac:dyDescent="0.3">
      <c r="B82" s="174" t="str">
        <f>STN_2</f>
        <v>ELM</v>
      </c>
      <c r="C82" s="17">
        <f>Schedule!C49</f>
        <v>43282</v>
      </c>
      <c r="D82" s="17">
        <f>Schedule!D49</f>
        <v>43647</v>
      </c>
      <c r="E82" s="20">
        <f>Schedule!E49</f>
        <v>44105</v>
      </c>
      <c r="F82" s="8" t="s">
        <v>44</v>
      </c>
      <c r="G82" s="8" t="s">
        <v>19</v>
      </c>
      <c r="H82" s="20" t="str">
        <f t="shared" si="118"/>
        <v>Distribution system assetsReplacement</v>
      </c>
      <c r="I82" s="390">
        <f>Direct_Capex_Totals!Q60</f>
        <v>127.94220062478303</v>
      </c>
      <c r="J82" s="390">
        <f>Direct_Capex_Totals!R60</f>
        <v>41.278731343283752</v>
      </c>
      <c r="K82" s="390">
        <f>Direct_Capex_Totals!S60</f>
        <v>26.341041305102387</v>
      </c>
      <c r="L82" s="390">
        <f>Direct_Capex_Totals!T60</f>
        <v>142.99422422769868</v>
      </c>
      <c r="M82" s="390">
        <f>Direct_Capex_Totals!U60</f>
        <v>37.63005900728912</v>
      </c>
      <c r="N82" s="6"/>
      <c r="O82" s="6"/>
      <c r="P82" s="6">
        <f>$I82*0.5</f>
        <v>63.971100312391513</v>
      </c>
      <c r="Q82" s="6">
        <f>$I82*0.5</f>
        <v>63.971100312391513</v>
      </c>
      <c r="R82" s="6"/>
      <c r="S82" s="6"/>
      <c r="T82" s="6"/>
      <c r="U82" s="6"/>
      <c r="V82" s="6"/>
      <c r="W82" s="6"/>
      <c r="X82" s="6"/>
      <c r="Y82" s="6"/>
      <c r="Z82" s="6">
        <f>$J82*0.5</f>
        <v>20.639365671641876</v>
      </c>
      <c r="AA82" s="6">
        <f t="shared" ref="AA82:AA89" si="127">$J82*0.5</f>
        <v>20.639365671641876</v>
      </c>
      <c r="AB82" s="6"/>
      <c r="AC82" s="6"/>
      <c r="AD82" s="6"/>
      <c r="AE82" s="6"/>
      <c r="AF82" s="6"/>
      <c r="AG82" s="6"/>
      <c r="AH82" s="6">
        <f t="shared" ref="AH82:AH89" si="128">K82</f>
        <v>26.341041305102387</v>
      </c>
      <c r="AI82" s="6">
        <f>$L82*0.5</f>
        <v>71.49711211384934</v>
      </c>
      <c r="AJ82" s="6">
        <f t="shared" ref="AJ82:AJ89" si="129">$L82*0.5</f>
        <v>71.49711211384934</v>
      </c>
      <c r="AK82" s="6"/>
      <c r="AL82" s="6"/>
      <c r="AM82" s="6"/>
      <c r="AN82" s="6"/>
      <c r="AO82" s="6"/>
      <c r="AP82" s="6"/>
      <c r="AQ82" s="6"/>
      <c r="AR82" s="6">
        <f>$M82*0.5</f>
        <v>18.81502950364456</v>
      </c>
      <c r="AS82" s="6">
        <f t="shared" ref="AS82:AS89" si="130">$M82*0.5</f>
        <v>18.81502950364456</v>
      </c>
      <c r="AT82" s="6"/>
      <c r="AU82" s="6"/>
      <c r="AV82" s="6"/>
      <c r="AW82" s="6"/>
      <c r="AX82" s="38">
        <f t="shared" ref="AX82:AX89" si="131">N82+W82+AF82+AO82</f>
        <v>0</v>
      </c>
      <c r="AY82" s="6">
        <f t="shared" si="119"/>
        <v>0</v>
      </c>
      <c r="AZ82" s="6">
        <f t="shared" si="120"/>
        <v>90.312141617493893</v>
      </c>
      <c r="BA82" s="6">
        <f t="shared" si="121"/>
        <v>174.92260760152729</v>
      </c>
      <c r="BB82" s="6">
        <f t="shared" si="122"/>
        <v>110.95150728913578</v>
      </c>
      <c r="BC82" s="6">
        <f t="shared" si="123"/>
        <v>0</v>
      </c>
      <c r="BD82" s="6">
        <f t="shared" si="124"/>
        <v>0</v>
      </c>
      <c r="BE82" s="6">
        <f t="shared" si="125"/>
        <v>0</v>
      </c>
      <c r="BG82" s="14">
        <f t="shared" si="126"/>
        <v>376.18625650815693</v>
      </c>
      <c r="BH82" s="11">
        <f>BG82-Direct_Capex_Totals!V60</f>
        <v>0</v>
      </c>
    </row>
    <row r="83" spans="2:60" x14ac:dyDescent="0.3">
      <c r="B83" s="174" t="str">
        <f>STN_3</f>
        <v>FGY</v>
      </c>
      <c r="C83" s="17">
        <f>Schedule!C50</f>
        <v>43330</v>
      </c>
      <c r="D83" s="17">
        <f>Schedule!D50</f>
        <v>43586</v>
      </c>
      <c r="E83" s="20">
        <f>Schedule!E50</f>
        <v>44075</v>
      </c>
      <c r="F83" s="8" t="s">
        <v>44</v>
      </c>
      <c r="G83" s="8" t="s">
        <v>19</v>
      </c>
      <c r="H83" s="20" t="str">
        <f t="shared" si="118"/>
        <v>Distribution system assetsReplacement</v>
      </c>
      <c r="I83" s="390">
        <f>Direct_Capex_Totals!Q61</f>
        <v>0</v>
      </c>
      <c r="J83" s="390">
        <f>Direct_Capex_Totals!R61</f>
        <v>0</v>
      </c>
      <c r="K83" s="390">
        <f>Direct_Capex_Totals!S61</f>
        <v>0</v>
      </c>
      <c r="L83" s="390">
        <f>Direct_Capex_Totals!T61</f>
        <v>0</v>
      </c>
      <c r="M83" s="390">
        <f>Direct_Capex_Totals!U61</f>
        <v>0</v>
      </c>
      <c r="N83" s="6"/>
      <c r="O83" s="6"/>
      <c r="P83" s="6">
        <f>$I83*0.6</f>
        <v>0</v>
      </c>
      <c r="Q83" s="6">
        <f>$I83*0.4</f>
        <v>0</v>
      </c>
      <c r="R83" s="6"/>
      <c r="S83" s="6"/>
      <c r="T83" s="6"/>
      <c r="U83" s="6"/>
      <c r="V83" s="6"/>
      <c r="W83" s="6"/>
      <c r="X83" s="6"/>
      <c r="Y83" s="6"/>
      <c r="Z83" s="6">
        <f t="shared" ref="Z83:Z89" si="132">$J83*0.5</f>
        <v>0</v>
      </c>
      <c r="AA83" s="6">
        <f t="shared" si="127"/>
        <v>0</v>
      </c>
      <c r="AB83" s="6"/>
      <c r="AC83" s="6"/>
      <c r="AD83" s="6"/>
      <c r="AE83" s="6"/>
      <c r="AF83" s="6"/>
      <c r="AG83" s="6"/>
      <c r="AH83" s="6">
        <f t="shared" si="128"/>
        <v>0</v>
      </c>
      <c r="AI83" s="6">
        <f t="shared" ref="AI83:AI89" si="133">$L83*0.5</f>
        <v>0</v>
      </c>
      <c r="AJ83" s="6">
        <f t="shared" si="129"/>
        <v>0</v>
      </c>
      <c r="AK83" s="6"/>
      <c r="AL83" s="6"/>
      <c r="AM83" s="6"/>
      <c r="AN83" s="6"/>
      <c r="AO83" s="6"/>
      <c r="AP83" s="6"/>
      <c r="AQ83" s="6"/>
      <c r="AR83" s="6">
        <f t="shared" ref="AR83:AR89" si="134">$M83*0.5</f>
        <v>0</v>
      </c>
      <c r="AS83" s="6">
        <f t="shared" si="130"/>
        <v>0</v>
      </c>
      <c r="AT83" s="6"/>
      <c r="AU83" s="6"/>
      <c r="AV83" s="6"/>
      <c r="AW83" s="6"/>
      <c r="AX83" s="38">
        <f t="shared" si="131"/>
        <v>0</v>
      </c>
      <c r="AY83" s="6">
        <f t="shared" si="119"/>
        <v>0</v>
      </c>
      <c r="AZ83" s="6">
        <f t="shared" si="120"/>
        <v>0</v>
      </c>
      <c r="BA83" s="6">
        <f t="shared" si="121"/>
        <v>0</v>
      </c>
      <c r="BB83" s="6">
        <f t="shared" si="122"/>
        <v>0</v>
      </c>
      <c r="BC83" s="6">
        <f t="shared" si="123"/>
        <v>0</v>
      </c>
      <c r="BD83" s="6">
        <f t="shared" si="124"/>
        <v>0</v>
      </c>
      <c r="BE83" s="6">
        <f t="shared" si="125"/>
        <v>0</v>
      </c>
      <c r="BG83" s="14">
        <f t="shared" si="126"/>
        <v>0</v>
      </c>
      <c r="BH83" s="11">
        <f>BG83-Direct_Capex_Totals!V61</f>
        <v>0</v>
      </c>
    </row>
    <row r="84" spans="2:60" x14ac:dyDescent="0.3">
      <c r="B84" s="174" t="str">
        <f>STN_4</f>
        <v>WOTS22</v>
      </c>
      <c r="C84" s="17">
        <f>Schedule!C51</f>
        <v>43238</v>
      </c>
      <c r="D84" s="17">
        <f>Schedule!D51</f>
        <v>43525</v>
      </c>
      <c r="E84" s="20">
        <f>Schedule!E51</f>
        <v>44061</v>
      </c>
      <c r="F84" s="8" t="s">
        <v>44</v>
      </c>
      <c r="G84" s="8" t="s">
        <v>19</v>
      </c>
      <c r="H84" s="20" t="str">
        <f t="shared" si="118"/>
        <v>Distribution system assetsReplacement</v>
      </c>
      <c r="I84" s="390">
        <f>Direct_Capex_Totals!Q62</f>
        <v>319.85550156195757</v>
      </c>
      <c r="J84" s="390">
        <f>Direct_Capex_Totals!R62</f>
        <v>103.19682835820937</v>
      </c>
      <c r="K84" s="390">
        <f>Direct_Capex_Totals!S62</f>
        <v>65.852603262755977</v>
      </c>
      <c r="L84" s="390">
        <f>Direct_Capex_Totals!T62</f>
        <v>357.48556056924667</v>
      </c>
      <c r="M84" s="390">
        <f>Direct_Capex_Totals!U62</f>
        <v>94.075147518222806</v>
      </c>
      <c r="N84" s="6"/>
      <c r="O84" s="6"/>
      <c r="P84" s="6">
        <f>I84</f>
        <v>319.85550156195757</v>
      </c>
      <c r="Q84" s="6"/>
      <c r="R84" s="6"/>
      <c r="S84" s="6"/>
      <c r="T84" s="6"/>
      <c r="U84" s="6"/>
      <c r="V84" s="6"/>
      <c r="W84" s="6"/>
      <c r="X84" s="6"/>
      <c r="Y84" s="6"/>
      <c r="Z84" s="6">
        <f t="shared" si="132"/>
        <v>51.598414179104687</v>
      </c>
      <c r="AA84" s="6">
        <f t="shared" si="127"/>
        <v>51.598414179104687</v>
      </c>
      <c r="AB84" s="6"/>
      <c r="AC84" s="6"/>
      <c r="AD84" s="6"/>
      <c r="AE84" s="6"/>
      <c r="AF84" s="6"/>
      <c r="AG84" s="6"/>
      <c r="AH84" s="6">
        <f t="shared" si="128"/>
        <v>65.852603262755977</v>
      </c>
      <c r="AI84" s="6">
        <f t="shared" si="133"/>
        <v>178.74278028462334</v>
      </c>
      <c r="AJ84" s="6">
        <f t="shared" si="129"/>
        <v>178.74278028462334</v>
      </c>
      <c r="AK84" s="6"/>
      <c r="AL84" s="6"/>
      <c r="AM84" s="6"/>
      <c r="AN84" s="6"/>
      <c r="AO84" s="6"/>
      <c r="AP84" s="6"/>
      <c r="AQ84" s="6"/>
      <c r="AR84" s="6">
        <f t="shared" si="134"/>
        <v>47.037573759111403</v>
      </c>
      <c r="AS84" s="6">
        <f t="shared" si="130"/>
        <v>47.037573759111403</v>
      </c>
      <c r="AT84" s="6"/>
      <c r="AU84" s="6"/>
      <c r="AV84" s="6"/>
      <c r="AW84" s="6"/>
      <c r="AX84" s="38">
        <f t="shared" si="131"/>
        <v>0</v>
      </c>
      <c r="AY84" s="6">
        <f t="shared" si="119"/>
        <v>0</v>
      </c>
      <c r="AZ84" s="6">
        <f t="shared" si="120"/>
        <v>385.70810482471353</v>
      </c>
      <c r="BA84" s="6">
        <f t="shared" si="121"/>
        <v>277.37876822283943</v>
      </c>
      <c r="BB84" s="6">
        <f t="shared" si="122"/>
        <v>277.37876822283943</v>
      </c>
      <c r="BC84" s="6">
        <f t="shared" si="123"/>
        <v>0</v>
      </c>
      <c r="BD84" s="6">
        <f t="shared" si="124"/>
        <v>0</v>
      </c>
      <c r="BE84" s="6">
        <f t="shared" si="125"/>
        <v>0</v>
      </c>
      <c r="BG84" s="14">
        <f t="shared" si="126"/>
        <v>940.46564127039233</v>
      </c>
      <c r="BH84" s="11">
        <f>BG84-Direct_Capex_Totals!V62</f>
        <v>0</v>
      </c>
    </row>
    <row r="85" spans="2:60" x14ac:dyDescent="0.3">
      <c r="B85" s="174" t="str">
        <f>STN_5</f>
        <v>MOE</v>
      </c>
      <c r="C85" s="17">
        <f>Schedule!C52</f>
        <v>43330</v>
      </c>
      <c r="D85" s="17">
        <f>Schedule!D52</f>
        <v>43739</v>
      </c>
      <c r="E85" s="20">
        <f>Schedule!E52</f>
        <v>44136</v>
      </c>
      <c r="F85" s="8" t="s">
        <v>44</v>
      </c>
      <c r="G85" s="8" t="s">
        <v>19</v>
      </c>
      <c r="H85" s="20" t="str">
        <f t="shared" si="118"/>
        <v>Distribution system assetsReplacement</v>
      </c>
      <c r="I85" s="390">
        <f>Direct_Capex_Totals!Q63</f>
        <v>234.56070114543556</v>
      </c>
      <c r="J85" s="390">
        <f>Direct_Capex_Totals!R63</f>
        <v>75.677674129353548</v>
      </c>
      <c r="K85" s="390">
        <f>Direct_Capex_Totals!S63</f>
        <v>48.291909059354381</v>
      </c>
      <c r="L85" s="390">
        <f>Direct_Capex_Totals!T63</f>
        <v>262.15607775078087</v>
      </c>
      <c r="M85" s="390">
        <f>Direct_Capex_Totals!U63</f>
        <v>68.988441513363398</v>
      </c>
      <c r="N85" s="6"/>
      <c r="O85" s="6"/>
      <c r="P85" s="6">
        <v>0</v>
      </c>
      <c r="Q85" s="6">
        <f>I85</f>
        <v>234.56070114543556</v>
      </c>
      <c r="R85" s="6"/>
      <c r="S85" s="6"/>
      <c r="T85" s="6"/>
      <c r="U85" s="6"/>
      <c r="V85" s="6"/>
      <c r="W85" s="6"/>
      <c r="X85" s="6"/>
      <c r="Y85" s="6"/>
      <c r="Z85" s="6">
        <f t="shared" si="132"/>
        <v>37.838837064676774</v>
      </c>
      <c r="AA85" s="6">
        <f t="shared" si="127"/>
        <v>37.838837064676774</v>
      </c>
      <c r="AB85" s="6"/>
      <c r="AC85" s="6"/>
      <c r="AD85" s="6"/>
      <c r="AE85" s="6"/>
      <c r="AF85" s="6"/>
      <c r="AG85" s="6"/>
      <c r="AH85" s="6">
        <f t="shared" si="128"/>
        <v>48.291909059354381</v>
      </c>
      <c r="AI85" s="6">
        <f t="shared" si="133"/>
        <v>131.07803887539043</v>
      </c>
      <c r="AJ85" s="6">
        <f t="shared" si="129"/>
        <v>131.07803887539043</v>
      </c>
      <c r="AK85" s="6"/>
      <c r="AL85" s="6"/>
      <c r="AM85" s="6"/>
      <c r="AN85" s="6"/>
      <c r="AO85" s="6"/>
      <c r="AP85" s="6"/>
      <c r="AQ85" s="6"/>
      <c r="AR85" s="6">
        <f t="shared" si="134"/>
        <v>34.494220756681699</v>
      </c>
      <c r="AS85" s="6">
        <f t="shared" si="130"/>
        <v>34.494220756681699</v>
      </c>
      <c r="AT85" s="6"/>
      <c r="AU85" s="6"/>
      <c r="AV85" s="6"/>
      <c r="AW85" s="6"/>
      <c r="AX85" s="38">
        <f t="shared" si="131"/>
        <v>0</v>
      </c>
      <c r="AY85" s="6">
        <f t="shared" si="119"/>
        <v>0</v>
      </c>
      <c r="AZ85" s="6">
        <f t="shared" si="120"/>
        <v>48.291909059354381</v>
      </c>
      <c r="BA85" s="6">
        <f t="shared" si="121"/>
        <v>437.9717978421844</v>
      </c>
      <c r="BB85" s="6">
        <f t="shared" si="122"/>
        <v>203.4110966967489</v>
      </c>
      <c r="BC85" s="6">
        <f t="shared" si="123"/>
        <v>0</v>
      </c>
      <c r="BD85" s="6">
        <f t="shared" si="124"/>
        <v>0</v>
      </c>
      <c r="BE85" s="6">
        <f t="shared" si="125"/>
        <v>0</v>
      </c>
      <c r="BG85" s="14">
        <f t="shared" si="126"/>
        <v>689.67480359828767</v>
      </c>
      <c r="BH85" s="11">
        <f>BG85-Direct_Capex_Totals!V63</f>
        <v>0</v>
      </c>
    </row>
    <row r="86" spans="2:60" x14ac:dyDescent="0.3">
      <c r="B86" s="174" t="str">
        <f>STN_6</f>
        <v>BGE</v>
      </c>
      <c r="C86" s="17">
        <f>Schedule!C53</f>
        <v>43282</v>
      </c>
      <c r="D86" s="17">
        <f>Schedule!D53</f>
        <v>43617</v>
      </c>
      <c r="E86" s="20">
        <f>Schedule!E53</f>
        <v>44013</v>
      </c>
      <c r="F86" s="8" t="s">
        <v>44</v>
      </c>
      <c r="G86" s="8" t="s">
        <v>19</v>
      </c>
      <c r="H86" s="20" t="str">
        <f t="shared" si="118"/>
        <v>Distribution system assetsReplacement</v>
      </c>
      <c r="I86" s="390">
        <f>Direct_Capex_Totals!Q64</f>
        <v>42.647400208261011</v>
      </c>
      <c r="J86" s="390">
        <f>Direct_Capex_Totals!R64</f>
        <v>13.759577114427916</v>
      </c>
      <c r="K86" s="390">
        <f>Direct_Capex_Totals!S64</f>
        <v>8.7803471017007961</v>
      </c>
      <c r="L86" s="390">
        <f>Direct_Capex_Totals!T64</f>
        <v>47.664741409232889</v>
      </c>
      <c r="M86" s="390">
        <f>Direct_Capex_Totals!U64</f>
        <v>12.543353002429708</v>
      </c>
      <c r="N86" s="6"/>
      <c r="O86" s="6"/>
      <c r="P86" s="6">
        <f>$I86*0.6</f>
        <v>25.588440124956605</v>
      </c>
      <c r="Q86" s="6">
        <f>$I86*0.4</f>
        <v>17.058960083304406</v>
      </c>
      <c r="R86" s="6"/>
      <c r="S86" s="6"/>
      <c r="T86" s="6"/>
      <c r="U86" s="6"/>
      <c r="V86" s="6"/>
      <c r="W86" s="6"/>
      <c r="X86" s="6"/>
      <c r="Y86" s="6"/>
      <c r="Z86" s="6">
        <f t="shared" si="132"/>
        <v>6.8797885572139581</v>
      </c>
      <c r="AA86" s="6">
        <f t="shared" si="127"/>
        <v>6.8797885572139581</v>
      </c>
      <c r="AB86" s="6"/>
      <c r="AC86" s="6"/>
      <c r="AD86" s="6"/>
      <c r="AE86" s="6"/>
      <c r="AF86" s="6"/>
      <c r="AG86" s="6"/>
      <c r="AH86" s="6">
        <f t="shared" si="128"/>
        <v>8.7803471017007961</v>
      </c>
      <c r="AI86" s="6">
        <f t="shared" si="133"/>
        <v>23.832370704616444</v>
      </c>
      <c r="AJ86" s="6">
        <f t="shared" si="129"/>
        <v>23.832370704616444</v>
      </c>
      <c r="AK86" s="6"/>
      <c r="AL86" s="6"/>
      <c r="AM86" s="6"/>
      <c r="AN86" s="6"/>
      <c r="AO86" s="6"/>
      <c r="AP86" s="6"/>
      <c r="AQ86" s="6"/>
      <c r="AR86" s="6">
        <f t="shared" si="134"/>
        <v>6.2716765012148539</v>
      </c>
      <c r="AS86" s="6">
        <f t="shared" si="130"/>
        <v>6.2716765012148539</v>
      </c>
      <c r="AT86" s="6"/>
      <c r="AU86" s="6"/>
      <c r="AV86" s="6"/>
      <c r="AW86" s="6"/>
      <c r="AX86" s="38">
        <f t="shared" si="131"/>
        <v>0</v>
      </c>
      <c r="AY86" s="6">
        <f t="shared" si="119"/>
        <v>0</v>
      </c>
      <c r="AZ86" s="6">
        <f t="shared" si="120"/>
        <v>34.368787226657403</v>
      </c>
      <c r="BA86" s="6">
        <f t="shared" si="121"/>
        <v>54.042795846349662</v>
      </c>
      <c r="BB86" s="6">
        <f t="shared" si="122"/>
        <v>36.983835763045256</v>
      </c>
      <c r="BC86" s="6">
        <f t="shared" si="123"/>
        <v>0</v>
      </c>
      <c r="BD86" s="6">
        <f t="shared" si="124"/>
        <v>0</v>
      </c>
      <c r="BE86" s="6">
        <f t="shared" si="125"/>
        <v>0</v>
      </c>
      <c r="BG86" s="14">
        <f t="shared" si="126"/>
        <v>125.39541883605233</v>
      </c>
      <c r="BH86" s="11">
        <f>BG86-Direct_Capex_Totals!V64</f>
        <v>0</v>
      </c>
    </row>
    <row r="87" spans="2:60" x14ac:dyDescent="0.3">
      <c r="B87" s="174" t="str">
        <f>STN_7</f>
        <v>LDL</v>
      </c>
      <c r="C87" s="17">
        <f>Schedule!C54</f>
        <v>43422</v>
      </c>
      <c r="D87" s="17">
        <f>Schedule!D54</f>
        <v>43739</v>
      </c>
      <c r="E87" s="20">
        <f>Schedule!E54</f>
        <v>44044</v>
      </c>
      <c r="F87" s="8" t="s">
        <v>44</v>
      </c>
      <c r="G87" s="8" t="s">
        <v>19</v>
      </c>
      <c r="H87" s="20" t="str">
        <f t="shared" si="118"/>
        <v>Distribution system assetsReplacement</v>
      </c>
      <c r="I87" s="390">
        <f>Direct_Capex_Totals!Q65</f>
        <v>63.971100312391513</v>
      </c>
      <c r="J87" s="390">
        <f>Direct_Capex_Totals!R65</f>
        <v>20.696532454009017</v>
      </c>
      <c r="K87" s="390">
        <f>Direct_Capex_Totals!S65</f>
        <v>13.170520652551193</v>
      </c>
      <c r="L87" s="390">
        <f>Direct_Capex_Totals!T65</f>
        <v>71.49711211384934</v>
      </c>
      <c r="M87" s="390">
        <f>Direct_Capex_Totals!U65</f>
        <v>18.81502950364456</v>
      </c>
      <c r="N87" s="6"/>
      <c r="O87" s="6"/>
      <c r="P87" s="6">
        <v>0</v>
      </c>
      <c r="Q87" s="6">
        <f>I87</f>
        <v>63.971100312391513</v>
      </c>
      <c r="R87" s="6"/>
      <c r="S87" s="6"/>
      <c r="T87" s="6"/>
      <c r="U87" s="6"/>
      <c r="V87" s="6"/>
      <c r="W87" s="6"/>
      <c r="X87" s="6"/>
      <c r="Y87" s="6"/>
      <c r="Z87" s="6">
        <f t="shared" si="132"/>
        <v>10.348266227004508</v>
      </c>
      <c r="AA87" s="6">
        <f t="shared" si="127"/>
        <v>10.348266227004508</v>
      </c>
      <c r="AB87" s="6"/>
      <c r="AC87" s="6"/>
      <c r="AD87" s="6"/>
      <c r="AE87" s="6"/>
      <c r="AF87" s="6"/>
      <c r="AG87" s="6"/>
      <c r="AH87" s="6">
        <f t="shared" si="128"/>
        <v>13.170520652551193</v>
      </c>
      <c r="AI87" s="6">
        <f t="shared" si="133"/>
        <v>35.74855605692467</v>
      </c>
      <c r="AJ87" s="6">
        <f t="shared" si="129"/>
        <v>35.74855605692467</v>
      </c>
      <c r="AK87" s="6"/>
      <c r="AL87" s="6"/>
      <c r="AM87" s="6"/>
      <c r="AN87" s="6"/>
      <c r="AO87" s="6"/>
      <c r="AP87" s="6"/>
      <c r="AQ87" s="6"/>
      <c r="AR87" s="6">
        <f t="shared" si="134"/>
        <v>9.4075147518222799</v>
      </c>
      <c r="AS87" s="6">
        <f t="shared" si="130"/>
        <v>9.4075147518222799</v>
      </c>
      <c r="AT87" s="6"/>
      <c r="AU87" s="6"/>
      <c r="AV87" s="6"/>
      <c r="AW87" s="6"/>
      <c r="AX87" s="38">
        <f t="shared" si="131"/>
        <v>0</v>
      </c>
      <c r="AY87" s="6">
        <f t="shared" si="119"/>
        <v>0</v>
      </c>
      <c r="AZ87" s="6">
        <f t="shared" si="120"/>
        <v>13.170520652551193</v>
      </c>
      <c r="BA87" s="6">
        <f t="shared" si="121"/>
        <v>119.47543734814296</v>
      </c>
      <c r="BB87" s="6">
        <f t="shared" si="122"/>
        <v>55.504337035751462</v>
      </c>
      <c r="BC87" s="6">
        <f t="shared" si="123"/>
        <v>0</v>
      </c>
      <c r="BD87" s="6">
        <f t="shared" si="124"/>
        <v>0</v>
      </c>
      <c r="BE87" s="6">
        <f t="shared" si="125"/>
        <v>0</v>
      </c>
      <c r="BG87" s="14">
        <f t="shared" si="126"/>
        <v>188.15029503644561</v>
      </c>
      <c r="BH87" s="11">
        <f>BG87-Direct_Capex_Totals!V65</f>
        <v>0</v>
      </c>
    </row>
    <row r="88" spans="2:60" x14ac:dyDescent="0.3">
      <c r="B88" s="174" t="str">
        <f>STN_8</f>
        <v>BDL</v>
      </c>
      <c r="C88" s="17">
        <f>Schedule!C55</f>
        <v>43282</v>
      </c>
      <c r="D88" s="17">
        <f>Schedule!D55</f>
        <v>43603</v>
      </c>
      <c r="E88" s="20">
        <f>Schedule!E55</f>
        <v>43952</v>
      </c>
      <c r="F88" s="8" t="s">
        <v>44</v>
      </c>
      <c r="G88" s="8" t="s">
        <v>19</v>
      </c>
      <c r="H88" s="20" t="str">
        <f t="shared" si="118"/>
        <v>Distribution system assetsReplacement</v>
      </c>
      <c r="I88" s="390">
        <f>Direct_Capex_Totals!Q66</f>
        <v>405.1503019784796</v>
      </c>
      <c r="J88" s="390">
        <f>Direct_Capex_Totals!R66</f>
        <v>130.71598258706524</v>
      </c>
      <c r="K88" s="390">
        <f>Direct_Capex_Totals!S66</f>
        <v>83.413297466157559</v>
      </c>
      <c r="L88" s="390">
        <f>Direct_Capex_Totals!T66</f>
        <v>452.81504338771242</v>
      </c>
      <c r="M88" s="390">
        <f>Direct_Capex_Totals!U66</f>
        <v>119.16185352308223</v>
      </c>
      <c r="N88" s="6"/>
      <c r="O88" s="6"/>
      <c r="P88" s="6">
        <f>$I88*0.6</f>
        <v>243.09018118708775</v>
      </c>
      <c r="Q88" s="6">
        <f>$I88*0.4</f>
        <v>162.06012079139185</v>
      </c>
      <c r="R88" s="6"/>
      <c r="S88" s="6"/>
      <c r="T88" s="6"/>
      <c r="U88" s="6"/>
      <c r="V88" s="6"/>
      <c r="W88" s="6"/>
      <c r="X88" s="6"/>
      <c r="Y88" s="6"/>
      <c r="Z88" s="6">
        <f t="shared" si="132"/>
        <v>65.357991293532621</v>
      </c>
      <c r="AA88" s="6">
        <f t="shared" si="127"/>
        <v>65.357991293532621</v>
      </c>
      <c r="AB88" s="6"/>
      <c r="AC88" s="6"/>
      <c r="AD88" s="6"/>
      <c r="AE88" s="6"/>
      <c r="AF88" s="6"/>
      <c r="AG88" s="6"/>
      <c r="AH88" s="6">
        <f t="shared" si="128"/>
        <v>83.413297466157559</v>
      </c>
      <c r="AI88" s="6">
        <f t="shared" si="133"/>
        <v>226.40752169385621</v>
      </c>
      <c r="AJ88" s="6">
        <f t="shared" si="129"/>
        <v>226.40752169385621</v>
      </c>
      <c r="AK88" s="6"/>
      <c r="AL88" s="6"/>
      <c r="AM88" s="6"/>
      <c r="AN88" s="6"/>
      <c r="AO88" s="6"/>
      <c r="AP88" s="6"/>
      <c r="AQ88" s="6"/>
      <c r="AR88" s="6">
        <f t="shared" si="134"/>
        <v>59.580926761541114</v>
      </c>
      <c r="AS88" s="6">
        <f t="shared" si="130"/>
        <v>59.580926761541114</v>
      </c>
      <c r="AT88" s="6"/>
      <c r="AU88" s="6"/>
      <c r="AV88" s="6"/>
      <c r="AW88" s="6"/>
      <c r="AX88" s="38">
        <f t="shared" si="131"/>
        <v>0</v>
      </c>
      <c r="AY88" s="6">
        <f t="shared" si="119"/>
        <v>0</v>
      </c>
      <c r="AZ88" s="6">
        <f t="shared" si="120"/>
        <v>326.50347865324534</v>
      </c>
      <c r="BA88" s="6">
        <f t="shared" si="121"/>
        <v>513.40656054032183</v>
      </c>
      <c r="BB88" s="6">
        <f t="shared" si="122"/>
        <v>351.34643974892992</v>
      </c>
      <c r="BC88" s="6">
        <f t="shared" si="123"/>
        <v>0</v>
      </c>
      <c r="BD88" s="6">
        <f t="shared" si="124"/>
        <v>0</v>
      </c>
      <c r="BE88" s="6">
        <f t="shared" si="125"/>
        <v>0</v>
      </c>
      <c r="BG88" s="14">
        <f t="shared" si="126"/>
        <v>1191.2564789424971</v>
      </c>
      <c r="BH88" s="11">
        <f>BG88-Direct_Capex_Totals!V66</f>
        <v>0</v>
      </c>
    </row>
    <row r="89" spans="2:60" x14ac:dyDescent="0.3">
      <c r="B89" s="174" t="str">
        <f>STN_9</f>
        <v>[spare]</v>
      </c>
      <c r="C89" s="17">
        <f>Schedule!C56</f>
        <v>0</v>
      </c>
      <c r="D89" s="17">
        <f>Schedule!D56</f>
        <v>0</v>
      </c>
      <c r="E89" s="20">
        <f>Schedule!E56</f>
        <v>0</v>
      </c>
      <c r="F89" s="8" t="s">
        <v>44</v>
      </c>
      <c r="G89" s="8" t="s">
        <v>19</v>
      </c>
      <c r="H89" s="20" t="str">
        <f t="shared" si="118"/>
        <v>Distribution system assetsReplacement</v>
      </c>
      <c r="I89" s="390">
        <f>Direct_Capex_Totals!Q67</f>
        <v>0</v>
      </c>
      <c r="J89" s="390">
        <f>Direct_Capex_Totals!R67</f>
        <v>0</v>
      </c>
      <c r="K89" s="390">
        <f>Direct_Capex_Totals!S67</f>
        <v>0</v>
      </c>
      <c r="L89" s="390">
        <f>Direct_Capex_Totals!T67</f>
        <v>0</v>
      </c>
      <c r="M89" s="390">
        <f>Direct_Capex_Totals!U67</f>
        <v>0</v>
      </c>
      <c r="N89" s="6"/>
      <c r="O89" s="6"/>
      <c r="P89" s="6">
        <f>$I89*0.6</f>
        <v>0</v>
      </c>
      <c r="Q89" s="6">
        <f>$I89*0.4</f>
        <v>0</v>
      </c>
      <c r="R89" s="6"/>
      <c r="S89" s="6"/>
      <c r="T89" s="6"/>
      <c r="U89" s="6"/>
      <c r="V89" s="6"/>
      <c r="W89" s="6"/>
      <c r="X89" s="6"/>
      <c r="Y89" s="6"/>
      <c r="Z89" s="6">
        <f t="shared" si="132"/>
        <v>0</v>
      </c>
      <c r="AA89" s="6">
        <f t="shared" si="127"/>
        <v>0</v>
      </c>
      <c r="AB89" s="6"/>
      <c r="AC89" s="6"/>
      <c r="AD89" s="6"/>
      <c r="AE89" s="6"/>
      <c r="AF89" s="6"/>
      <c r="AG89" s="6"/>
      <c r="AH89" s="6">
        <f t="shared" si="128"/>
        <v>0</v>
      </c>
      <c r="AI89" s="6">
        <f t="shared" si="133"/>
        <v>0</v>
      </c>
      <c r="AJ89" s="6">
        <f t="shared" si="129"/>
        <v>0</v>
      </c>
      <c r="AK89" s="6"/>
      <c r="AL89" s="6"/>
      <c r="AM89" s="6"/>
      <c r="AN89" s="6"/>
      <c r="AO89" s="6"/>
      <c r="AP89" s="6"/>
      <c r="AQ89" s="6"/>
      <c r="AR89" s="6">
        <f t="shared" si="134"/>
        <v>0</v>
      </c>
      <c r="AS89" s="6">
        <f t="shared" si="130"/>
        <v>0</v>
      </c>
      <c r="AT89" s="6"/>
      <c r="AU89" s="6"/>
      <c r="AV89" s="6"/>
      <c r="AW89" s="6"/>
      <c r="AX89" s="38">
        <f t="shared" si="131"/>
        <v>0</v>
      </c>
      <c r="AY89" s="6">
        <f t="shared" si="119"/>
        <v>0</v>
      </c>
      <c r="AZ89" s="6">
        <f t="shared" si="120"/>
        <v>0</v>
      </c>
      <c r="BA89" s="6">
        <f t="shared" si="121"/>
        <v>0</v>
      </c>
      <c r="BB89" s="6">
        <f t="shared" si="122"/>
        <v>0</v>
      </c>
      <c r="BC89" s="6">
        <f t="shared" si="123"/>
        <v>0</v>
      </c>
      <c r="BD89" s="6">
        <f t="shared" si="124"/>
        <v>0</v>
      </c>
      <c r="BE89" s="6">
        <f t="shared" si="125"/>
        <v>0</v>
      </c>
      <c r="BG89" s="14">
        <f t="shared" si="126"/>
        <v>0</v>
      </c>
      <c r="BH89" s="11">
        <f>BG89-Direct_Capex_Totals!V67</f>
        <v>0</v>
      </c>
    </row>
    <row r="90" spans="2:60" x14ac:dyDescent="0.3">
      <c r="C90" s="45"/>
      <c r="D90" s="45"/>
      <c r="E90" s="20"/>
      <c r="F90" s="8"/>
      <c r="G90" s="8"/>
      <c r="H90" s="8"/>
      <c r="I90" s="8"/>
      <c r="J90" s="8"/>
      <c r="K90" s="8"/>
      <c r="L90" s="8"/>
      <c r="M90" s="8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2:60" x14ac:dyDescent="0.3">
      <c r="B91" s="25" t="s">
        <v>9</v>
      </c>
      <c r="C91" s="45"/>
      <c r="D91" s="45"/>
      <c r="E91" s="20"/>
      <c r="F91" s="8"/>
      <c r="G91" s="8"/>
      <c r="H91" s="8"/>
      <c r="I91" s="8"/>
      <c r="J91" s="8"/>
      <c r="K91" s="8"/>
      <c r="L91" s="8"/>
      <c r="M91" s="8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2:60" x14ac:dyDescent="0.3">
      <c r="B92" s="174" t="str">
        <f>STN_1</f>
        <v>RWN</v>
      </c>
      <c r="C92" s="17">
        <f>Schedule!C59</f>
        <v>43191</v>
      </c>
      <c r="D92" s="17">
        <f>Schedule!D59</f>
        <v>43466</v>
      </c>
      <c r="E92" s="20">
        <f>Schedule!E59</f>
        <v>43709</v>
      </c>
      <c r="F92" s="8" t="s">
        <v>44</v>
      </c>
      <c r="G92" s="20" t="s">
        <v>19</v>
      </c>
      <c r="H92" s="20" t="str">
        <f t="shared" ref="H92:H100" si="135">G92&amp;F92</f>
        <v>Distribution system assetsReplacement</v>
      </c>
      <c r="I92" s="390">
        <f>Direct_Capex_Totals!Q73</f>
        <v>134.68634083624181</v>
      </c>
      <c r="J92" s="390">
        <f>Direct_Capex_Totals!R73</f>
        <v>38.408452571184185</v>
      </c>
      <c r="K92" s="390">
        <f>Direct_Capex_Totals!S73</f>
        <v>0</v>
      </c>
      <c r="L92" s="390">
        <f>Direct_Capex_Totals!T73</f>
        <v>63.477812202332117</v>
      </c>
      <c r="M92" s="390">
        <f>Direct_Capex_Totals!U73</f>
        <v>0.13964529822345173</v>
      </c>
      <c r="N92" s="6">
        <v>0</v>
      </c>
      <c r="O92" s="6">
        <v>0</v>
      </c>
      <c r="P92" s="6">
        <f>I92</f>
        <v>134.68634083624181</v>
      </c>
      <c r="Q92" s="6"/>
      <c r="R92" s="6"/>
      <c r="S92" s="6"/>
      <c r="T92" s="6"/>
      <c r="U92" s="6"/>
      <c r="V92" s="6"/>
      <c r="W92" s="6"/>
      <c r="X92" s="6">
        <v>0</v>
      </c>
      <c r="Y92" s="6">
        <v>0</v>
      </c>
      <c r="Z92" s="6">
        <f>J92</f>
        <v>38.408452571184185</v>
      </c>
      <c r="AA92" s="6"/>
      <c r="AB92" s="6"/>
      <c r="AC92" s="6"/>
      <c r="AD92" s="6"/>
      <c r="AE92" s="6"/>
      <c r="AF92" s="6"/>
      <c r="AG92" s="6"/>
      <c r="AH92" s="6">
        <f>K92</f>
        <v>0</v>
      </c>
      <c r="AI92" s="6">
        <f>L92</f>
        <v>63.477812202332117</v>
      </c>
      <c r="AJ92" s="6">
        <v>0</v>
      </c>
      <c r="AK92" s="6"/>
      <c r="AL92" s="6"/>
      <c r="AM92" s="6"/>
      <c r="AN92" s="6"/>
      <c r="AO92" s="6"/>
      <c r="AP92" s="6">
        <v>0</v>
      </c>
      <c r="AQ92" s="6">
        <v>0</v>
      </c>
      <c r="AR92" s="6">
        <f>M92</f>
        <v>0.13964529822345173</v>
      </c>
      <c r="AS92" s="6"/>
      <c r="AT92" s="6"/>
      <c r="AU92" s="6"/>
      <c r="AV92" s="6"/>
      <c r="AW92" s="6"/>
      <c r="AX92" s="6">
        <f>N92+W92+AF92+AO92</f>
        <v>0</v>
      </c>
      <c r="AY92" s="6">
        <f t="shared" ref="AY92:AY100" si="136">O92+X92+AG92+AP92</f>
        <v>0</v>
      </c>
      <c r="AZ92" s="6">
        <f t="shared" ref="AZ92:AZ100" si="137">P92+Y92+AH92+AQ92</f>
        <v>134.68634083624181</v>
      </c>
      <c r="BA92" s="6">
        <f t="shared" ref="BA92:BA100" si="138">Q92+Z92+AI92+AR92</f>
        <v>102.02591007173976</v>
      </c>
      <c r="BB92" s="6">
        <f t="shared" ref="BB92:BB100" si="139">R92+AA92+AJ92+AS92</f>
        <v>0</v>
      </c>
      <c r="BC92" s="6">
        <f t="shared" ref="BC92:BC100" si="140">S92+AB92+AK92+AT92</f>
        <v>0</v>
      </c>
      <c r="BD92" s="6">
        <f t="shared" ref="BD92:BD100" si="141">T92+AC92+AL92+AU92</f>
        <v>0</v>
      </c>
      <c r="BE92" s="6">
        <f t="shared" ref="BE92:BE100" si="142">U92+AD92+AM92+AV92</f>
        <v>0</v>
      </c>
      <c r="BG92" s="14">
        <f t="shared" ref="BG92:BG100" si="143">SUM(AX92:BE92)</f>
        <v>236.71225090798157</v>
      </c>
      <c r="BH92" s="19">
        <f>BG92-Direct_Capex_Totals!V73</f>
        <v>0</v>
      </c>
    </row>
    <row r="93" spans="2:60" x14ac:dyDescent="0.3">
      <c r="B93" s="174" t="str">
        <f>STN_2</f>
        <v>ELM</v>
      </c>
      <c r="C93" s="17">
        <f>Schedule!C60</f>
        <v>43282</v>
      </c>
      <c r="D93" s="17">
        <f>Schedule!D60</f>
        <v>43647</v>
      </c>
      <c r="E93" s="20">
        <f>Schedule!E60</f>
        <v>44105</v>
      </c>
      <c r="F93" s="8" t="s">
        <v>44</v>
      </c>
      <c r="G93" s="20" t="s">
        <v>19</v>
      </c>
      <c r="H93" s="20" t="str">
        <f t="shared" si="135"/>
        <v>Distribution system assetsReplacement</v>
      </c>
      <c r="I93" s="390">
        <f>Direct_Capex_Totals!Q74</f>
        <v>67.343170418120906</v>
      </c>
      <c r="J93" s="390">
        <f>Direct_Capex_Totals!R74</f>
        <v>19.204226285592092</v>
      </c>
      <c r="K93" s="390">
        <f>Direct_Capex_Totals!S74</f>
        <v>0</v>
      </c>
      <c r="L93" s="390">
        <f>Direct_Capex_Totals!T74</f>
        <v>31.738906101166059</v>
      </c>
      <c r="M93" s="390">
        <f>Direct_Capex_Totals!U74</f>
        <v>6.9822649111725865E-2</v>
      </c>
      <c r="N93" s="6">
        <v>0</v>
      </c>
      <c r="O93" s="6">
        <v>0</v>
      </c>
      <c r="P93" s="6">
        <f>$I93*0.5</f>
        <v>33.671585209060453</v>
      </c>
      <c r="Q93" s="6">
        <f>$I93*0.5</f>
        <v>33.671585209060453</v>
      </c>
      <c r="R93" s="6"/>
      <c r="S93" s="6"/>
      <c r="T93" s="6"/>
      <c r="U93" s="6"/>
      <c r="V93" s="6"/>
      <c r="W93" s="6"/>
      <c r="X93" s="6">
        <v>0</v>
      </c>
      <c r="Y93" s="6">
        <v>0</v>
      </c>
      <c r="Z93" s="6">
        <f>$J93*0.5</f>
        <v>9.6021131427960462</v>
      </c>
      <c r="AA93" s="6">
        <f t="shared" ref="AA93:AA100" si="144">$J93*0.5</f>
        <v>9.6021131427960462</v>
      </c>
      <c r="AB93" s="6"/>
      <c r="AC93" s="6"/>
      <c r="AD93" s="6"/>
      <c r="AE93" s="6"/>
      <c r="AF93" s="6"/>
      <c r="AG93" s="6"/>
      <c r="AH93" s="6">
        <f t="shared" ref="AH93:AH100" si="145">K93</f>
        <v>0</v>
      </c>
      <c r="AI93" s="6">
        <f>$L93*0.5</f>
        <v>15.869453050583029</v>
      </c>
      <c r="AJ93" s="6">
        <f t="shared" ref="AJ93:AJ100" si="146">$L93*0.5</f>
        <v>15.869453050583029</v>
      </c>
      <c r="AK93" s="6"/>
      <c r="AL93" s="6"/>
      <c r="AM93" s="6"/>
      <c r="AN93" s="6"/>
      <c r="AO93" s="6"/>
      <c r="AP93" s="6">
        <v>0</v>
      </c>
      <c r="AQ93" s="6">
        <v>0</v>
      </c>
      <c r="AR93" s="6">
        <f>$M93*0.5</f>
        <v>3.4911324555862933E-2</v>
      </c>
      <c r="AS93" s="6">
        <f t="shared" ref="AS93:AS100" si="147">$M93*0.5</f>
        <v>3.4911324555862933E-2</v>
      </c>
      <c r="AT93" s="6"/>
      <c r="AU93" s="6"/>
      <c r="AV93" s="6"/>
      <c r="AW93" s="6"/>
      <c r="AX93" s="6">
        <f t="shared" ref="AX93:AX100" si="148">N93+W93+AF93+AO93</f>
        <v>0</v>
      </c>
      <c r="AY93" s="6">
        <f t="shared" si="136"/>
        <v>0</v>
      </c>
      <c r="AZ93" s="6">
        <f t="shared" si="137"/>
        <v>33.671585209060453</v>
      </c>
      <c r="BA93" s="6">
        <f t="shared" si="138"/>
        <v>59.178062726995392</v>
      </c>
      <c r="BB93" s="6">
        <f t="shared" si="139"/>
        <v>25.50647751793494</v>
      </c>
      <c r="BC93" s="6">
        <f t="shared" si="140"/>
        <v>0</v>
      </c>
      <c r="BD93" s="6">
        <f t="shared" si="141"/>
        <v>0</v>
      </c>
      <c r="BE93" s="6">
        <f t="shared" si="142"/>
        <v>0</v>
      </c>
      <c r="BG93" s="14">
        <f t="shared" si="143"/>
        <v>118.35612545399078</v>
      </c>
      <c r="BH93" s="19">
        <f>BG93-Direct_Capex_Totals!V74</f>
        <v>0</v>
      </c>
    </row>
    <row r="94" spans="2:60" x14ac:dyDescent="0.3">
      <c r="B94" s="174" t="str">
        <f>STN_3</f>
        <v>FGY</v>
      </c>
      <c r="C94" s="17">
        <f>Schedule!C61</f>
        <v>43330</v>
      </c>
      <c r="D94" s="17">
        <f>Schedule!D61</f>
        <v>43586</v>
      </c>
      <c r="E94" s="20">
        <f>Schedule!E61</f>
        <v>44075</v>
      </c>
      <c r="F94" s="8" t="s">
        <v>44</v>
      </c>
      <c r="G94" s="20" t="s">
        <v>19</v>
      </c>
      <c r="H94" s="20" t="str">
        <f t="shared" si="135"/>
        <v>Distribution system assetsReplacement</v>
      </c>
      <c r="I94" s="390">
        <f>Direct_Capex_Totals!Q75</f>
        <v>67.343170418120906</v>
      </c>
      <c r="J94" s="390">
        <f>Direct_Capex_Totals!R75</f>
        <v>19.204226285592092</v>
      </c>
      <c r="K94" s="390">
        <f>Direct_Capex_Totals!S75</f>
        <v>0</v>
      </c>
      <c r="L94" s="390">
        <f>Direct_Capex_Totals!T75</f>
        <v>31.738906101166059</v>
      </c>
      <c r="M94" s="390">
        <f>Direct_Capex_Totals!U75</f>
        <v>6.9822649111725865E-2</v>
      </c>
      <c r="N94" s="6">
        <v>0</v>
      </c>
      <c r="O94" s="6">
        <v>0</v>
      </c>
      <c r="P94" s="6">
        <f>$I94*0.6</f>
        <v>40.405902250872543</v>
      </c>
      <c r="Q94" s="6">
        <f>$I94*0.4</f>
        <v>26.937268167248362</v>
      </c>
      <c r="R94" s="6"/>
      <c r="S94" s="6"/>
      <c r="T94" s="6"/>
      <c r="U94" s="6"/>
      <c r="V94" s="6"/>
      <c r="W94" s="6"/>
      <c r="X94" s="6">
        <v>0</v>
      </c>
      <c r="Y94" s="6">
        <v>0</v>
      </c>
      <c r="Z94" s="6">
        <f t="shared" ref="Z94:Z100" si="149">$J94*0.5</f>
        <v>9.6021131427960462</v>
      </c>
      <c r="AA94" s="6">
        <f t="shared" si="144"/>
        <v>9.6021131427960462</v>
      </c>
      <c r="AB94" s="6"/>
      <c r="AC94" s="6"/>
      <c r="AD94" s="6"/>
      <c r="AE94" s="6"/>
      <c r="AF94" s="6"/>
      <c r="AG94" s="6"/>
      <c r="AH94" s="6">
        <f t="shared" si="145"/>
        <v>0</v>
      </c>
      <c r="AI94" s="6">
        <f t="shared" ref="AI94:AI100" si="150">$L94*0.5</f>
        <v>15.869453050583029</v>
      </c>
      <c r="AJ94" s="6">
        <f t="shared" si="146"/>
        <v>15.869453050583029</v>
      </c>
      <c r="AK94" s="6"/>
      <c r="AL94" s="6"/>
      <c r="AM94" s="6"/>
      <c r="AN94" s="6"/>
      <c r="AO94" s="6"/>
      <c r="AP94" s="6">
        <v>0</v>
      </c>
      <c r="AQ94" s="6">
        <v>0</v>
      </c>
      <c r="AR94" s="6">
        <f t="shared" ref="AR94:AR100" si="151">$M94*0.5</f>
        <v>3.4911324555862933E-2</v>
      </c>
      <c r="AS94" s="6">
        <f t="shared" si="147"/>
        <v>3.4911324555862933E-2</v>
      </c>
      <c r="AT94" s="6"/>
      <c r="AU94" s="6"/>
      <c r="AV94" s="6"/>
      <c r="AW94" s="6"/>
      <c r="AX94" s="6">
        <f t="shared" si="148"/>
        <v>0</v>
      </c>
      <c r="AY94" s="6">
        <f t="shared" si="136"/>
        <v>0</v>
      </c>
      <c r="AZ94" s="6">
        <f t="shared" si="137"/>
        <v>40.405902250872543</v>
      </c>
      <c r="BA94" s="6">
        <f t="shared" si="138"/>
        <v>52.443745685183302</v>
      </c>
      <c r="BB94" s="6">
        <f t="shared" si="139"/>
        <v>25.50647751793494</v>
      </c>
      <c r="BC94" s="6">
        <f t="shared" si="140"/>
        <v>0</v>
      </c>
      <c r="BD94" s="6">
        <f t="shared" si="141"/>
        <v>0</v>
      </c>
      <c r="BE94" s="6">
        <f t="shared" si="142"/>
        <v>0</v>
      </c>
      <c r="BG94" s="14">
        <f t="shared" si="143"/>
        <v>118.35612545399078</v>
      </c>
      <c r="BH94" s="19">
        <f>BG94-Direct_Capex_Totals!V75</f>
        <v>0</v>
      </c>
    </row>
    <row r="95" spans="2:60" x14ac:dyDescent="0.3">
      <c r="B95" s="174" t="str">
        <f>STN_4</f>
        <v>WOTS22</v>
      </c>
      <c r="C95" s="17">
        <f>Schedule!C62</f>
        <v>43238</v>
      </c>
      <c r="D95" s="17">
        <f>Schedule!D62</f>
        <v>43525</v>
      </c>
      <c r="E95" s="20">
        <f>Schedule!E62</f>
        <v>44061</v>
      </c>
      <c r="F95" s="8" t="s">
        <v>44</v>
      </c>
      <c r="G95" s="20" t="s">
        <v>19</v>
      </c>
      <c r="H95" s="20" t="str">
        <f t="shared" si="135"/>
        <v>Distribution system assetsReplacement</v>
      </c>
      <c r="I95" s="390">
        <f>Direct_Capex_Totals!Q76</f>
        <v>44.895446945413937</v>
      </c>
      <c r="J95" s="390">
        <f>Direct_Capex_Totals!R76</f>
        <v>12.802817523728059</v>
      </c>
      <c r="K95" s="390">
        <f>Direct_Capex_Totals!S76</f>
        <v>0</v>
      </c>
      <c r="L95" s="390">
        <f>Direct_Capex_Totals!T76</f>
        <v>21.159270734110706</v>
      </c>
      <c r="M95" s="390">
        <f>Direct_Capex_Totals!U76</f>
        <v>4.6548432741150579E-2</v>
      </c>
      <c r="N95" s="6">
        <v>0</v>
      </c>
      <c r="O95" s="6">
        <v>0</v>
      </c>
      <c r="P95" s="6">
        <f>I95</f>
        <v>44.895446945413937</v>
      </c>
      <c r="Q95" s="6"/>
      <c r="R95" s="6"/>
      <c r="S95" s="6"/>
      <c r="T95" s="6"/>
      <c r="U95" s="6"/>
      <c r="V95" s="6"/>
      <c r="W95" s="6"/>
      <c r="X95" s="6">
        <v>0</v>
      </c>
      <c r="Y95" s="6">
        <v>0</v>
      </c>
      <c r="Z95" s="6">
        <f t="shared" si="149"/>
        <v>6.4014087618640296</v>
      </c>
      <c r="AA95" s="6">
        <f t="shared" si="144"/>
        <v>6.4014087618640296</v>
      </c>
      <c r="AB95" s="6"/>
      <c r="AC95" s="6"/>
      <c r="AD95" s="6"/>
      <c r="AE95" s="6"/>
      <c r="AF95" s="6"/>
      <c r="AG95" s="6"/>
      <c r="AH95" s="6">
        <f t="shared" si="145"/>
        <v>0</v>
      </c>
      <c r="AI95" s="6">
        <f t="shared" si="150"/>
        <v>10.579635367055353</v>
      </c>
      <c r="AJ95" s="6">
        <f t="shared" si="146"/>
        <v>10.579635367055353</v>
      </c>
      <c r="AK95" s="6"/>
      <c r="AL95" s="6"/>
      <c r="AM95" s="6"/>
      <c r="AN95" s="6"/>
      <c r="AO95" s="6"/>
      <c r="AP95" s="6">
        <v>0</v>
      </c>
      <c r="AQ95" s="6">
        <v>0</v>
      </c>
      <c r="AR95" s="6">
        <f t="shared" si="151"/>
        <v>2.327421637057529E-2</v>
      </c>
      <c r="AS95" s="6">
        <f t="shared" si="147"/>
        <v>2.327421637057529E-2</v>
      </c>
      <c r="AT95" s="6"/>
      <c r="AU95" s="6"/>
      <c r="AV95" s="6"/>
      <c r="AW95" s="6"/>
      <c r="AX95" s="6">
        <f t="shared" si="148"/>
        <v>0</v>
      </c>
      <c r="AY95" s="6">
        <f t="shared" si="136"/>
        <v>0</v>
      </c>
      <c r="AZ95" s="6">
        <f t="shared" si="137"/>
        <v>44.895446945413937</v>
      </c>
      <c r="BA95" s="6">
        <f t="shared" si="138"/>
        <v>17.004318345289956</v>
      </c>
      <c r="BB95" s="6">
        <f t="shared" si="139"/>
        <v>17.004318345289956</v>
      </c>
      <c r="BC95" s="6">
        <f t="shared" si="140"/>
        <v>0</v>
      </c>
      <c r="BD95" s="6">
        <f t="shared" si="141"/>
        <v>0</v>
      </c>
      <c r="BE95" s="6">
        <f t="shared" si="142"/>
        <v>0</v>
      </c>
      <c r="BG95" s="14">
        <f t="shared" si="143"/>
        <v>78.904083635993857</v>
      </c>
      <c r="BH95" s="19">
        <f>BG95-Direct_Capex_Totals!V76</f>
        <v>0</v>
      </c>
    </row>
    <row r="96" spans="2:60" x14ac:dyDescent="0.3">
      <c r="B96" s="174" t="str">
        <f>STN_5</f>
        <v>MOE</v>
      </c>
      <c r="C96" s="17">
        <f>Schedule!C63</f>
        <v>43330</v>
      </c>
      <c r="D96" s="17">
        <f>Schedule!D63</f>
        <v>43739</v>
      </c>
      <c r="E96" s="20">
        <f>Schedule!E63</f>
        <v>44136</v>
      </c>
      <c r="F96" s="8" t="s">
        <v>44</v>
      </c>
      <c r="G96" s="20" t="s">
        <v>19</v>
      </c>
      <c r="H96" s="20" t="str">
        <f t="shared" si="135"/>
        <v>Distribution system assetsReplacement</v>
      </c>
      <c r="I96" s="390">
        <f>Direct_Capex_Totals!Q77</f>
        <v>269.37268167248362</v>
      </c>
      <c r="J96" s="390">
        <f>Direct_Capex_Totals!R77</f>
        <v>76.81690514236837</v>
      </c>
      <c r="K96" s="390">
        <f>Direct_Capex_Totals!S77</f>
        <v>0</v>
      </c>
      <c r="L96" s="390">
        <f>Direct_Capex_Totals!T77</f>
        <v>126.95562440466423</v>
      </c>
      <c r="M96" s="390">
        <f>Direct_Capex_Totals!U77</f>
        <v>0.27929059644690346</v>
      </c>
      <c r="N96" s="6">
        <v>0</v>
      </c>
      <c r="O96" s="6">
        <v>0</v>
      </c>
      <c r="P96" s="6">
        <v>0</v>
      </c>
      <c r="Q96" s="6">
        <f>I96</f>
        <v>269.37268167248362</v>
      </c>
      <c r="R96" s="6"/>
      <c r="S96" s="6"/>
      <c r="T96" s="6"/>
      <c r="U96" s="6"/>
      <c r="V96" s="6"/>
      <c r="W96" s="6"/>
      <c r="X96" s="6">
        <v>0</v>
      </c>
      <c r="Y96" s="6">
        <v>0</v>
      </c>
      <c r="Z96" s="6">
        <f t="shared" si="149"/>
        <v>38.408452571184185</v>
      </c>
      <c r="AA96" s="6">
        <f t="shared" si="144"/>
        <v>38.408452571184185</v>
      </c>
      <c r="AB96" s="6"/>
      <c r="AC96" s="6"/>
      <c r="AD96" s="6"/>
      <c r="AE96" s="6"/>
      <c r="AF96" s="6"/>
      <c r="AG96" s="6"/>
      <c r="AH96" s="6">
        <f t="shared" si="145"/>
        <v>0</v>
      </c>
      <c r="AI96" s="6">
        <f t="shared" si="150"/>
        <v>63.477812202332117</v>
      </c>
      <c r="AJ96" s="6">
        <f t="shared" si="146"/>
        <v>63.477812202332117</v>
      </c>
      <c r="AK96" s="6"/>
      <c r="AL96" s="6"/>
      <c r="AM96" s="6"/>
      <c r="AN96" s="6"/>
      <c r="AO96" s="6"/>
      <c r="AP96" s="6">
        <v>0</v>
      </c>
      <c r="AQ96" s="6">
        <v>0</v>
      </c>
      <c r="AR96" s="6">
        <f t="shared" si="151"/>
        <v>0.13964529822345173</v>
      </c>
      <c r="AS96" s="6">
        <f t="shared" si="147"/>
        <v>0.13964529822345173</v>
      </c>
      <c r="AT96" s="6"/>
      <c r="AU96" s="6"/>
      <c r="AV96" s="6"/>
      <c r="AW96" s="6"/>
      <c r="AX96" s="6">
        <f t="shared" si="148"/>
        <v>0</v>
      </c>
      <c r="AY96" s="6">
        <f t="shared" si="136"/>
        <v>0</v>
      </c>
      <c r="AZ96" s="6">
        <f t="shared" si="137"/>
        <v>0</v>
      </c>
      <c r="BA96" s="6">
        <f t="shared" si="138"/>
        <v>371.39859174422338</v>
      </c>
      <c r="BB96" s="6">
        <f t="shared" si="139"/>
        <v>102.02591007173976</v>
      </c>
      <c r="BC96" s="6">
        <f t="shared" si="140"/>
        <v>0</v>
      </c>
      <c r="BD96" s="6">
        <f t="shared" si="141"/>
        <v>0</v>
      </c>
      <c r="BE96" s="6">
        <f t="shared" si="142"/>
        <v>0</v>
      </c>
      <c r="BG96" s="14">
        <f t="shared" si="143"/>
        <v>473.42450181596314</v>
      </c>
      <c r="BH96" s="19">
        <f>BG96-Direct_Capex_Totals!V77</f>
        <v>0</v>
      </c>
    </row>
    <row r="97" spans="2:60" x14ac:dyDescent="0.3">
      <c r="B97" s="174" t="str">
        <f>STN_6</f>
        <v>BGE</v>
      </c>
      <c r="C97" s="17">
        <f>Schedule!C64</f>
        <v>43282</v>
      </c>
      <c r="D97" s="17">
        <f>Schedule!D64</f>
        <v>43617</v>
      </c>
      <c r="E97" s="20">
        <f>Schedule!E64</f>
        <v>44013</v>
      </c>
      <c r="F97" s="8" t="s">
        <v>44</v>
      </c>
      <c r="G97" s="20" t="s">
        <v>19</v>
      </c>
      <c r="H97" s="20" t="str">
        <f t="shared" si="135"/>
        <v>Distribution system assetsReplacement</v>
      </c>
      <c r="I97" s="390">
        <f>Direct_Capex_Totals!Q78</f>
        <v>89.790893890827874</v>
      </c>
      <c r="J97" s="390">
        <f>Direct_Capex_Totals!R78</f>
        <v>25.605635047456119</v>
      </c>
      <c r="K97" s="390">
        <f>Direct_Capex_Totals!S78</f>
        <v>0</v>
      </c>
      <c r="L97" s="390">
        <f>Direct_Capex_Totals!T78</f>
        <v>42.318541468221412</v>
      </c>
      <c r="M97" s="390">
        <f>Direct_Capex_Totals!U78</f>
        <v>9.3096865482301158E-2</v>
      </c>
      <c r="N97" s="6">
        <v>0</v>
      </c>
      <c r="O97" s="6">
        <v>0</v>
      </c>
      <c r="P97" s="6">
        <f>$I97*0.6</f>
        <v>53.874536334496725</v>
      </c>
      <c r="Q97" s="6">
        <f>$I97*0.4</f>
        <v>35.91635755633115</v>
      </c>
      <c r="R97" s="6"/>
      <c r="S97" s="6"/>
      <c r="T97" s="6"/>
      <c r="U97" s="6"/>
      <c r="V97" s="6"/>
      <c r="W97" s="6"/>
      <c r="X97" s="6">
        <v>0</v>
      </c>
      <c r="Y97" s="6">
        <v>0</v>
      </c>
      <c r="Z97" s="6">
        <f t="shared" si="149"/>
        <v>12.802817523728059</v>
      </c>
      <c r="AA97" s="6">
        <f t="shared" si="144"/>
        <v>12.802817523728059</v>
      </c>
      <c r="AB97" s="6"/>
      <c r="AC97" s="6"/>
      <c r="AD97" s="6"/>
      <c r="AE97" s="6"/>
      <c r="AF97" s="6"/>
      <c r="AG97" s="6"/>
      <c r="AH97" s="6">
        <f t="shared" si="145"/>
        <v>0</v>
      </c>
      <c r="AI97" s="6">
        <f t="shared" si="150"/>
        <v>21.159270734110706</v>
      </c>
      <c r="AJ97" s="6">
        <f t="shared" si="146"/>
        <v>21.159270734110706</v>
      </c>
      <c r="AK97" s="6"/>
      <c r="AL97" s="6"/>
      <c r="AM97" s="6"/>
      <c r="AN97" s="6"/>
      <c r="AO97" s="6"/>
      <c r="AP97" s="6">
        <v>0</v>
      </c>
      <c r="AQ97" s="6">
        <v>0</v>
      </c>
      <c r="AR97" s="6">
        <f t="shared" si="151"/>
        <v>4.6548432741150579E-2</v>
      </c>
      <c r="AS97" s="6">
        <f t="shared" si="147"/>
        <v>4.6548432741150579E-2</v>
      </c>
      <c r="AT97" s="6"/>
      <c r="AU97" s="6"/>
      <c r="AV97" s="6"/>
      <c r="AW97" s="6"/>
      <c r="AX97" s="6">
        <f t="shared" si="148"/>
        <v>0</v>
      </c>
      <c r="AY97" s="6">
        <f t="shared" si="136"/>
        <v>0</v>
      </c>
      <c r="AZ97" s="6">
        <f t="shared" si="137"/>
        <v>53.874536334496725</v>
      </c>
      <c r="BA97" s="6">
        <f t="shared" si="138"/>
        <v>69.924994246911055</v>
      </c>
      <c r="BB97" s="6">
        <f t="shared" si="139"/>
        <v>34.008636690579912</v>
      </c>
      <c r="BC97" s="6">
        <f t="shared" si="140"/>
        <v>0</v>
      </c>
      <c r="BD97" s="6">
        <f t="shared" si="141"/>
        <v>0</v>
      </c>
      <c r="BE97" s="6">
        <f t="shared" si="142"/>
        <v>0</v>
      </c>
      <c r="BG97" s="14">
        <f t="shared" si="143"/>
        <v>157.80816727198768</v>
      </c>
      <c r="BH97" s="19">
        <f>BG97-Direct_Capex_Totals!V78</f>
        <v>0</v>
      </c>
    </row>
    <row r="98" spans="2:60" x14ac:dyDescent="0.3">
      <c r="B98" s="174" t="str">
        <f>STN_7</f>
        <v>LDL</v>
      </c>
      <c r="C98" s="17">
        <f>Schedule!C65</f>
        <v>43422</v>
      </c>
      <c r="D98" s="17">
        <f>Schedule!D65</f>
        <v>43739</v>
      </c>
      <c r="E98" s="20">
        <f>Schedule!E65</f>
        <v>44044</v>
      </c>
      <c r="F98" s="8" t="s">
        <v>44</v>
      </c>
      <c r="G98" s="20" t="s">
        <v>19</v>
      </c>
      <c r="H98" s="20" t="str">
        <f t="shared" si="135"/>
        <v>Distribution system assetsReplacement</v>
      </c>
      <c r="I98" s="390">
        <f>Direct_Capex_Totals!Q79</f>
        <v>157.13406430894878</v>
      </c>
      <c r="J98" s="390">
        <f>Direct_Capex_Totals!R79</f>
        <v>44.933975398930215</v>
      </c>
      <c r="K98" s="390">
        <f>Direct_Capex_Totals!S79</f>
        <v>0</v>
      </c>
      <c r="L98" s="390">
        <f>Direct_Capex_Totals!T79</f>
        <v>74.057447569387477</v>
      </c>
      <c r="M98" s="390">
        <f>Direct_Capex_Totals!U79</f>
        <v>0.16291951459402704</v>
      </c>
      <c r="N98" s="6">
        <v>0</v>
      </c>
      <c r="O98" s="6">
        <v>0</v>
      </c>
      <c r="P98" s="6">
        <v>0</v>
      </c>
      <c r="Q98" s="6">
        <f>I98</f>
        <v>157.13406430894878</v>
      </c>
      <c r="R98" s="6"/>
      <c r="S98" s="6"/>
      <c r="T98" s="6"/>
      <c r="U98" s="6"/>
      <c r="V98" s="6"/>
      <c r="W98" s="6"/>
      <c r="X98" s="6">
        <v>0</v>
      </c>
      <c r="Y98" s="6">
        <v>0</v>
      </c>
      <c r="Z98" s="6">
        <f t="shared" si="149"/>
        <v>22.466987699465108</v>
      </c>
      <c r="AA98" s="6">
        <f t="shared" si="144"/>
        <v>22.466987699465108</v>
      </c>
      <c r="AB98" s="6"/>
      <c r="AC98" s="6"/>
      <c r="AD98" s="6"/>
      <c r="AE98" s="6"/>
      <c r="AF98" s="6"/>
      <c r="AG98" s="6"/>
      <c r="AH98" s="6">
        <f t="shared" si="145"/>
        <v>0</v>
      </c>
      <c r="AI98" s="6">
        <f t="shared" si="150"/>
        <v>37.028723784693739</v>
      </c>
      <c r="AJ98" s="6">
        <f t="shared" si="146"/>
        <v>37.028723784693739</v>
      </c>
      <c r="AK98" s="6"/>
      <c r="AL98" s="6"/>
      <c r="AM98" s="6"/>
      <c r="AN98" s="6"/>
      <c r="AO98" s="6"/>
      <c r="AP98" s="6">
        <v>0</v>
      </c>
      <c r="AQ98" s="6">
        <v>0</v>
      </c>
      <c r="AR98" s="6">
        <f t="shared" si="151"/>
        <v>8.1459757297013519E-2</v>
      </c>
      <c r="AS98" s="6">
        <f t="shared" si="147"/>
        <v>8.1459757297013519E-2</v>
      </c>
      <c r="AT98" s="6"/>
      <c r="AU98" s="6"/>
      <c r="AV98" s="6"/>
      <c r="AW98" s="6"/>
      <c r="AX98" s="6">
        <f t="shared" si="148"/>
        <v>0</v>
      </c>
      <c r="AY98" s="6">
        <f t="shared" si="136"/>
        <v>0</v>
      </c>
      <c r="AZ98" s="6">
        <f t="shared" si="137"/>
        <v>0</v>
      </c>
      <c r="BA98" s="6">
        <f t="shared" si="138"/>
        <v>216.71123555040464</v>
      </c>
      <c r="BB98" s="6">
        <f t="shared" si="139"/>
        <v>59.577171241455858</v>
      </c>
      <c r="BC98" s="6">
        <f t="shared" si="140"/>
        <v>0</v>
      </c>
      <c r="BD98" s="6">
        <f t="shared" si="141"/>
        <v>0</v>
      </c>
      <c r="BE98" s="6">
        <f t="shared" si="142"/>
        <v>0</v>
      </c>
      <c r="BG98" s="14">
        <f t="shared" si="143"/>
        <v>276.2884067918605</v>
      </c>
      <c r="BH98" s="19">
        <f>BG98-Direct_Capex_Totals!V79</f>
        <v>0</v>
      </c>
    </row>
    <row r="99" spans="2:60" x14ac:dyDescent="0.3">
      <c r="B99" s="174" t="str">
        <f>STN_8</f>
        <v>BDL</v>
      </c>
      <c r="C99" s="17">
        <f>Schedule!C66</f>
        <v>43282</v>
      </c>
      <c r="D99" s="17">
        <f>Schedule!D66</f>
        <v>43603</v>
      </c>
      <c r="E99" s="20">
        <f>Schedule!E66</f>
        <v>43952</v>
      </c>
      <c r="F99" s="8" t="s">
        <v>44</v>
      </c>
      <c r="G99" s="20" t="s">
        <v>19</v>
      </c>
      <c r="H99" s="20" t="str">
        <f t="shared" si="135"/>
        <v>Distribution system assetsReplacement</v>
      </c>
      <c r="I99" s="390">
        <f>Direct_Capex_Totals!Q80</f>
        <v>112.23861736353484</v>
      </c>
      <c r="J99" s="390">
        <f>Direct_Capex_Totals!R80</f>
        <v>32.007043809320159</v>
      </c>
      <c r="K99" s="390">
        <f>Direct_Capex_Totals!S80</f>
        <v>0</v>
      </c>
      <c r="L99" s="390">
        <f>Direct_Capex_Totals!T80</f>
        <v>52.898176835276765</v>
      </c>
      <c r="M99" s="390">
        <f>Direct_Capex_Totals!U80</f>
        <v>0.11637108185287645</v>
      </c>
      <c r="N99" s="6">
        <v>0</v>
      </c>
      <c r="O99" s="6">
        <v>0</v>
      </c>
      <c r="P99" s="6">
        <f>$I99*0.6</f>
        <v>67.343170418120906</v>
      </c>
      <c r="Q99" s="6">
        <f>$I99*0.4</f>
        <v>44.895446945413937</v>
      </c>
      <c r="R99" s="6"/>
      <c r="S99" s="6"/>
      <c r="T99" s="6"/>
      <c r="U99" s="6"/>
      <c r="V99" s="6"/>
      <c r="W99" s="6"/>
      <c r="X99" s="6">
        <v>0</v>
      </c>
      <c r="Y99" s="6">
        <v>0</v>
      </c>
      <c r="Z99" s="6">
        <f t="shared" si="149"/>
        <v>16.003521904660079</v>
      </c>
      <c r="AA99" s="6">
        <f t="shared" si="144"/>
        <v>16.003521904660079</v>
      </c>
      <c r="AB99" s="6"/>
      <c r="AC99" s="6"/>
      <c r="AD99" s="6"/>
      <c r="AE99" s="6"/>
      <c r="AF99" s="6"/>
      <c r="AG99" s="6"/>
      <c r="AH99" s="6">
        <f t="shared" si="145"/>
        <v>0</v>
      </c>
      <c r="AI99" s="6">
        <f t="shared" si="150"/>
        <v>26.449088417638382</v>
      </c>
      <c r="AJ99" s="6">
        <f t="shared" si="146"/>
        <v>26.449088417638382</v>
      </c>
      <c r="AK99" s="6"/>
      <c r="AL99" s="6"/>
      <c r="AM99" s="6"/>
      <c r="AN99" s="6"/>
      <c r="AO99" s="6"/>
      <c r="AP99" s="6">
        <v>0</v>
      </c>
      <c r="AQ99" s="6">
        <v>0</v>
      </c>
      <c r="AR99" s="6">
        <f t="shared" si="151"/>
        <v>5.8185540926438226E-2</v>
      </c>
      <c r="AS99" s="6">
        <f t="shared" si="147"/>
        <v>5.8185540926438226E-2</v>
      </c>
      <c r="AT99" s="6"/>
      <c r="AU99" s="6"/>
      <c r="AV99" s="6"/>
      <c r="AW99" s="6"/>
      <c r="AX99" s="6">
        <f t="shared" si="148"/>
        <v>0</v>
      </c>
      <c r="AY99" s="6">
        <f t="shared" si="136"/>
        <v>0</v>
      </c>
      <c r="AZ99" s="6">
        <f t="shared" si="137"/>
        <v>67.343170418120906</v>
      </c>
      <c r="BA99" s="6">
        <f t="shared" si="138"/>
        <v>87.406242808638837</v>
      </c>
      <c r="BB99" s="6">
        <f t="shared" si="139"/>
        <v>42.510795863224899</v>
      </c>
      <c r="BC99" s="6">
        <f t="shared" si="140"/>
        <v>0</v>
      </c>
      <c r="BD99" s="6">
        <f t="shared" si="141"/>
        <v>0</v>
      </c>
      <c r="BE99" s="6">
        <f t="shared" si="142"/>
        <v>0</v>
      </c>
      <c r="BG99" s="14">
        <f t="shared" si="143"/>
        <v>197.26020908998464</v>
      </c>
      <c r="BH99" s="19">
        <f>BG99-Direct_Capex_Totals!V80</f>
        <v>0</v>
      </c>
    </row>
    <row r="100" spans="2:60" x14ac:dyDescent="0.3">
      <c r="B100" s="174" t="str">
        <f>STN_9</f>
        <v>[spare]</v>
      </c>
      <c r="C100" s="17">
        <f>Schedule!C67</f>
        <v>0</v>
      </c>
      <c r="D100" s="17">
        <f>Schedule!D67</f>
        <v>0</v>
      </c>
      <c r="E100" s="20">
        <f>Schedule!E67</f>
        <v>0</v>
      </c>
      <c r="F100" s="8" t="s">
        <v>44</v>
      </c>
      <c r="G100" s="20" t="s">
        <v>19</v>
      </c>
      <c r="H100" s="20" t="str">
        <f t="shared" si="135"/>
        <v>Distribution system assetsReplacement</v>
      </c>
      <c r="I100" s="390">
        <f>Direct_Capex_Totals!Q81</f>
        <v>0</v>
      </c>
      <c r="J100" s="390">
        <f>Direct_Capex_Totals!R81</f>
        <v>0</v>
      </c>
      <c r="K100" s="390">
        <f>Direct_Capex_Totals!S81</f>
        <v>0</v>
      </c>
      <c r="L100" s="390">
        <f>Direct_Capex_Totals!T81</f>
        <v>0</v>
      </c>
      <c r="M100" s="390">
        <f>Direct_Capex_Totals!U81</f>
        <v>0</v>
      </c>
      <c r="N100" s="6">
        <v>0</v>
      </c>
      <c r="O100" s="6">
        <v>0</v>
      </c>
      <c r="P100" s="6">
        <f>$I100*0.6</f>
        <v>0</v>
      </c>
      <c r="Q100" s="6">
        <f>$I100*0.4</f>
        <v>0</v>
      </c>
      <c r="R100" s="6"/>
      <c r="S100" s="6"/>
      <c r="T100" s="6"/>
      <c r="U100" s="6"/>
      <c r="V100" s="6"/>
      <c r="W100" s="6"/>
      <c r="X100" s="6">
        <v>0</v>
      </c>
      <c r="Y100" s="6">
        <v>0</v>
      </c>
      <c r="Z100" s="6">
        <f t="shared" si="149"/>
        <v>0</v>
      </c>
      <c r="AA100" s="6">
        <f t="shared" si="144"/>
        <v>0</v>
      </c>
      <c r="AB100" s="6"/>
      <c r="AC100" s="6"/>
      <c r="AD100" s="6"/>
      <c r="AE100" s="6"/>
      <c r="AF100" s="6"/>
      <c r="AG100" s="6"/>
      <c r="AH100" s="6">
        <f t="shared" si="145"/>
        <v>0</v>
      </c>
      <c r="AI100" s="6">
        <f t="shared" si="150"/>
        <v>0</v>
      </c>
      <c r="AJ100" s="6">
        <f t="shared" si="146"/>
        <v>0</v>
      </c>
      <c r="AK100" s="6"/>
      <c r="AL100" s="6"/>
      <c r="AM100" s="6"/>
      <c r="AN100" s="6"/>
      <c r="AO100" s="6"/>
      <c r="AP100" s="6">
        <v>0</v>
      </c>
      <c r="AQ100" s="6">
        <v>0</v>
      </c>
      <c r="AR100" s="6">
        <f t="shared" si="151"/>
        <v>0</v>
      </c>
      <c r="AS100" s="6">
        <f t="shared" si="147"/>
        <v>0</v>
      </c>
      <c r="AT100" s="6"/>
      <c r="AU100" s="6"/>
      <c r="AV100" s="6"/>
      <c r="AW100" s="6"/>
      <c r="AX100" s="6">
        <f t="shared" si="148"/>
        <v>0</v>
      </c>
      <c r="AY100" s="6">
        <f t="shared" si="136"/>
        <v>0</v>
      </c>
      <c r="AZ100" s="6">
        <f t="shared" si="137"/>
        <v>0</v>
      </c>
      <c r="BA100" s="6">
        <f t="shared" si="138"/>
        <v>0</v>
      </c>
      <c r="BB100" s="6">
        <f t="shared" si="139"/>
        <v>0</v>
      </c>
      <c r="BC100" s="6">
        <f t="shared" si="140"/>
        <v>0</v>
      </c>
      <c r="BD100" s="6">
        <f t="shared" si="141"/>
        <v>0</v>
      </c>
      <c r="BE100" s="6">
        <f t="shared" si="142"/>
        <v>0</v>
      </c>
      <c r="BG100" s="14">
        <f t="shared" si="143"/>
        <v>0</v>
      </c>
      <c r="BH100" s="19">
        <f>BG100-Direct_Capex_Totals!V81</f>
        <v>0</v>
      </c>
    </row>
    <row r="101" spans="2:60" x14ac:dyDescent="0.3">
      <c r="C101" s="45"/>
      <c r="D101" s="45"/>
      <c r="E101" s="20"/>
      <c r="F101" s="8"/>
      <c r="G101" s="8"/>
      <c r="H101" s="8"/>
      <c r="I101" s="8"/>
      <c r="J101" s="8"/>
      <c r="K101" s="8"/>
      <c r="L101" s="8"/>
      <c r="M101" s="8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</row>
    <row r="102" spans="2:60" x14ac:dyDescent="0.3">
      <c r="B102" s="25" t="s">
        <v>117</v>
      </c>
      <c r="C102" s="45"/>
      <c r="D102" s="45"/>
      <c r="E102" s="20"/>
      <c r="F102" s="8"/>
      <c r="G102" s="8"/>
      <c r="H102" s="8"/>
      <c r="I102" s="8"/>
      <c r="J102" s="8"/>
      <c r="K102" s="8"/>
      <c r="L102" s="8"/>
      <c r="M102" s="8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</row>
    <row r="103" spans="2:60" ht="15" hidden="1" outlineLevel="1" x14ac:dyDescent="0.25">
      <c r="B103" s="174" t="str">
        <f>STN_1</f>
        <v>RWN</v>
      </c>
      <c r="C103" s="17">
        <f>Schedule!C70</f>
        <v>0</v>
      </c>
      <c r="D103" s="17">
        <f>Schedule!D70</f>
        <v>0</v>
      </c>
      <c r="E103" s="20">
        <f>Schedule!E70</f>
        <v>0</v>
      </c>
      <c r="F103" s="8" t="s">
        <v>44</v>
      </c>
      <c r="G103" s="8" t="s">
        <v>19</v>
      </c>
      <c r="H103" s="20" t="str">
        <f t="shared" ref="H103:H111" si="152">G103&amp;F103</f>
        <v>Distribution system assetsReplacement</v>
      </c>
      <c r="I103" s="390">
        <f>Direct_Capex_Totals!Q87</f>
        <v>0</v>
      </c>
      <c r="J103" s="390">
        <f>Direct_Capex_Totals!R87</f>
        <v>0</v>
      </c>
      <c r="K103" s="390">
        <f>Direct_Capex_Totals!S87</f>
        <v>0</v>
      </c>
      <c r="L103" s="390">
        <f>Direct_Capex_Totals!T87</f>
        <v>0</v>
      </c>
      <c r="M103" s="390">
        <f>Direct_Capex_Totals!U87</f>
        <v>0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>
        <f>N103+W103+AF103+AO103</f>
        <v>0</v>
      </c>
      <c r="AY103" s="6">
        <f t="shared" ref="AY103:AY111" si="153">O103+X103+AG103+AP103</f>
        <v>0</v>
      </c>
      <c r="AZ103" s="6">
        <f t="shared" ref="AZ103:AZ111" si="154">P103+Y103+AH103+AQ103</f>
        <v>0</v>
      </c>
      <c r="BA103" s="6">
        <f t="shared" ref="BA103:BA111" si="155">Q103+Z103+AI103+AR103</f>
        <v>0</v>
      </c>
      <c r="BB103" s="6">
        <f t="shared" ref="BB103:BB111" si="156">R103+AA103+AJ103+AS103</f>
        <v>0</v>
      </c>
      <c r="BC103" s="6">
        <f t="shared" ref="BC103:BC111" si="157">S103+AB103+AK103+AT103</f>
        <v>0</v>
      </c>
      <c r="BD103" s="6">
        <f t="shared" ref="BD103:BD111" si="158">T103+AC103+AL103+AU103</f>
        <v>0</v>
      </c>
      <c r="BE103" s="6">
        <f t="shared" ref="BE103:BE111" si="159">U103+AD103+AM103+AV103</f>
        <v>0</v>
      </c>
      <c r="BG103" s="14">
        <f t="shared" ref="BG103:BG111" si="160">SUM(AX103:BE103)</f>
        <v>0</v>
      </c>
      <c r="BH103" s="19">
        <f>BG103-Direct_Capex_Totals!V87</f>
        <v>0</v>
      </c>
    </row>
    <row r="104" spans="2:60" ht="15" hidden="1" outlineLevel="1" x14ac:dyDescent="0.25">
      <c r="B104" s="174" t="str">
        <f>STN_2</f>
        <v>ELM</v>
      </c>
      <c r="C104" s="17">
        <f>Schedule!C71</f>
        <v>0</v>
      </c>
      <c r="D104" s="17">
        <f>Schedule!D71</f>
        <v>0</v>
      </c>
      <c r="E104" s="20">
        <f>Schedule!E71</f>
        <v>0</v>
      </c>
      <c r="F104" s="8" t="s">
        <v>44</v>
      </c>
      <c r="G104" s="8" t="s">
        <v>19</v>
      </c>
      <c r="H104" s="20" t="str">
        <f t="shared" si="152"/>
        <v>Distribution system assetsReplacement</v>
      </c>
      <c r="I104" s="390">
        <f>Direct_Capex_Totals!Q88</f>
        <v>0</v>
      </c>
      <c r="J104" s="390">
        <f>Direct_Capex_Totals!R88</f>
        <v>0</v>
      </c>
      <c r="K104" s="390">
        <f>Direct_Capex_Totals!S88</f>
        <v>0</v>
      </c>
      <c r="L104" s="390">
        <f>Direct_Capex_Totals!T88</f>
        <v>0</v>
      </c>
      <c r="M104" s="390">
        <f>Direct_Capex_Totals!U88</f>
        <v>0</v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>
        <f t="shared" ref="AX104:AX111" si="161">N104+W104+AF104+AO104</f>
        <v>0</v>
      </c>
      <c r="AY104" s="6">
        <f t="shared" si="153"/>
        <v>0</v>
      </c>
      <c r="AZ104" s="6">
        <f t="shared" si="154"/>
        <v>0</v>
      </c>
      <c r="BA104" s="6">
        <f t="shared" si="155"/>
        <v>0</v>
      </c>
      <c r="BB104" s="6">
        <f t="shared" si="156"/>
        <v>0</v>
      </c>
      <c r="BC104" s="6">
        <f t="shared" si="157"/>
        <v>0</v>
      </c>
      <c r="BD104" s="6">
        <f t="shared" si="158"/>
        <v>0</v>
      </c>
      <c r="BE104" s="6">
        <f t="shared" si="159"/>
        <v>0</v>
      </c>
      <c r="BG104" s="14">
        <f t="shared" si="160"/>
        <v>0</v>
      </c>
      <c r="BH104" s="19">
        <f>BG104-Direct_Capex_Totals!V88</f>
        <v>0</v>
      </c>
    </row>
    <row r="105" spans="2:60" ht="15" hidden="1" outlineLevel="1" x14ac:dyDescent="0.25">
      <c r="B105" s="174" t="str">
        <f>STN_3</f>
        <v>FGY</v>
      </c>
      <c r="C105" s="17">
        <f>Schedule!C72</f>
        <v>0</v>
      </c>
      <c r="D105" s="17">
        <f>Schedule!D72</f>
        <v>0</v>
      </c>
      <c r="E105" s="20">
        <f>Schedule!E72</f>
        <v>0</v>
      </c>
      <c r="F105" s="8" t="s">
        <v>44</v>
      </c>
      <c r="G105" s="8" t="s">
        <v>19</v>
      </c>
      <c r="H105" s="20" t="str">
        <f t="shared" si="152"/>
        <v>Distribution system assetsReplacement</v>
      </c>
      <c r="I105" s="390">
        <f>Direct_Capex_Totals!Q89</f>
        <v>0</v>
      </c>
      <c r="J105" s="390">
        <f>Direct_Capex_Totals!R89</f>
        <v>0</v>
      </c>
      <c r="K105" s="390">
        <f>Direct_Capex_Totals!S89</f>
        <v>0</v>
      </c>
      <c r="L105" s="390">
        <f>Direct_Capex_Totals!T89</f>
        <v>0</v>
      </c>
      <c r="M105" s="390">
        <f>Direct_Capex_Totals!U89</f>
        <v>0</v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>
        <f t="shared" si="161"/>
        <v>0</v>
      </c>
      <c r="AY105" s="6">
        <f t="shared" si="153"/>
        <v>0</v>
      </c>
      <c r="AZ105" s="6">
        <f t="shared" si="154"/>
        <v>0</v>
      </c>
      <c r="BA105" s="6">
        <f t="shared" si="155"/>
        <v>0</v>
      </c>
      <c r="BB105" s="6">
        <f t="shared" si="156"/>
        <v>0</v>
      </c>
      <c r="BC105" s="6">
        <f t="shared" si="157"/>
        <v>0</v>
      </c>
      <c r="BD105" s="6">
        <f t="shared" si="158"/>
        <v>0</v>
      </c>
      <c r="BE105" s="6">
        <f t="shared" si="159"/>
        <v>0</v>
      </c>
      <c r="BG105" s="14">
        <f t="shared" si="160"/>
        <v>0</v>
      </c>
      <c r="BH105" s="19">
        <f>BG105-Direct_Capex_Totals!V89</f>
        <v>0</v>
      </c>
    </row>
    <row r="106" spans="2:60" ht="15" hidden="1" outlineLevel="1" x14ac:dyDescent="0.25">
      <c r="B106" s="174" t="str">
        <f>STN_4</f>
        <v>WOTS22</v>
      </c>
      <c r="C106" s="17">
        <f>Schedule!C73</f>
        <v>0</v>
      </c>
      <c r="D106" s="17">
        <f>Schedule!D73</f>
        <v>0</v>
      </c>
      <c r="E106" s="20">
        <f>Schedule!E73</f>
        <v>0</v>
      </c>
      <c r="F106" s="8" t="s">
        <v>44</v>
      </c>
      <c r="G106" s="8" t="s">
        <v>19</v>
      </c>
      <c r="H106" s="20" t="str">
        <f t="shared" si="152"/>
        <v>Distribution system assetsReplacement</v>
      </c>
      <c r="I106" s="390">
        <f>Direct_Capex_Totals!Q90</f>
        <v>0</v>
      </c>
      <c r="J106" s="390">
        <f>Direct_Capex_Totals!R90</f>
        <v>0</v>
      </c>
      <c r="K106" s="390">
        <f>Direct_Capex_Totals!S90</f>
        <v>0</v>
      </c>
      <c r="L106" s="390">
        <f>Direct_Capex_Totals!T90</f>
        <v>0</v>
      </c>
      <c r="M106" s="390">
        <f>Direct_Capex_Totals!U90</f>
        <v>0</v>
      </c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>
        <f t="shared" si="161"/>
        <v>0</v>
      </c>
      <c r="AY106" s="6">
        <f t="shared" si="153"/>
        <v>0</v>
      </c>
      <c r="AZ106" s="6">
        <f t="shared" si="154"/>
        <v>0</v>
      </c>
      <c r="BA106" s="6">
        <f t="shared" si="155"/>
        <v>0</v>
      </c>
      <c r="BB106" s="6">
        <f t="shared" si="156"/>
        <v>0</v>
      </c>
      <c r="BC106" s="6">
        <f t="shared" si="157"/>
        <v>0</v>
      </c>
      <c r="BD106" s="6">
        <f t="shared" si="158"/>
        <v>0</v>
      </c>
      <c r="BE106" s="6">
        <f t="shared" si="159"/>
        <v>0</v>
      </c>
      <c r="BG106" s="14">
        <f t="shared" si="160"/>
        <v>0</v>
      </c>
      <c r="BH106" s="19">
        <f>BG106-Direct_Capex_Totals!V90</f>
        <v>0</v>
      </c>
    </row>
    <row r="107" spans="2:60" ht="15" hidden="1" outlineLevel="1" x14ac:dyDescent="0.25">
      <c r="B107" s="174" t="str">
        <f>STN_5</f>
        <v>MOE</v>
      </c>
      <c r="C107" s="17">
        <f>Schedule!C74</f>
        <v>0</v>
      </c>
      <c r="D107" s="17">
        <f>Schedule!D74</f>
        <v>0</v>
      </c>
      <c r="E107" s="20">
        <f>Schedule!E74</f>
        <v>0</v>
      </c>
      <c r="F107" s="8" t="s">
        <v>44</v>
      </c>
      <c r="G107" s="8" t="s">
        <v>19</v>
      </c>
      <c r="H107" s="20" t="str">
        <f t="shared" si="152"/>
        <v>Distribution system assetsReplacement</v>
      </c>
      <c r="I107" s="390">
        <f>Direct_Capex_Totals!Q91</f>
        <v>0</v>
      </c>
      <c r="J107" s="390">
        <f>Direct_Capex_Totals!R91</f>
        <v>0</v>
      </c>
      <c r="K107" s="390">
        <f>Direct_Capex_Totals!S91</f>
        <v>0</v>
      </c>
      <c r="L107" s="390">
        <f>Direct_Capex_Totals!T91</f>
        <v>0</v>
      </c>
      <c r="M107" s="390">
        <f>Direct_Capex_Totals!U91</f>
        <v>0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>
        <f t="shared" si="161"/>
        <v>0</v>
      </c>
      <c r="AY107" s="6">
        <f t="shared" si="153"/>
        <v>0</v>
      </c>
      <c r="AZ107" s="6">
        <f t="shared" si="154"/>
        <v>0</v>
      </c>
      <c r="BA107" s="6">
        <f t="shared" si="155"/>
        <v>0</v>
      </c>
      <c r="BB107" s="6">
        <f t="shared" si="156"/>
        <v>0</v>
      </c>
      <c r="BC107" s="6">
        <f t="shared" si="157"/>
        <v>0</v>
      </c>
      <c r="BD107" s="6">
        <f t="shared" si="158"/>
        <v>0</v>
      </c>
      <c r="BE107" s="6">
        <f t="shared" si="159"/>
        <v>0</v>
      </c>
      <c r="BG107" s="14">
        <f t="shared" si="160"/>
        <v>0</v>
      </c>
      <c r="BH107" s="19">
        <f>BG107-Direct_Capex_Totals!V91</f>
        <v>0</v>
      </c>
    </row>
    <row r="108" spans="2:60" ht="15" hidden="1" outlineLevel="1" x14ac:dyDescent="0.25">
      <c r="B108" s="174" t="str">
        <f>STN_6</f>
        <v>BGE</v>
      </c>
      <c r="C108" s="17">
        <f>Schedule!C75</f>
        <v>0</v>
      </c>
      <c r="D108" s="17">
        <f>Schedule!D75</f>
        <v>0</v>
      </c>
      <c r="E108" s="20">
        <f>Schedule!E75</f>
        <v>0</v>
      </c>
      <c r="F108" s="8" t="s">
        <v>44</v>
      </c>
      <c r="G108" s="8" t="s">
        <v>19</v>
      </c>
      <c r="H108" s="20" t="str">
        <f t="shared" si="152"/>
        <v>Distribution system assetsReplacement</v>
      </c>
      <c r="I108" s="390">
        <f>Direct_Capex_Totals!Q92</f>
        <v>0</v>
      </c>
      <c r="J108" s="390">
        <f>Direct_Capex_Totals!R92</f>
        <v>0</v>
      </c>
      <c r="K108" s="390">
        <f>Direct_Capex_Totals!S92</f>
        <v>0</v>
      </c>
      <c r="L108" s="390">
        <f>Direct_Capex_Totals!T92</f>
        <v>0</v>
      </c>
      <c r="M108" s="390">
        <f>Direct_Capex_Totals!U92</f>
        <v>0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>
        <f t="shared" si="161"/>
        <v>0</v>
      </c>
      <c r="AY108" s="6">
        <f t="shared" si="153"/>
        <v>0</v>
      </c>
      <c r="AZ108" s="6">
        <f t="shared" si="154"/>
        <v>0</v>
      </c>
      <c r="BA108" s="6">
        <f t="shared" si="155"/>
        <v>0</v>
      </c>
      <c r="BB108" s="6">
        <f t="shared" si="156"/>
        <v>0</v>
      </c>
      <c r="BC108" s="6">
        <f t="shared" si="157"/>
        <v>0</v>
      </c>
      <c r="BD108" s="6">
        <f t="shared" si="158"/>
        <v>0</v>
      </c>
      <c r="BE108" s="6">
        <f t="shared" si="159"/>
        <v>0</v>
      </c>
      <c r="BG108" s="14">
        <f t="shared" si="160"/>
        <v>0</v>
      </c>
      <c r="BH108" s="19">
        <f>BG108-Direct_Capex_Totals!V92</f>
        <v>0</v>
      </c>
    </row>
    <row r="109" spans="2:60" ht="15" hidden="1" outlineLevel="1" x14ac:dyDescent="0.25">
      <c r="B109" s="174" t="str">
        <f>STN_7</f>
        <v>LDL</v>
      </c>
      <c r="C109" s="17">
        <f>Schedule!C76</f>
        <v>0</v>
      </c>
      <c r="D109" s="17">
        <f>Schedule!D76</f>
        <v>0</v>
      </c>
      <c r="E109" s="20">
        <f>Schedule!E76</f>
        <v>0</v>
      </c>
      <c r="F109" s="8" t="s">
        <v>44</v>
      </c>
      <c r="G109" s="8" t="s">
        <v>19</v>
      </c>
      <c r="H109" s="20" t="str">
        <f t="shared" si="152"/>
        <v>Distribution system assetsReplacement</v>
      </c>
      <c r="I109" s="390">
        <f>Direct_Capex_Totals!Q93</f>
        <v>0</v>
      </c>
      <c r="J109" s="390">
        <f>Direct_Capex_Totals!R93</f>
        <v>0</v>
      </c>
      <c r="K109" s="390">
        <f>Direct_Capex_Totals!S93</f>
        <v>0</v>
      </c>
      <c r="L109" s="390">
        <f>Direct_Capex_Totals!T93</f>
        <v>0</v>
      </c>
      <c r="M109" s="390">
        <f>Direct_Capex_Totals!U93</f>
        <v>0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>
        <f t="shared" si="161"/>
        <v>0</v>
      </c>
      <c r="AY109" s="6">
        <f t="shared" si="153"/>
        <v>0</v>
      </c>
      <c r="AZ109" s="6">
        <f t="shared" si="154"/>
        <v>0</v>
      </c>
      <c r="BA109" s="6">
        <f t="shared" si="155"/>
        <v>0</v>
      </c>
      <c r="BB109" s="6">
        <f t="shared" si="156"/>
        <v>0</v>
      </c>
      <c r="BC109" s="6">
        <f t="shared" si="157"/>
        <v>0</v>
      </c>
      <c r="BD109" s="6">
        <f t="shared" si="158"/>
        <v>0</v>
      </c>
      <c r="BE109" s="6">
        <f t="shared" si="159"/>
        <v>0</v>
      </c>
      <c r="BG109" s="14">
        <f t="shared" si="160"/>
        <v>0</v>
      </c>
      <c r="BH109" s="19">
        <f>BG109-Direct_Capex_Totals!V93</f>
        <v>0</v>
      </c>
    </row>
    <row r="110" spans="2:60" ht="15" hidden="1" outlineLevel="1" x14ac:dyDescent="0.25">
      <c r="B110" s="174" t="str">
        <f>STN_8</f>
        <v>BDL</v>
      </c>
      <c r="C110" s="17">
        <f>Schedule!C77</f>
        <v>0</v>
      </c>
      <c r="D110" s="17">
        <f>Schedule!D77</f>
        <v>0</v>
      </c>
      <c r="E110" s="20">
        <f>Schedule!E77</f>
        <v>0</v>
      </c>
      <c r="F110" s="8" t="s">
        <v>44</v>
      </c>
      <c r="G110" s="8" t="s">
        <v>19</v>
      </c>
      <c r="H110" s="20" t="str">
        <f t="shared" si="152"/>
        <v>Distribution system assetsReplacement</v>
      </c>
      <c r="I110" s="390">
        <f>Direct_Capex_Totals!Q94</f>
        <v>0</v>
      </c>
      <c r="J110" s="390">
        <f>Direct_Capex_Totals!R94</f>
        <v>0</v>
      </c>
      <c r="K110" s="390">
        <f>Direct_Capex_Totals!S94</f>
        <v>0</v>
      </c>
      <c r="L110" s="390">
        <f>Direct_Capex_Totals!T94</f>
        <v>0</v>
      </c>
      <c r="M110" s="390">
        <f>Direct_Capex_Totals!U94</f>
        <v>0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>
        <f t="shared" si="161"/>
        <v>0</v>
      </c>
      <c r="AY110" s="6">
        <f t="shared" si="153"/>
        <v>0</v>
      </c>
      <c r="AZ110" s="6">
        <f t="shared" si="154"/>
        <v>0</v>
      </c>
      <c r="BA110" s="6">
        <f t="shared" si="155"/>
        <v>0</v>
      </c>
      <c r="BB110" s="6">
        <f t="shared" si="156"/>
        <v>0</v>
      </c>
      <c r="BC110" s="6">
        <f t="shared" si="157"/>
        <v>0</v>
      </c>
      <c r="BD110" s="6">
        <f t="shared" si="158"/>
        <v>0</v>
      </c>
      <c r="BE110" s="6">
        <f t="shared" si="159"/>
        <v>0</v>
      </c>
      <c r="BG110" s="14">
        <f t="shared" si="160"/>
        <v>0</v>
      </c>
      <c r="BH110" s="19">
        <f>BG110-Direct_Capex_Totals!V94</f>
        <v>0</v>
      </c>
    </row>
    <row r="111" spans="2:60" ht="15" hidden="1" outlineLevel="1" x14ac:dyDescent="0.25">
      <c r="B111" s="174" t="str">
        <f>STN_9</f>
        <v>[spare]</v>
      </c>
      <c r="C111" s="17">
        <f>Schedule!C78</f>
        <v>0</v>
      </c>
      <c r="D111" s="17">
        <f>Schedule!D78</f>
        <v>0</v>
      </c>
      <c r="E111" s="20">
        <f>Schedule!E78</f>
        <v>0</v>
      </c>
      <c r="F111" s="8" t="s">
        <v>44</v>
      </c>
      <c r="G111" s="8" t="s">
        <v>19</v>
      </c>
      <c r="H111" s="20" t="str">
        <f t="shared" si="152"/>
        <v>Distribution system assetsReplacement</v>
      </c>
      <c r="I111" s="390">
        <f>Direct_Capex_Totals!Q95</f>
        <v>0</v>
      </c>
      <c r="J111" s="390">
        <f>Direct_Capex_Totals!R95</f>
        <v>0</v>
      </c>
      <c r="K111" s="390">
        <f>Direct_Capex_Totals!S95</f>
        <v>0</v>
      </c>
      <c r="L111" s="390">
        <f>Direct_Capex_Totals!T95</f>
        <v>0</v>
      </c>
      <c r="M111" s="390">
        <f>Direct_Capex_Totals!U95</f>
        <v>0</v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>
        <f t="shared" si="161"/>
        <v>0</v>
      </c>
      <c r="AY111" s="6">
        <f t="shared" si="153"/>
        <v>0</v>
      </c>
      <c r="AZ111" s="6">
        <f t="shared" si="154"/>
        <v>0</v>
      </c>
      <c r="BA111" s="6">
        <f t="shared" si="155"/>
        <v>0</v>
      </c>
      <c r="BB111" s="6">
        <f t="shared" si="156"/>
        <v>0</v>
      </c>
      <c r="BC111" s="6">
        <f t="shared" si="157"/>
        <v>0</v>
      </c>
      <c r="BD111" s="6">
        <f t="shared" si="158"/>
        <v>0</v>
      </c>
      <c r="BE111" s="6">
        <f t="shared" si="159"/>
        <v>0</v>
      </c>
      <c r="BG111" s="14">
        <f t="shared" si="160"/>
        <v>0</v>
      </c>
      <c r="BH111" s="19">
        <f>BG111-Direct_Capex_Totals!V95</f>
        <v>0</v>
      </c>
    </row>
    <row r="112" spans="2:60" collapsed="1" x14ac:dyDescent="0.3">
      <c r="C112" s="45"/>
      <c r="D112" s="45"/>
      <c r="E112" s="20"/>
      <c r="F112" s="8"/>
      <c r="G112" s="8"/>
      <c r="H112" s="8"/>
      <c r="I112" s="8"/>
      <c r="J112" s="8"/>
      <c r="K112" s="8"/>
      <c r="L112" s="8"/>
      <c r="M112" s="8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</row>
    <row r="113" spans="2:68" x14ac:dyDescent="0.3">
      <c r="B113" s="25" t="s">
        <v>116</v>
      </c>
      <c r="C113" s="45"/>
      <c r="D113" s="45"/>
      <c r="E113" s="20"/>
      <c r="F113" s="8"/>
      <c r="G113" s="8"/>
      <c r="H113" s="8"/>
      <c r="I113" s="8"/>
      <c r="J113" s="8"/>
      <c r="K113" s="8"/>
      <c r="L113" s="8"/>
      <c r="M113" s="8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</row>
    <row r="114" spans="2:68" x14ac:dyDescent="0.3">
      <c r="B114" s="174" t="str">
        <f>STN_1</f>
        <v>RWN</v>
      </c>
      <c r="C114" s="17">
        <f>Schedule!C81</f>
        <v>0</v>
      </c>
      <c r="D114" s="17">
        <f>Schedule!D81</f>
        <v>0</v>
      </c>
      <c r="E114" s="17">
        <f>Schedule!E81</f>
        <v>0</v>
      </c>
      <c r="F114" s="8" t="s">
        <v>42</v>
      </c>
      <c r="G114" s="17" t="s">
        <v>19</v>
      </c>
      <c r="H114" s="20" t="str">
        <f t="shared" ref="H114:H122" si="162">G114&amp;F114</f>
        <v>Distribution system assetsAugmentation</v>
      </c>
      <c r="I114" s="390">
        <f>Direct_Capex_Totals!Q101</f>
        <v>0</v>
      </c>
      <c r="J114" s="390">
        <f>Direct_Capex_Totals!R101</f>
        <v>0</v>
      </c>
      <c r="K114" s="390">
        <f>Direct_Capex_Totals!S101</f>
        <v>0</v>
      </c>
      <c r="L114" s="390">
        <f>Direct_Capex_Totals!T101</f>
        <v>0</v>
      </c>
      <c r="M114" s="390">
        <f>Direct_Capex_Totals!U101</f>
        <v>0</v>
      </c>
      <c r="N114" s="6"/>
      <c r="O114" s="6"/>
      <c r="P114" s="6">
        <f>I114</f>
        <v>0</v>
      </c>
      <c r="Q114" s="6"/>
      <c r="R114" s="6"/>
      <c r="S114" s="6"/>
      <c r="T114" s="6"/>
      <c r="U114" s="6"/>
      <c r="V114" s="6"/>
      <c r="W114" s="6"/>
      <c r="X114" s="6"/>
      <c r="Y114" s="6"/>
      <c r="Z114" s="6">
        <f>J114</f>
        <v>0</v>
      </c>
      <c r="AA114" s="6"/>
      <c r="AB114" s="6"/>
      <c r="AC114" s="6"/>
      <c r="AD114" s="6"/>
      <c r="AE114" s="6"/>
      <c r="AF114" s="6"/>
      <c r="AG114" s="6"/>
      <c r="AH114" s="6">
        <f>K114</f>
        <v>0</v>
      </c>
      <c r="AI114" s="6"/>
      <c r="AJ114" s="6"/>
      <c r="AK114" s="6"/>
      <c r="AL114" s="6"/>
      <c r="AM114" s="6"/>
      <c r="AN114" s="6"/>
      <c r="AO114" s="6"/>
      <c r="AP114" s="6"/>
      <c r="AQ114" s="6"/>
      <c r="AR114" s="6">
        <f>M114</f>
        <v>0</v>
      </c>
      <c r="AS114" s="6"/>
      <c r="AT114" s="6"/>
      <c r="AU114" s="6"/>
      <c r="AV114" s="6"/>
      <c r="AW114" s="6"/>
      <c r="AX114" s="6">
        <f>N114+W114+AF114+AO114</f>
        <v>0</v>
      </c>
      <c r="AY114" s="6">
        <f t="shared" ref="AY114:AY122" si="163">O114+X114+AG114+AP114</f>
        <v>0</v>
      </c>
      <c r="AZ114" s="6">
        <f t="shared" ref="AZ114:AZ122" si="164">P114+Y114+AH114+AQ114</f>
        <v>0</v>
      </c>
      <c r="BA114" s="6">
        <f t="shared" ref="BA114:BA122" si="165">Q114+Z114+AI114+AR114</f>
        <v>0</v>
      </c>
      <c r="BB114" s="6">
        <f t="shared" ref="BB114:BB122" si="166">R114+AA114+AJ114+AS114</f>
        <v>0</v>
      </c>
      <c r="BC114" s="6">
        <f t="shared" ref="BC114:BC122" si="167">S114+AB114+AK114+AT114</f>
        <v>0</v>
      </c>
      <c r="BD114" s="6">
        <f t="shared" ref="BD114:BD122" si="168">T114+AC114+AL114+AU114</f>
        <v>0</v>
      </c>
      <c r="BE114" s="6">
        <f t="shared" ref="BE114:BE122" si="169">U114+AD114+AM114+AV114</f>
        <v>0</v>
      </c>
      <c r="BG114" s="14">
        <f t="shared" ref="BG114:BG122" si="170">SUM(AX114:BE114)</f>
        <v>0</v>
      </c>
      <c r="BH114" s="6">
        <f>BG114-Direct_Capex_Totals!V101</f>
        <v>0</v>
      </c>
    </row>
    <row r="115" spans="2:68" x14ac:dyDescent="0.3">
      <c r="B115" s="174" t="str">
        <f>STN_2</f>
        <v>ELM</v>
      </c>
      <c r="C115" s="17">
        <f>Schedule!C82</f>
        <v>43282</v>
      </c>
      <c r="D115" s="17">
        <f>Schedule!D82</f>
        <v>43647</v>
      </c>
      <c r="E115" s="17">
        <f>Schedule!E82</f>
        <v>44105</v>
      </c>
      <c r="F115" s="8" t="s">
        <v>42</v>
      </c>
      <c r="G115" s="17" t="s">
        <v>19</v>
      </c>
      <c r="H115" s="20" t="str">
        <f t="shared" si="162"/>
        <v>Distribution system assetsAugmentation</v>
      </c>
      <c r="I115" s="390">
        <f>Direct_Capex_Totals!Q102</f>
        <v>570.43113790976997</v>
      </c>
      <c r="J115" s="390">
        <f>Direct_Capex_Totals!R102</f>
        <v>103.10851875340462</v>
      </c>
      <c r="K115" s="390">
        <f>Direct_Capex_Totals!S102</f>
        <v>16.49060773480663</v>
      </c>
      <c r="L115" s="390">
        <f>Direct_Capex_Totals!T102</f>
        <v>218.45366172238016</v>
      </c>
      <c r="M115" s="390">
        <f>Direct_Capex_Totals!U102</f>
        <v>62.238253255223583</v>
      </c>
      <c r="N115" s="6"/>
      <c r="O115" s="6"/>
      <c r="P115" s="6">
        <f>$I115*0.5</f>
        <v>285.21556895488499</v>
      </c>
      <c r="Q115" s="6">
        <f>$I115*0.5</f>
        <v>285.21556895488499</v>
      </c>
      <c r="R115" s="6"/>
      <c r="S115" s="6"/>
      <c r="T115" s="6"/>
      <c r="U115" s="6"/>
      <c r="V115" s="6"/>
      <c r="W115" s="6"/>
      <c r="X115" s="6"/>
      <c r="Y115" s="6">
        <v>0</v>
      </c>
      <c r="Z115" s="6">
        <f>$J115*0.5</f>
        <v>51.554259376702312</v>
      </c>
      <c r="AA115" s="6">
        <f t="shared" ref="AA115:AA122" si="171">$J115*0.5</f>
        <v>51.554259376702312</v>
      </c>
      <c r="AB115" s="6"/>
      <c r="AC115" s="6"/>
      <c r="AD115" s="6"/>
      <c r="AE115" s="6"/>
      <c r="AF115" s="6"/>
      <c r="AG115" s="6"/>
      <c r="AH115" s="6">
        <f t="shared" ref="AH115:AH122" si="172">K115</f>
        <v>16.49060773480663</v>
      </c>
      <c r="AI115" s="6">
        <f>$L115*0.5</f>
        <v>109.22683086119008</v>
      </c>
      <c r="AJ115" s="6">
        <f t="shared" ref="AJ115:AJ122" si="173">$L115*0.5</f>
        <v>109.22683086119008</v>
      </c>
      <c r="AK115" s="6"/>
      <c r="AL115" s="6"/>
      <c r="AM115" s="6"/>
      <c r="AN115" s="6"/>
      <c r="AO115" s="6"/>
      <c r="AP115" s="6"/>
      <c r="AQ115" s="6"/>
      <c r="AR115" s="6">
        <f>$M115*0.5</f>
        <v>31.119126627611791</v>
      </c>
      <c r="AS115" s="6">
        <f t="shared" ref="AS115:AS122" si="174">$M115*0.5</f>
        <v>31.119126627611791</v>
      </c>
      <c r="AT115" s="6"/>
      <c r="AU115" s="6"/>
      <c r="AV115" s="6"/>
      <c r="AW115" s="6"/>
      <c r="AX115" s="6">
        <f t="shared" ref="AX115:AX122" si="175">N115+W115+AF115+AO115</f>
        <v>0</v>
      </c>
      <c r="AY115" s="6">
        <f t="shared" si="163"/>
        <v>0</v>
      </c>
      <c r="AZ115" s="6">
        <f t="shared" si="164"/>
        <v>301.70617668969163</v>
      </c>
      <c r="BA115" s="6">
        <f t="shared" si="165"/>
        <v>477.11578582038919</v>
      </c>
      <c r="BB115" s="6">
        <f t="shared" si="166"/>
        <v>191.90021686550418</v>
      </c>
      <c r="BC115" s="6">
        <f t="shared" si="167"/>
        <v>0</v>
      </c>
      <c r="BD115" s="6">
        <f t="shared" si="168"/>
        <v>0</v>
      </c>
      <c r="BE115" s="6">
        <f t="shared" si="169"/>
        <v>0</v>
      </c>
      <c r="BG115" s="14">
        <f t="shared" si="170"/>
        <v>970.72217937558491</v>
      </c>
      <c r="BH115" s="6">
        <f>BG115-Direct_Capex_Totals!V102</f>
        <v>0</v>
      </c>
    </row>
    <row r="116" spans="2:68" x14ac:dyDescent="0.3">
      <c r="B116" s="174" t="str">
        <f>STN_3</f>
        <v>FGY</v>
      </c>
      <c r="C116" s="17">
        <f>Schedule!C83</f>
        <v>43330</v>
      </c>
      <c r="D116" s="17">
        <f>Schedule!D83</f>
        <v>43586</v>
      </c>
      <c r="E116" s="17">
        <f>Schedule!E83</f>
        <v>44075</v>
      </c>
      <c r="F116" s="8" t="s">
        <v>42</v>
      </c>
      <c r="G116" s="17" t="s">
        <v>19</v>
      </c>
      <c r="H116" s="20" t="str">
        <f t="shared" si="162"/>
        <v>Distribution system assetsAugmentation</v>
      </c>
      <c r="I116" s="390">
        <f>Direct_Capex_Totals!Q103</f>
        <v>570.43113790976997</v>
      </c>
      <c r="J116" s="390">
        <f>Direct_Capex_Totals!R103</f>
        <v>103.10851875340462</v>
      </c>
      <c r="K116" s="390">
        <f>Direct_Capex_Totals!S103</f>
        <v>16.49060773480663</v>
      </c>
      <c r="L116" s="390">
        <f>Direct_Capex_Totals!T103</f>
        <v>218.45366172238016</v>
      </c>
      <c r="M116" s="390">
        <f>Direct_Capex_Totals!U103</f>
        <v>62.238253255223583</v>
      </c>
      <c r="N116" s="6"/>
      <c r="O116" s="6"/>
      <c r="P116" s="6">
        <f>$I116*0.6</f>
        <v>342.25868274586196</v>
      </c>
      <c r="Q116" s="6">
        <f>$I116*0.4</f>
        <v>228.17245516390801</v>
      </c>
      <c r="R116" s="6"/>
      <c r="S116" s="6"/>
      <c r="T116" s="6"/>
      <c r="U116" s="6"/>
      <c r="V116" s="6"/>
      <c r="W116" s="6"/>
      <c r="X116" s="6"/>
      <c r="Y116" s="6">
        <v>0</v>
      </c>
      <c r="Z116" s="6">
        <f t="shared" ref="Z116:Z122" si="176">$J116*0.5</f>
        <v>51.554259376702312</v>
      </c>
      <c r="AA116" s="6">
        <f t="shared" si="171"/>
        <v>51.554259376702312</v>
      </c>
      <c r="AB116" s="6"/>
      <c r="AC116" s="6"/>
      <c r="AD116" s="6"/>
      <c r="AE116" s="6"/>
      <c r="AF116" s="6"/>
      <c r="AG116" s="6"/>
      <c r="AH116" s="6">
        <f t="shared" si="172"/>
        <v>16.49060773480663</v>
      </c>
      <c r="AI116" s="6">
        <f t="shared" ref="AI116:AI122" si="177">$L116*0.5</f>
        <v>109.22683086119008</v>
      </c>
      <c r="AJ116" s="6">
        <f t="shared" si="173"/>
        <v>109.22683086119008</v>
      </c>
      <c r="AK116" s="6"/>
      <c r="AL116" s="6"/>
      <c r="AM116" s="6"/>
      <c r="AN116" s="6"/>
      <c r="AO116" s="6"/>
      <c r="AP116" s="6"/>
      <c r="AQ116" s="6"/>
      <c r="AR116" s="6">
        <f t="shared" ref="AR116:AR122" si="178">$M116*0.5</f>
        <v>31.119126627611791</v>
      </c>
      <c r="AS116" s="6">
        <f t="shared" si="174"/>
        <v>31.119126627611791</v>
      </c>
      <c r="AT116" s="6"/>
      <c r="AU116" s="6"/>
      <c r="AV116" s="6"/>
      <c r="AW116" s="6"/>
      <c r="AX116" s="6">
        <f t="shared" si="175"/>
        <v>0</v>
      </c>
      <c r="AY116" s="6">
        <f t="shared" si="163"/>
        <v>0</v>
      </c>
      <c r="AZ116" s="6">
        <f t="shared" si="164"/>
        <v>358.74929048066861</v>
      </c>
      <c r="BA116" s="6">
        <f t="shared" si="165"/>
        <v>420.07267202941216</v>
      </c>
      <c r="BB116" s="6">
        <f t="shared" si="166"/>
        <v>191.90021686550418</v>
      </c>
      <c r="BC116" s="6">
        <f t="shared" si="167"/>
        <v>0</v>
      </c>
      <c r="BD116" s="6">
        <f t="shared" si="168"/>
        <v>0</v>
      </c>
      <c r="BE116" s="6">
        <f t="shared" si="169"/>
        <v>0</v>
      </c>
      <c r="BG116" s="14">
        <f t="shared" si="170"/>
        <v>970.72217937558491</v>
      </c>
      <c r="BH116" s="6">
        <f>BG116-Direct_Capex_Totals!V103</f>
        <v>0</v>
      </c>
    </row>
    <row r="117" spans="2:68" x14ac:dyDescent="0.3">
      <c r="B117" s="174" t="str">
        <f>STN_4</f>
        <v>WOTS22</v>
      </c>
      <c r="C117" s="17">
        <f>Schedule!C84</f>
        <v>43238</v>
      </c>
      <c r="D117" s="17">
        <f>Schedule!D84</f>
        <v>43525</v>
      </c>
      <c r="E117" s="17">
        <f>Schedule!E84</f>
        <v>44061</v>
      </c>
      <c r="F117" s="8" t="s">
        <v>42</v>
      </c>
      <c r="G117" s="17" t="s">
        <v>19</v>
      </c>
      <c r="H117" s="20" t="str">
        <f t="shared" si="162"/>
        <v>Distribution system assetsAugmentation</v>
      </c>
      <c r="I117" s="390">
        <f>Direct_Capex_Totals!Q104</f>
        <v>2451.6695017035458</v>
      </c>
      <c r="J117" s="390">
        <f>Direct_Capex_Totals!R104</f>
        <v>386.17141593135534</v>
      </c>
      <c r="K117" s="390">
        <f>Direct_Capex_Totals!S104</f>
        <v>0</v>
      </c>
      <c r="L117" s="390">
        <f>Direct_Capex_Totals!T104</f>
        <v>644.6660986671493</v>
      </c>
      <c r="M117" s="390">
        <f>Direct_Capex_Totals!U104</f>
        <v>193.40121102749913</v>
      </c>
      <c r="N117" s="6"/>
      <c r="O117" s="6"/>
      <c r="P117" s="6">
        <f>I117</f>
        <v>2451.6695017035458</v>
      </c>
      <c r="Q117" s="6"/>
      <c r="R117" s="6"/>
      <c r="S117" s="6"/>
      <c r="T117" s="6"/>
      <c r="U117" s="6"/>
      <c r="V117" s="6"/>
      <c r="W117" s="6"/>
      <c r="X117" s="6"/>
      <c r="Y117" s="6">
        <v>0</v>
      </c>
      <c r="Z117" s="6">
        <f t="shared" si="176"/>
        <v>193.08570796567767</v>
      </c>
      <c r="AA117" s="6">
        <f t="shared" si="171"/>
        <v>193.08570796567767</v>
      </c>
      <c r="AB117" s="6"/>
      <c r="AC117" s="6"/>
      <c r="AD117" s="6"/>
      <c r="AE117" s="6"/>
      <c r="AF117" s="6"/>
      <c r="AG117" s="6"/>
      <c r="AH117" s="6">
        <f t="shared" si="172"/>
        <v>0</v>
      </c>
      <c r="AI117" s="6">
        <f t="shared" si="177"/>
        <v>322.33304933357465</v>
      </c>
      <c r="AJ117" s="6">
        <f t="shared" si="173"/>
        <v>322.33304933357465</v>
      </c>
      <c r="AK117" s="6"/>
      <c r="AL117" s="6"/>
      <c r="AM117" s="6"/>
      <c r="AN117" s="6"/>
      <c r="AO117" s="6"/>
      <c r="AP117" s="6"/>
      <c r="AQ117" s="6"/>
      <c r="AR117" s="6">
        <f t="shared" si="178"/>
        <v>96.700605513749565</v>
      </c>
      <c r="AS117" s="6">
        <f t="shared" si="174"/>
        <v>96.700605513749565</v>
      </c>
      <c r="AT117" s="6"/>
      <c r="AU117" s="6"/>
      <c r="AV117" s="6"/>
      <c r="AW117" s="6"/>
      <c r="AX117" s="6">
        <f t="shared" si="175"/>
        <v>0</v>
      </c>
      <c r="AY117" s="6">
        <f t="shared" si="163"/>
        <v>0</v>
      </c>
      <c r="AZ117" s="6">
        <f t="shared" si="164"/>
        <v>2451.6695017035458</v>
      </c>
      <c r="BA117" s="6">
        <f t="shared" si="165"/>
        <v>612.11936281300189</v>
      </c>
      <c r="BB117" s="6">
        <f t="shared" si="166"/>
        <v>612.11936281300189</v>
      </c>
      <c r="BC117" s="6">
        <f t="shared" si="167"/>
        <v>0</v>
      </c>
      <c r="BD117" s="6">
        <f t="shared" si="168"/>
        <v>0</v>
      </c>
      <c r="BE117" s="6">
        <f t="shared" si="169"/>
        <v>0</v>
      </c>
      <c r="BG117" s="14">
        <f t="shared" si="170"/>
        <v>3675.9082273295494</v>
      </c>
      <c r="BH117" s="6">
        <f>BG117-Direct_Capex_Totals!V104</f>
        <v>0</v>
      </c>
    </row>
    <row r="118" spans="2:68" x14ac:dyDescent="0.3">
      <c r="B118" s="174" t="str">
        <f>STN_5</f>
        <v>MOE</v>
      </c>
      <c r="C118" s="17">
        <f>Schedule!C85</f>
        <v>43330</v>
      </c>
      <c r="D118" s="17">
        <f>Schedule!D85</f>
        <v>43739</v>
      </c>
      <c r="E118" s="17">
        <f>Schedule!E85</f>
        <v>44136</v>
      </c>
      <c r="F118" s="8" t="s">
        <v>42</v>
      </c>
      <c r="G118" s="17" t="s">
        <v>19</v>
      </c>
      <c r="H118" s="20" t="str">
        <f t="shared" si="162"/>
        <v>Distribution system assetsAugmentation</v>
      </c>
      <c r="I118" s="390">
        <f>Direct_Capex_Totals!Q105</f>
        <v>1472.3315837466523</v>
      </c>
      <c r="J118" s="390">
        <f>Direct_Capex_Totals!R105</f>
        <v>229.36178893505803</v>
      </c>
      <c r="K118" s="390">
        <f>Direct_Capex_Totals!S105</f>
        <v>5.4968692449355441</v>
      </c>
      <c r="L118" s="390">
        <f>Direct_Capex_Totals!T105</f>
        <v>719.41725358109795</v>
      </c>
      <c r="M118" s="390">
        <f>Direct_Capex_Totals!U105</f>
        <v>113.63848607109981</v>
      </c>
      <c r="N118" s="6"/>
      <c r="O118" s="6"/>
      <c r="P118" s="6">
        <v>0</v>
      </c>
      <c r="Q118" s="6">
        <f>I118</f>
        <v>1472.3315837466523</v>
      </c>
      <c r="R118" s="6"/>
      <c r="S118" s="6"/>
      <c r="T118" s="6"/>
      <c r="U118" s="6"/>
      <c r="V118" s="6"/>
      <c r="W118" s="6"/>
      <c r="X118" s="6"/>
      <c r="Y118" s="6">
        <v>0</v>
      </c>
      <c r="Z118" s="6">
        <f t="shared" si="176"/>
        <v>114.68089446752901</v>
      </c>
      <c r="AA118" s="6">
        <f t="shared" si="171"/>
        <v>114.68089446752901</v>
      </c>
      <c r="AB118" s="6"/>
      <c r="AC118" s="6"/>
      <c r="AD118" s="6"/>
      <c r="AE118" s="6"/>
      <c r="AF118" s="6"/>
      <c r="AG118" s="6"/>
      <c r="AH118" s="6">
        <f t="shared" si="172"/>
        <v>5.4968692449355441</v>
      </c>
      <c r="AI118" s="6">
        <f t="shared" si="177"/>
        <v>359.70862679054898</v>
      </c>
      <c r="AJ118" s="6">
        <f t="shared" si="173"/>
        <v>359.70862679054898</v>
      </c>
      <c r="AK118" s="6"/>
      <c r="AL118" s="6"/>
      <c r="AM118" s="6"/>
      <c r="AN118" s="6"/>
      <c r="AO118" s="6"/>
      <c r="AP118" s="6"/>
      <c r="AQ118" s="6"/>
      <c r="AR118" s="6">
        <f t="shared" si="178"/>
        <v>56.819243035549903</v>
      </c>
      <c r="AS118" s="6">
        <f t="shared" si="174"/>
        <v>56.819243035549903</v>
      </c>
      <c r="AT118" s="6"/>
      <c r="AU118" s="6"/>
      <c r="AV118" s="6"/>
      <c r="AW118" s="6"/>
      <c r="AX118" s="6">
        <f t="shared" si="175"/>
        <v>0</v>
      </c>
      <c r="AY118" s="6">
        <f t="shared" si="163"/>
        <v>0</v>
      </c>
      <c r="AZ118" s="6">
        <f t="shared" si="164"/>
        <v>5.4968692449355441</v>
      </c>
      <c r="BA118" s="6">
        <f t="shared" si="165"/>
        <v>2003.5403480402802</v>
      </c>
      <c r="BB118" s="6">
        <f t="shared" si="166"/>
        <v>531.20876429362784</v>
      </c>
      <c r="BC118" s="6">
        <f t="shared" si="167"/>
        <v>0</v>
      </c>
      <c r="BD118" s="6">
        <f t="shared" si="168"/>
        <v>0</v>
      </c>
      <c r="BE118" s="6">
        <f t="shared" si="169"/>
        <v>0</v>
      </c>
      <c r="BG118" s="14">
        <f t="shared" si="170"/>
        <v>2540.2459815788434</v>
      </c>
      <c r="BH118" s="6">
        <f>BG118-Direct_Capex_Totals!V105</f>
        <v>0</v>
      </c>
    </row>
    <row r="119" spans="2:68" x14ac:dyDescent="0.3">
      <c r="B119" s="174" t="str">
        <f>STN_6</f>
        <v>BGE</v>
      </c>
      <c r="C119" s="17">
        <f>Schedule!C86</f>
        <v>43282</v>
      </c>
      <c r="D119" s="17">
        <f>Schedule!D86</f>
        <v>43617</v>
      </c>
      <c r="E119" s="17">
        <f>Schedule!E86</f>
        <v>44013</v>
      </c>
      <c r="F119" s="8" t="s">
        <v>42</v>
      </c>
      <c r="G119" s="17" t="s">
        <v>19</v>
      </c>
      <c r="H119" s="20" t="str">
        <f t="shared" si="162"/>
        <v>Distribution system assetsAugmentation</v>
      </c>
      <c r="I119" s="390">
        <f>Direct_Capex_Totals!Q106</f>
        <v>1448.2872399278506</v>
      </c>
      <c r="J119" s="390">
        <f>Direct_Capex_Totals!R106</f>
        <v>242.74559975464638</v>
      </c>
      <c r="K119" s="390">
        <f>Direct_Capex_Totals!S106</f>
        <v>5.4968692449355441</v>
      </c>
      <c r="L119" s="390">
        <f>Direct_Capex_Totals!T106</f>
        <v>715.03636563051077</v>
      </c>
      <c r="M119" s="390">
        <f>Direct_Capex_Totals!U106</f>
        <v>113.35003317658189</v>
      </c>
      <c r="N119" s="6"/>
      <c r="O119" s="6"/>
      <c r="P119" s="6">
        <f>$I119*0.6</f>
        <v>868.97234395671035</v>
      </c>
      <c r="Q119" s="6">
        <f>$I119*0.4</f>
        <v>579.31489597114023</v>
      </c>
      <c r="R119" s="6"/>
      <c r="S119" s="6"/>
      <c r="T119" s="6"/>
      <c r="U119" s="6"/>
      <c r="V119" s="6"/>
      <c r="W119" s="6"/>
      <c r="X119" s="6"/>
      <c r="Y119" s="6">
        <v>0</v>
      </c>
      <c r="Z119" s="6">
        <f t="shared" si="176"/>
        <v>121.37279987732319</v>
      </c>
      <c r="AA119" s="6">
        <f t="shared" si="171"/>
        <v>121.37279987732319</v>
      </c>
      <c r="AB119" s="6"/>
      <c r="AC119" s="6"/>
      <c r="AD119" s="6"/>
      <c r="AE119" s="6"/>
      <c r="AF119" s="6"/>
      <c r="AG119" s="6"/>
      <c r="AH119" s="6">
        <f t="shared" si="172"/>
        <v>5.4968692449355441</v>
      </c>
      <c r="AI119" s="6">
        <f t="shared" si="177"/>
        <v>357.51818281525539</v>
      </c>
      <c r="AJ119" s="6">
        <f t="shared" si="173"/>
        <v>357.51818281525539</v>
      </c>
      <c r="AK119" s="6"/>
      <c r="AL119" s="6"/>
      <c r="AM119" s="6"/>
      <c r="AN119" s="6"/>
      <c r="AO119" s="6"/>
      <c r="AP119" s="6"/>
      <c r="AQ119" s="6"/>
      <c r="AR119" s="6">
        <f t="shared" si="178"/>
        <v>56.675016588290944</v>
      </c>
      <c r="AS119" s="6">
        <f t="shared" si="174"/>
        <v>56.675016588290944</v>
      </c>
      <c r="AT119" s="6"/>
      <c r="AU119" s="6"/>
      <c r="AV119" s="6"/>
      <c r="AW119" s="6"/>
      <c r="AX119" s="6">
        <f t="shared" si="175"/>
        <v>0</v>
      </c>
      <c r="AY119" s="6">
        <f t="shared" si="163"/>
        <v>0</v>
      </c>
      <c r="AZ119" s="6">
        <f t="shared" si="164"/>
        <v>874.46921320164586</v>
      </c>
      <c r="BA119" s="6">
        <f t="shared" si="165"/>
        <v>1114.8808952520096</v>
      </c>
      <c r="BB119" s="6">
        <f t="shared" si="166"/>
        <v>535.56599928086951</v>
      </c>
      <c r="BC119" s="6">
        <f t="shared" si="167"/>
        <v>0</v>
      </c>
      <c r="BD119" s="6">
        <f t="shared" si="168"/>
        <v>0</v>
      </c>
      <c r="BE119" s="6">
        <f t="shared" si="169"/>
        <v>0</v>
      </c>
      <c r="BG119" s="14">
        <f t="shared" si="170"/>
        <v>2524.9161077345252</v>
      </c>
      <c r="BH119" s="6">
        <f>BG119-Direct_Capex_Totals!V106</f>
        <v>0</v>
      </c>
    </row>
    <row r="120" spans="2:68" x14ac:dyDescent="0.3">
      <c r="B120" s="174" t="str">
        <f>STN_7</f>
        <v>LDL</v>
      </c>
      <c r="C120" s="17">
        <f>Schedule!C87</f>
        <v>43422</v>
      </c>
      <c r="D120" s="17">
        <f>Schedule!D87</f>
        <v>43739</v>
      </c>
      <c r="E120" s="17">
        <f>Schedule!E87</f>
        <v>44044</v>
      </c>
      <c r="F120" s="8" t="s">
        <v>42</v>
      </c>
      <c r="G120" s="17" t="s">
        <v>19</v>
      </c>
      <c r="H120" s="20" t="str">
        <f t="shared" si="162"/>
        <v>Distribution system assetsAugmentation</v>
      </c>
      <c r="I120" s="390">
        <f>Direct_Capex_Totals!Q107</f>
        <v>2402.255961419582</v>
      </c>
      <c r="J120" s="390">
        <f>Direct_Capex_Totals!R107</f>
        <v>388.58942093814397</v>
      </c>
      <c r="K120" s="390">
        <f>Direct_Capex_Totals!S107</f>
        <v>0</v>
      </c>
      <c r="L120" s="390">
        <f>Direct_Capex_Totals!T107</f>
        <v>943.06265776772034</v>
      </c>
      <c r="M120" s="390">
        <f>Direct_Capex_Totals!U107</f>
        <v>182.85784723767361</v>
      </c>
      <c r="N120" s="6"/>
      <c r="O120" s="6"/>
      <c r="P120" s="6">
        <v>0</v>
      </c>
      <c r="Q120" s="6">
        <f>I120</f>
        <v>2402.255961419582</v>
      </c>
      <c r="R120" s="6"/>
      <c r="S120" s="6"/>
      <c r="T120" s="6"/>
      <c r="U120" s="6"/>
      <c r="V120" s="6"/>
      <c r="W120" s="6"/>
      <c r="X120" s="6"/>
      <c r="Y120" s="6">
        <v>0</v>
      </c>
      <c r="Z120" s="6">
        <f t="shared" si="176"/>
        <v>194.29471046907199</v>
      </c>
      <c r="AA120" s="6">
        <f t="shared" si="171"/>
        <v>194.29471046907199</v>
      </c>
      <c r="AB120" s="6"/>
      <c r="AC120" s="6"/>
      <c r="AD120" s="6"/>
      <c r="AE120" s="6"/>
      <c r="AF120" s="6"/>
      <c r="AG120" s="6"/>
      <c r="AH120" s="6">
        <f>K120*0.5</f>
        <v>0</v>
      </c>
      <c r="AI120" s="6">
        <f>L120*0.5+K120*0.5</f>
        <v>471.53132888386017</v>
      </c>
      <c r="AJ120" s="6">
        <f>L120*0.5</f>
        <v>471.53132888386017</v>
      </c>
      <c r="AK120" s="6"/>
      <c r="AL120" s="6"/>
      <c r="AM120" s="6"/>
      <c r="AN120" s="6"/>
      <c r="AO120" s="6"/>
      <c r="AP120" s="6"/>
      <c r="AQ120" s="6"/>
      <c r="AR120" s="6">
        <f t="shared" si="178"/>
        <v>91.428923618836805</v>
      </c>
      <c r="AS120" s="6">
        <f t="shared" si="174"/>
        <v>91.428923618836805</v>
      </c>
      <c r="AT120" s="6"/>
      <c r="AU120" s="6"/>
      <c r="AV120" s="6"/>
      <c r="AW120" s="6"/>
      <c r="AX120" s="6">
        <f t="shared" si="175"/>
        <v>0</v>
      </c>
      <c r="AY120" s="6">
        <f t="shared" si="163"/>
        <v>0</v>
      </c>
      <c r="AZ120" s="6">
        <f t="shared" si="164"/>
        <v>0</v>
      </c>
      <c r="BA120" s="6">
        <f t="shared" si="165"/>
        <v>3159.5109243913512</v>
      </c>
      <c r="BB120" s="6">
        <f t="shared" si="166"/>
        <v>757.25496297176903</v>
      </c>
      <c r="BC120" s="6">
        <f t="shared" si="167"/>
        <v>0</v>
      </c>
      <c r="BD120" s="6">
        <f t="shared" si="168"/>
        <v>0</v>
      </c>
      <c r="BE120" s="6">
        <f t="shared" si="169"/>
        <v>0</v>
      </c>
      <c r="BG120" s="14">
        <f t="shared" si="170"/>
        <v>3916.7658873631203</v>
      </c>
      <c r="BH120" s="6">
        <f>BG120-Direct_Capex_Totals!V107</f>
        <v>0</v>
      </c>
    </row>
    <row r="121" spans="2:68" x14ac:dyDescent="0.3">
      <c r="B121" s="174" t="str">
        <f>STN_8</f>
        <v>BDL</v>
      </c>
      <c r="C121" s="17">
        <f>Schedule!C88</f>
        <v>43282</v>
      </c>
      <c r="D121" s="17">
        <f>Schedule!D88</f>
        <v>43603</v>
      </c>
      <c r="E121" s="17">
        <f>Schedule!E88</f>
        <v>43952</v>
      </c>
      <c r="F121" s="8" t="s">
        <v>42</v>
      </c>
      <c r="G121" s="17" t="s">
        <v>19</v>
      </c>
      <c r="H121" s="20" t="str">
        <f t="shared" si="162"/>
        <v>Distribution system assetsAugmentation</v>
      </c>
      <c r="I121" s="390">
        <f>Direct_Capex_Totals!Q108</f>
        <v>0</v>
      </c>
      <c r="J121" s="390">
        <f>Direct_Capex_Totals!R108</f>
        <v>0</v>
      </c>
      <c r="K121" s="390">
        <f>Direct_Capex_Totals!S108</f>
        <v>0</v>
      </c>
      <c r="L121" s="390">
        <f>Direct_Capex_Totals!T108</f>
        <v>0</v>
      </c>
      <c r="M121" s="390">
        <f>Direct_Capex_Totals!U108</f>
        <v>0</v>
      </c>
      <c r="N121" s="6"/>
      <c r="O121" s="6"/>
      <c r="P121" s="6">
        <f>$I121*0.6</f>
        <v>0</v>
      </c>
      <c r="Q121" s="6">
        <f>$I121*0.4</f>
        <v>0</v>
      </c>
      <c r="R121" s="6"/>
      <c r="S121" s="6"/>
      <c r="T121" s="6"/>
      <c r="U121" s="6"/>
      <c r="V121" s="6"/>
      <c r="W121" s="6"/>
      <c r="X121" s="6"/>
      <c r="Y121" s="6">
        <v>0</v>
      </c>
      <c r="Z121" s="6">
        <f t="shared" si="176"/>
        <v>0</v>
      </c>
      <c r="AA121" s="6">
        <f t="shared" si="171"/>
        <v>0</v>
      </c>
      <c r="AB121" s="6"/>
      <c r="AC121" s="6"/>
      <c r="AD121" s="6"/>
      <c r="AE121" s="6"/>
      <c r="AF121" s="6"/>
      <c r="AG121" s="6"/>
      <c r="AH121" s="6">
        <f t="shared" si="172"/>
        <v>0</v>
      </c>
      <c r="AI121" s="6">
        <f t="shared" si="177"/>
        <v>0</v>
      </c>
      <c r="AJ121" s="6">
        <f t="shared" si="173"/>
        <v>0</v>
      </c>
      <c r="AK121" s="6"/>
      <c r="AL121" s="6"/>
      <c r="AM121" s="6"/>
      <c r="AN121" s="6"/>
      <c r="AO121" s="6"/>
      <c r="AP121" s="6"/>
      <c r="AQ121" s="6"/>
      <c r="AR121" s="6">
        <f t="shared" si="178"/>
        <v>0</v>
      </c>
      <c r="AS121" s="6">
        <f t="shared" si="174"/>
        <v>0</v>
      </c>
      <c r="AT121" s="6"/>
      <c r="AU121" s="6"/>
      <c r="AV121" s="6"/>
      <c r="AW121" s="6"/>
      <c r="AX121" s="6">
        <f t="shared" si="175"/>
        <v>0</v>
      </c>
      <c r="AY121" s="6">
        <f t="shared" si="163"/>
        <v>0</v>
      </c>
      <c r="AZ121" s="6">
        <f t="shared" si="164"/>
        <v>0</v>
      </c>
      <c r="BA121" s="6">
        <f t="shared" si="165"/>
        <v>0</v>
      </c>
      <c r="BB121" s="6">
        <f t="shared" si="166"/>
        <v>0</v>
      </c>
      <c r="BC121" s="6">
        <f t="shared" si="167"/>
        <v>0</v>
      </c>
      <c r="BD121" s="6">
        <f t="shared" si="168"/>
        <v>0</v>
      </c>
      <c r="BE121" s="6">
        <f t="shared" si="169"/>
        <v>0</v>
      </c>
      <c r="BG121" s="14">
        <f t="shared" si="170"/>
        <v>0</v>
      </c>
      <c r="BH121" s="6">
        <f>BG121-Direct_Capex_Totals!V108</f>
        <v>0</v>
      </c>
    </row>
    <row r="122" spans="2:68" x14ac:dyDescent="0.3">
      <c r="B122" s="174" t="str">
        <f>STN_9</f>
        <v>[spare]</v>
      </c>
      <c r="C122" s="17">
        <f>Schedule!C89</f>
        <v>0</v>
      </c>
      <c r="D122" s="17">
        <f>Schedule!D89</f>
        <v>0</v>
      </c>
      <c r="E122" s="17">
        <f>Schedule!E89</f>
        <v>0</v>
      </c>
      <c r="F122" s="8" t="s">
        <v>42</v>
      </c>
      <c r="G122" s="17" t="s">
        <v>19</v>
      </c>
      <c r="H122" s="20" t="str">
        <f t="shared" si="162"/>
        <v>Distribution system assetsAugmentation</v>
      </c>
      <c r="I122" s="390">
        <f>Direct_Capex_Totals!Q109</f>
        <v>0</v>
      </c>
      <c r="J122" s="390">
        <f>Direct_Capex_Totals!R109</f>
        <v>0</v>
      </c>
      <c r="K122" s="390">
        <f>Direct_Capex_Totals!S109</f>
        <v>0</v>
      </c>
      <c r="L122" s="390">
        <f>Direct_Capex_Totals!T109</f>
        <v>0</v>
      </c>
      <c r="M122" s="390">
        <f>Direct_Capex_Totals!U109</f>
        <v>0</v>
      </c>
      <c r="N122" s="6"/>
      <c r="O122" s="6"/>
      <c r="P122" s="6">
        <f>$I122*0.6</f>
        <v>0</v>
      </c>
      <c r="Q122" s="6">
        <f>$I122*0.4</f>
        <v>0</v>
      </c>
      <c r="R122" s="6"/>
      <c r="S122" s="6"/>
      <c r="T122" s="6"/>
      <c r="U122" s="6"/>
      <c r="V122" s="6"/>
      <c r="W122" s="6"/>
      <c r="X122" s="6"/>
      <c r="Y122" s="6"/>
      <c r="Z122" s="6">
        <f t="shared" si="176"/>
        <v>0</v>
      </c>
      <c r="AA122" s="6">
        <f t="shared" si="171"/>
        <v>0</v>
      </c>
      <c r="AB122" s="6"/>
      <c r="AC122" s="6"/>
      <c r="AD122" s="6"/>
      <c r="AE122" s="6"/>
      <c r="AF122" s="6"/>
      <c r="AG122" s="6"/>
      <c r="AH122" s="6">
        <f t="shared" si="172"/>
        <v>0</v>
      </c>
      <c r="AI122" s="6">
        <f t="shared" si="177"/>
        <v>0</v>
      </c>
      <c r="AJ122" s="6">
        <f t="shared" si="173"/>
        <v>0</v>
      </c>
      <c r="AK122" s="6"/>
      <c r="AL122" s="6"/>
      <c r="AM122" s="6"/>
      <c r="AN122" s="6"/>
      <c r="AO122" s="6"/>
      <c r="AP122" s="6"/>
      <c r="AQ122" s="6"/>
      <c r="AR122" s="6">
        <f t="shared" si="178"/>
        <v>0</v>
      </c>
      <c r="AS122" s="6">
        <f t="shared" si="174"/>
        <v>0</v>
      </c>
      <c r="AT122" s="6"/>
      <c r="AU122" s="6"/>
      <c r="AV122" s="6"/>
      <c r="AW122" s="6"/>
      <c r="AX122" s="6">
        <f t="shared" si="175"/>
        <v>0</v>
      </c>
      <c r="AY122" s="6">
        <f t="shared" si="163"/>
        <v>0</v>
      </c>
      <c r="AZ122" s="6">
        <f t="shared" si="164"/>
        <v>0</v>
      </c>
      <c r="BA122" s="6">
        <f t="shared" si="165"/>
        <v>0</v>
      </c>
      <c r="BB122" s="6">
        <f t="shared" si="166"/>
        <v>0</v>
      </c>
      <c r="BC122" s="6">
        <f t="shared" si="167"/>
        <v>0</v>
      </c>
      <c r="BD122" s="6">
        <f t="shared" si="168"/>
        <v>0</v>
      </c>
      <c r="BE122" s="6">
        <f t="shared" si="169"/>
        <v>0</v>
      </c>
      <c r="BG122" s="14">
        <f t="shared" si="170"/>
        <v>0</v>
      </c>
      <c r="BH122" s="6">
        <f>BG122-Direct_Capex_Totals!V109</f>
        <v>0</v>
      </c>
    </row>
    <row r="123" spans="2:68" x14ac:dyDescent="0.3">
      <c r="C123" s="45"/>
      <c r="D123" s="45"/>
      <c r="E123" s="20"/>
      <c r="F123" s="8"/>
      <c r="G123" s="8"/>
      <c r="H123" s="8"/>
      <c r="I123" s="8"/>
      <c r="J123" s="8"/>
      <c r="K123" s="8"/>
      <c r="L123" s="8"/>
      <c r="M123" s="8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</row>
    <row r="124" spans="2:68" x14ac:dyDescent="0.3">
      <c r="B124" s="25" t="s">
        <v>122</v>
      </c>
      <c r="C124" s="45"/>
      <c r="D124" s="45"/>
      <c r="E124" s="20"/>
      <c r="F124" s="8"/>
      <c r="G124" s="8"/>
      <c r="H124" s="8"/>
      <c r="I124" s="8"/>
      <c r="J124" s="8"/>
      <c r="K124" s="8"/>
      <c r="L124" s="8"/>
      <c r="M124" s="8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</row>
    <row r="125" spans="2:68" x14ac:dyDescent="0.3">
      <c r="B125" s="174" t="s">
        <v>121</v>
      </c>
      <c r="C125" s="17">
        <f>Schedule!C92</f>
        <v>43556</v>
      </c>
      <c r="D125" s="17">
        <f>Schedule!D92</f>
        <v>43739</v>
      </c>
      <c r="E125" s="17">
        <f>Schedule!E92</f>
        <v>44470</v>
      </c>
      <c r="F125" s="8" t="s">
        <v>44</v>
      </c>
      <c r="G125" s="17" t="s">
        <v>19</v>
      </c>
      <c r="H125" s="20" t="str">
        <f t="shared" ref="H125:H131" si="179">G125&amp;F125</f>
        <v>Distribution system assetsReplacement</v>
      </c>
      <c r="I125" s="390">
        <v>8920.0159220930218</v>
      </c>
      <c r="J125" s="390">
        <v>1587.2678023255814</v>
      </c>
      <c r="K125" s="390">
        <v>557.79069767441854</v>
      </c>
      <c r="L125" s="390">
        <v>2009.7868186046508</v>
      </c>
      <c r="M125" s="390">
        <v>1133.4990735174417</v>
      </c>
      <c r="N125" s="38">
        <v>0</v>
      </c>
      <c r="O125" s="38">
        <v>0</v>
      </c>
      <c r="P125" s="38">
        <v>0</v>
      </c>
      <c r="Q125" s="38">
        <v>3398.1013036544846</v>
      </c>
      <c r="R125" s="38">
        <v>5521.9146184385381</v>
      </c>
      <c r="S125" s="38">
        <v>0</v>
      </c>
      <c r="T125" s="38">
        <v>0</v>
      </c>
      <c r="U125" s="38">
        <v>0</v>
      </c>
      <c r="V125" s="38"/>
      <c r="W125" s="38">
        <v>0</v>
      </c>
      <c r="X125" s="38">
        <v>0</v>
      </c>
      <c r="Y125" s="38">
        <v>0</v>
      </c>
      <c r="Z125" s="38">
        <v>604.67344850498341</v>
      </c>
      <c r="AA125" s="38">
        <v>982.59435382059803</v>
      </c>
      <c r="AB125" s="38">
        <v>0</v>
      </c>
      <c r="AC125" s="38">
        <v>0</v>
      </c>
      <c r="AD125" s="38">
        <v>0</v>
      </c>
      <c r="AE125" s="38"/>
      <c r="AF125" s="38">
        <v>0</v>
      </c>
      <c r="AG125" s="38">
        <v>0</v>
      </c>
      <c r="AH125" s="38">
        <v>0</v>
      </c>
      <c r="AI125" s="38">
        <v>978.1247681063121</v>
      </c>
      <c r="AJ125" s="38">
        <v>1589.4527481727571</v>
      </c>
      <c r="AK125" s="38">
        <v>0</v>
      </c>
      <c r="AL125" s="38">
        <v>0</v>
      </c>
      <c r="AM125" s="38">
        <v>0</v>
      </c>
      <c r="AN125" s="38"/>
      <c r="AO125" s="38">
        <v>0</v>
      </c>
      <c r="AP125" s="38">
        <v>0</v>
      </c>
      <c r="AQ125" s="38">
        <v>0</v>
      </c>
      <c r="AR125" s="38">
        <v>431.80917086378736</v>
      </c>
      <c r="AS125" s="38">
        <v>701.68990265365449</v>
      </c>
      <c r="AT125" s="38">
        <v>0</v>
      </c>
      <c r="AU125" s="38">
        <v>0</v>
      </c>
      <c r="AV125" s="38">
        <v>0</v>
      </c>
      <c r="AW125" s="6"/>
      <c r="AX125" s="6">
        <f t="shared" ref="AX125" si="180">N125+W125+AF125+AO125</f>
        <v>0</v>
      </c>
      <c r="AY125" s="6">
        <f t="shared" ref="AY125" si="181">O125+X125+AG125+AP125</f>
        <v>0</v>
      </c>
      <c r="AZ125" s="6">
        <f t="shared" ref="AZ125" si="182">P125+Y125+AH125+AQ125</f>
        <v>0</v>
      </c>
      <c r="BA125" s="6">
        <f t="shared" ref="BA125" si="183">Q125+Z125+AI125+AR125</f>
        <v>5412.7086911295673</v>
      </c>
      <c r="BB125" s="6">
        <f t="shared" ref="BB125" si="184">R125+AA125+AJ125+AS125</f>
        <v>8795.6516230855486</v>
      </c>
      <c r="BC125" s="6">
        <f t="shared" ref="BC125:BC132" si="185">S125+AB125+AK125+AT125</f>
        <v>0</v>
      </c>
      <c r="BD125" s="6">
        <f t="shared" ref="BD125:BD132" si="186">T125+AC125+AL125+AU125</f>
        <v>0</v>
      </c>
      <c r="BE125" s="6">
        <f t="shared" ref="BE125:BE132" si="187">U125+AD125+AM125+AV125</f>
        <v>0</v>
      </c>
      <c r="BG125" s="14">
        <f t="shared" ref="BG125:BG132" si="188">SUM(AX125:BE125)</f>
        <v>14208.360314215115</v>
      </c>
      <c r="BH125" s="19">
        <f>BG125+BG126-Direct_Capex_Totals!V115</f>
        <v>0</v>
      </c>
      <c r="BI125" s="45"/>
      <c r="BJ125" s="396"/>
      <c r="BK125" s="45"/>
      <c r="BL125" s="45"/>
      <c r="BM125" s="45"/>
      <c r="BN125" s="45"/>
      <c r="BO125" s="45"/>
      <c r="BP125" s="45"/>
    </row>
    <row r="126" spans="2:68" s="45" customFormat="1" x14ac:dyDescent="0.3">
      <c r="B126" s="175" t="s">
        <v>431</v>
      </c>
      <c r="C126" s="17">
        <f>Schedule!C93</f>
        <v>43556</v>
      </c>
      <c r="D126" s="17">
        <f>Schedule!D93</f>
        <v>43617</v>
      </c>
      <c r="E126" s="17">
        <f>Schedule!E93</f>
        <v>43739</v>
      </c>
      <c r="F126" s="20" t="s">
        <v>44</v>
      </c>
      <c r="G126" s="20" t="s">
        <v>22</v>
      </c>
      <c r="H126" s="20" t="str">
        <f t="shared" si="179"/>
        <v>SCADA/Network controlReplacement</v>
      </c>
      <c r="I126" s="390">
        <v>0</v>
      </c>
      <c r="J126" s="390">
        <v>0</v>
      </c>
      <c r="K126" s="390">
        <v>0</v>
      </c>
      <c r="L126" s="390">
        <v>511.30813953488365</v>
      </c>
      <c r="M126" s="390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/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/>
      <c r="AF126" s="38">
        <v>0</v>
      </c>
      <c r="AG126" s="38">
        <v>0</v>
      </c>
      <c r="AH126" s="38">
        <v>0</v>
      </c>
      <c r="AI126" s="38">
        <v>194.78405315614614</v>
      </c>
      <c r="AJ126" s="38">
        <v>316.52408637873748</v>
      </c>
      <c r="AK126" s="38">
        <v>0</v>
      </c>
      <c r="AL126" s="38">
        <v>0</v>
      </c>
      <c r="AM126" s="38">
        <v>0</v>
      </c>
      <c r="AN126" s="38"/>
      <c r="AO126" s="38">
        <v>0</v>
      </c>
      <c r="AP126" s="38">
        <v>0</v>
      </c>
      <c r="AQ126" s="38">
        <v>0</v>
      </c>
      <c r="AR126" s="38">
        <v>0</v>
      </c>
      <c r="AS126" s="38">
        <v>0</v>
      </c>
      <c r="AT126" s="38">
        <v>0</v>
      </c>
      <c r="AU126" s="38">
        <v>0</v>
      </c>
      <c r="AV126" s="38">
        <v>0</v>
      </c>
      <c r="AW126" s="38"/>
      <c r="AX126" s="38">
        <f t="shared" ref="AX126" si="189">N126+W126+AF126+AO126</f>
        <v>0</v>
      </c>
      <c r="AY126" s="38">
        <f t="shared" ref="AY126" si="190">O126+X126+AG126+AP126</f>
        <v>0</v>
      </c>
      <c r="AZ126" s="38">
        <f t="shared" ref="AZ126" si="191">P126+Y126+AH126+AQ126</f>
        <v>0</v>
      </c>
      <c r="BA126" s="38">
        <f t="shared" ref="BA126" si="192">Q126+Z126+AI126+AR126</f>
        <v>194.78405315614614</v>
      </c>
      <c r="BB126" s="38">
        <f t="shared" ref="BB126" si="193">R126+AA126+AJ126+AS126</f>
        <v>316.52408637873748</v>
      </c>
      <c r="BC126" s="38">
        <f t="shared" si="185"/>
        <v>0</v>
      </c>
      <c r="BD126" s="38">
        <f t="shared" si="186"/>
        <v>0</v>
      </c>
      <c r="BE126" s="38">
        <f t="shared" si="187"/>
        <v>0</v>
      </c>
      <c r="BG126" s="201">
        <f t="shared" si="188"/>
        <v>511.30813953488359</v>
      </c>
      <c r="BH126" s="347"/>
      <c r="BL126" s="199"/>
    </row>
    <row r="127" spans="2:68" s="45" customFormat="1" x14ac:dyDescent="0.3">
      <c r="B127" s="175" t="s">
        <v>550</v>
      </c>
      <c r="C127" s="17"/>
      <c r="D127" s="17"/>
      <c r="E127" s="17"/>
      <c r="F127" s="8" t="s">
        <v>44</v>
      </c>
      <c r="G127" s="17" t="s">
        <v>19</v>
      </c>
      <c r="H127" s="20" t="str">
        <f t="shared" ref="H127:H128" si="194">G127&amp;F127</f>
        <v>Distribution system assetsReplacement</v>
      </c>
      <c r="I127" s="390">
        <f>Direct_Capex_Totals!Q116</f>
        <v>310.18047882136284</v>
      </c>
      <c r="J127" s="390">
        <f>Direct_Capex_Totals!R116</f>
        <v>0</v>
      </c>
      <c r="K127" s="390">
        <f>Direct_Capex_Totals!S116</f>
        <v>0</v>
      </c>
      <c r="L127" s="390">
        <f>Direct_Capex_Totals!T116</f>
        <v>0</v>
      </c>
      <c r="M127" s="390">
        <f>Direct_Capex_Totals!U116</f>
        <v>0</v>
      </c>
      <c r="N127" s="38">
        <f>Other_Capex!D25</f>
        <v>0</v>
      </c>
      <c r="O127" s="38">
        <f>Other_Capex!E25</f>
        <v>0</v>
      </c>
      <c r="P127" s="38">
        <f>Other_Capex!F25</f>
        <v>0</v>
      </c>
      <c r="Q127" s="38">
        <f>Other_Capex!G25</f>
        <v>0</v>
      </c>
      <c r="R127" s="38">
        <f>Other_Capex!H25</f>
        <v>310.18047882136284</v>
      </c>
      <c r="S127" s="38">
        <f>Other_Capex!I25</f>
        <v>0</v>
      </c>
      <c r="T127" s="38">
        <f>Other_Capex!J25</f>
        <v>0</v>
      </c>
      <c r="U127" s="38">
        <f>Other_Capex!K25</f>
        <v>0</v>
      </c>
      <c r="V127" s="38"/>
      <c r="W127" s="38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/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/>
      <c r="AO127" s="38">
        <v>0</v>
      </c>
      <c r="AP127" s="38">
        <v>0</v>
      </c>
      <c r="AQ127" s="38">
        <v>0</v>
      </c>
      <c r="AR127" s="38">
        <v>0</v>
      </c>
      <c r="AS127" s="38">
        <v>0</v>
      </c>
      <c r="AT127" s="38">
        <v>0</v>
      </c>
      <c r="AU127" s="38">
        <v>0</v>
      </c>
      <c r="AV127" s="38">
        <v>0</v>
      </c>
      <c r="AW127" s="38"/>
      <c r="AX127" s="38">
        <f t="shared" ref="AX127:AX128" si="195">N127+W127+AF127+AO127</f>
        <v>0</v>
      </c>
      <c r="AY127" s="38">
        <f t="shared" ref="AY127:AY128" si="196">O127+X127+AG127+AP127</f>
        <v>0</v>
      </c>
      <c r="AZ127" s="38">
        <f t="shared" ref="AZ127:AZ128" si="197">P127+Y127+AH127+AQ127</f>
        <v>0</v>
      </c>
      <c r="BA127" s="38">
        <f t="shared" ref="BA127:BA128" si="198">Q127+Z127+AI127+AR127</f>
        <v>0</v>
      </c>
      <c r="BB127" s="38">
        <f t="shared" ref="BB127:BB128" si="199">R127+AA127+AJ127+AS127</f>
        <v>310.18047882136284</v>
      </c>
      <c r="BC127" s="38">
        <f t="shared" ref="BC127:BC128" si="200">S127+AB127+AK127+AT127</f>
        <v>0</v>
      </c>
      <c r="BD127" s="38">
        <f t="shared" ref="BD127:BD128" si="201">T127+AC127+AL127+AU127</f>
        <v>0</v>
      </c>
      <c r="BE127" s="38">
        <f t="shared" ref="BE127:BE128" si="202">U127+AD127+AM127+AV127</f>
        <v>0</v>
      </c>
      <c r="BG127" s="201">
        <f t="shared" ref="BG127:BG128" si="203">SUM(AX127:BE127)</f>
        <v>310.18047882136284</v>
      </c>
      <c r="BH127" s="347">
        <f>BG127-Direct_Capex_Totals!V116</f>
        <v>0</v>
      </c>
      <c r="BL127" s="199"/>
    </row>
    <row r="128" spans="2:68" s="45" customFormat="1" x14ac:dyDescent="0.3">
      <c r="B128" s="175" t="s">
        <v>551</v>
      </c>
      <c r="C128" s="17"/>
      <c r="D128" s="17"/>
      <c r="E128" s="17"/>
      <c r="F128" s="8" t="s">
        <v>44</v>
      </c>
      <c r="G128" s="17" t="s">
        <v>19</v>
      </c>
      <c r="H128" s="20" t="str">
        <f t="shared" si="194"/>
        <v>Distribution system assetsReplacement</v>
      </c>
      <c r="I128" s="390">
        <f>Direct_Capex_Totals!Q117</f>
        <v>0</v>
      </c>
      <c r="J128" s="390">
        <f>Direct_Capex_Totals!R117</f>
        <v>0</v>
      </c>
      <c r="K128" s="390">
        <f>Direct_Capex_Totals!S117</f>
        <v>0</v>
      </c>
      <c r="L128" s="390">
        <f>Direct_Capex_Totals!T117</f>
        <v>381.14898710865566</v>
      </c>
      <c r="M128" s="390">
        <f>Direct_Capex_Totals!U117</f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/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/>
      <c r="AF128" s="38">
        <f>Other_Capex!D26</f>
        <v>0</v>
      </c>
      <c r="AG128" s="38">
        <f>Other_Capex!E26</f>
        <v>0</v>
      </c>
      <c r="AH128" s="38">
        <f>Other_Capex!F26</f>
        <v>154.59944751381215</v>
      </c>
      <c r="AI128" s="38">
        <f>Other_Capex!G26</f>
        <v>111.70423572744015</v>
      </c>
      <c r="AJ128" s="38">
        <f>Other_Capex!H26</f>
        <v>114.84530386740332</v>
      </c>
      <c r="AK128" s="38">
        <f>Other_Capex!I26</f>
        <v>0</v>
      </c>
      <c r="AL128" s="38">
        <f>Other_Capex!J26</f>
        <v>0</v>
      </c>
      <c r="AM128" s="38">
        <f>Other_Capex!K26</f>
        <v>0</v>
      </c>
      <c r="AN128" s="38"/>
      <c r="AO128" s="38">
        <v>0</v>
      </c>
      <c r="AP128" s="38">
        <v>0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/>
      <c r="AX128" s="38">
        <f t="shared" si="195"/>
        <v>0</v>
      </c>
      <c r="AY128" s="38">
        <f t="shared" si="196"/>
        <v>0</v>
      </c>
      <c r="AZ128" s="38">
        <f t="shared" si="197"/>
        <v>154.59944751381215</v>
      </c>
      <c r="BA128" s="38">
        <f t="shared" si="198"/>
        <v>111.70423572744015</v>
      </c>
      <c r="BB128" s="38">
        <f t="shared" si="199"/>
        <v>114.84530386740332</v>
      </c>
      <c r="BC128" s="38">
        <f t="shared" si="200"/>
        <v>0</v>
      </c>
      <c r="BD128" s="38">
        <f t="shared" si="201"/>
        <v>0</v>
      </c>
      <c r="BE128" s="38">
        <f t="shared" si="202"/>
        <v>0</v>
      </c>
      <c r="BG128" s="201">
        <f t="shared" si="203"/>
        <v>381.14898710865566</v>
      </c>
      <c r="BH128" s="347">
        <f>BG128-Direct_Capex_Totals!V117</f>
        <v>0</v>
      </c>
      <c r="BL128" s="199"/>
    </row>
    <row r="129" spans="2:63" x14ac:dyDescent="0.3">
      <c r="B129" s="174" t="s">
        <v>106</v>
      </c>
      <c r="E129" s="8"/>
      <c r="F129" s="20" t="s">
        <v>66</v>
      </c>
      <c r="G129" s="20" t="s">
        <v>60</v>
      </c>
      <c r="H129" s="20" t="str">
        <f t="shared" si="179"/>
        <v>OtherNon-Network</v>
      </c>
      <c r="I129" s="390">
        <f>Direct_Capex_Totals!Q118</f>
        <v>2043.0311441860463</v>
      </c>
      <c r="J129" s="390">
        <f>Direct_Capex_Totals!R118</f>
        <v>0</v>
      </c>
      <c r="K129" s="390">
        <f>Direct_Capex_Totals!S118</f>
        <v>0</v>
      </c>
      <c r="L129" s="390">
        <f>Direct_Capex_Totals!T118</f>
        <v>0</v>
      </c>
      <c r="M129" s="390">
        <f>Direct_Capex_Totals!U118</f>
        <v>0</v>
      </c>
      <c r="N129" s="38">
        <f>SUMPRODUCT(Unit_Rates!$E$110:$E$112,Other_Capex!D14:D16)</f>
        <v>0</v>
      </c>
      <c r="O129" s="38">
        <f>SUMPRODUCT(Unit_Rates!$E$110:$E$112,Other_Capex!E14:E16)</f>
        <v>0</v>
      </c>
      <c r="P129" s="38">
        <f>SUMPRODUCT(Unit_Rates!$E$110:$E$112,Other_Capex!F14:F16)</f>
        <v>0</v>
      </c>
      <c r="Q129" s="38">
        <f>SUMPRODUCT(Unit_Rates!$E$110:$E$112,Other_Capex!G14:G16)</f>
        <v>510.75778604651157</v>
      </c>
      <c r="R129" s="38">
        <f>SUMPRODUCT(Unit_Rates!$E$110:$E$112,Other_Capex!H14:H16)</f>
        <v>1532.2733581395346</v>
      </c>
      <c r="S129" s="38">
        <f>SUMPRODUCT(Unit_Rates!$E$110:$E$112,Other_Capex!I14:I16)</f>
        <v>0</v>
      </c>
      <c r="T129" s="38">
        <f>SUMPRODUCT(Unit_Rates!$E$110:$E$112,Other_Capex!J14:J16)</f>
        <v>0</v>
      </c>
      <c r="U129" s="38">
        <f>SUMPRODUCT(Unit_Rates!$E$110:$E$112,Other_Capex!K14:K16)</f>
        <v>0</v>
      </c>
      <c r="V129" s="38"/>
      <c r="W129" s="38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/>
      <c r="AF129" s="38">
        <v>0</v>
      </c>
      <c r="AG129" s="38">
        <v>0</v>
      </c>
      <c r="AH129" s="38">
        <v>0</v>
      </c>
      <c r="AI129" s="38">
        <v>0</v>
      </c>
      <c r="AJ129" s="38">
        <v>0</v>
      </c>
      <c r="AK129" s="38">
        <v>0</v>
      </c>
      <c r="AL129" s="38">
        <v>0</v>
      </c>
      <c r="AM129" s="38">
        <v>0</v>
      </c>
      <c r="AN129" s="38"/>
      <c r="AO129" s="38">
        <v>0</v>
      </c>
      <c r="AP129" s="38">
        <v>0</v>
      </c>
      <c r="AQ129" s="38">
        <v>0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6"/>
      <c r="AX129" s="6">
        <f t="shared" ref="AX129" si="204">N129+W129+AF129+AO129</f>
        <v>0</v>
      </c>
      <c r="AY129" s="6">
        <f t="shared" ref="AY129" si="205">O129+X129+AG129+AP129</f>
        <v>0</v>
      </c>
      <c r="AZ129" s="6">
        <f t="shared" ref="AZ129" si="206">P129+Y129+AH129+AQ129</f>
        <v>0</v>
      </c>
      <c r="BA129" s="6">
        <f t="shared" ref="BA129" si="207">Q129+Z129+AI129+AR129</f>
        <v>510.75778604651157</v>
      </c>
      <c r="BB129" s="6">
        <f t="shared" ref="BB129" si="208">R129+AA129+AJ129+AS129</f>
        <v>1532.2733581395346</v>
      </c>
      <c r="BC129" s="6">
        <f t="shared" si="185"/>
        <v>0</v>
      </c>
      <c r="BD129" s="6">
        <f t="shared" si="186"/>
        <v>0</v>
      </c>
      <c r="BE129" s="6">
        <f t="shared" si="187"/>
        <v>0</v>
      </c>
      <c r="BG129" s="14">
        <f t="shared" si="188"/>
        <v>2043.0311441860463</v>
      </c>
      <c r="BH129" s="19">
        <f>BG129-Direct_Capex_Totals!V118</f>
        <v>0</v>
      </c>
    </row>
    <row r="130" spans="2:63" x14ac:dyDescent="0.3">
      <c r="B130" s="175" t="s">
        <v>552</v>
      </c>
      <c r="C130" s="45"/>
      <c r="E130" s="8"/>
      <c r="F130" s="477" t="s">
        <v>42</v>
      </c>
      <c r="G130" s="477" t="s">
        <v>19</v>
      </c>
      <c r="H130" s="477" t="str">
        <f t="shared" si="179"/>
        <v>Distribution system assetsAugmentation</v>
      </c>
      <c r="I130" s="390">
        <f>Direct_Capex_Totals!Q119</f>
        <v>0</v>
      </c>
      <c r="J130" s="390">
        <f>Direct_Capex_Totals!R119</f>
        <v>0</v>
      </c>
      <c r="K130" s="390">
        <f>Direct_Capex_Totals!S119</f>
        <v>471.7000920810313</v>
      </c>
      <c r="L130" s="390">
        <f>Direct_Capex_Totals!T119</f>
        <v>0</v>
      </c>
      <c r="M130" s="390">
        <f>Direct_Capex_Totals!U119</f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/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/>
      <c r="AF130" s="38">
        <f>Other_Capex!D35+Other_Capex!D36</f>
        <v>0</v>
      </c>
      <c r="AG130" s="38">
        <f>Other_Capex!E35+Other_Capex!E36</f>
        <v>0</v>
      </c>
      <c r="AH130" s="38">
        <f>Other_Capex!F35+Other_Capex!F36</f>
        <v>471.7000920810313</v>
      </c>
      <c r="AI130" s="38">
        <f>Other_Capex!G35+Other_Capex!G36</f>
        <v>0</v>
      </c>
      <c r="AJ130" s="38">
        <f>Other_Capex!H35+Other_Capex!H36</f>
        <v>0</v>
      </c>
      <c r="AK130" s="38">
        <f>Other_Capex!I35+Other_Capex!I36</f>
        <v>0</v>
      </c>
      <c r="AL130" s="38">
        <f>Other_Capex!J35+Other_Capex!J36</f>
        <v>0</v>
      </c>
      <c r="AM130" s="38">
        <f>Other_Capex!K35+Other_Capex!K36</f>
        <v>0</v>
      </c>
      <c r="AN130" s="38"/>
      <c r="AO130" s="38">
        <v>0</v>
      </c>
      <c r="AP130" s="38">
        <v>0</v>
      </c>
      <c r="AQ130" s="38">
        <v>0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6"/>
      <c r="AX130" s="6">
        <f t="shared" ref="AX130:AX131" si="209">N130+W130+AF130+AO130</f>
        <v>0</v>
      </c>
      <c r="AY130" s="6">
        <f t="shared" ref="AY130:AY131" si="210">O130+X130+AG130+AP130</f>
        <v>0</v>
      </c>
      <c r="AZ130" s="6">
        <f t="shared" ref="AZ130:AZ131" si="211">P130+Y130+AH130+AQ130</f>
        <v>471.7000920810313</v>
      </c>
      <c r="BA130" s="6">
        <f t="shared" ref="BA130:BA131" si="212">Q130+Z130+AI130+AR130</f>
        <v>0</v>
      </c>
      <c r="BB130" s="6">
        <f t="shared" ref="BB130:BB131" si="213">R130+AA130+AJ130+AS130</f>
        <v>0</v>
      </c>
      <c r="BC130" s="6">
        <f t="shared" ref="BC130:BC131" si="214">S130+AB130+AK130+AT130</f>
        <v>0</v>
      </c>
      <c r="BD130" s="6">
        <f t="shared" ref="BD130:BD131" si="215">T130+AC130+AL130+AU130</f>
        <v>0</v>
      </c>
      <c r="BE130" s="6">
        <f t="shared" ref="BE130:BE131" si="216">U130+AD130+AM130+AV130</f>
        <v>0</v>
      </c>
      <c r="BG130" s="14">
        <f t="shared" ref="BG130:BG131" si="217">SUM(AX130:BE130)</f>
        <v>471.7000920810313</v>
      </c>
      <c r="BH130" s="19">
        <f>BG130-Direct_Capex_Totals!V119</f>
        <v>0</v>
      </c>
      <c r="BI130" s="418"/>
      <c r="BJ130" s="45"/>
      <c r="BK130" s="45"/>
    </row>
    <row r="131" spans="2:63" x14ac:dyDescent="0.3">
      <c r="B131" s="175" t="s">
        <v>546</v>
      </c>
      <c r="C131" s="45"/>
      <c r="E131" s="8"/>
      <c r="F131" s="477" t="s">
        <v>42</v>
      </c>
      <c r="G131" s="477" t="s">
        <v>19</v>
      </c>
      <c r="H131" s="477" t="str">
        <f t="shared" si="179"/>
        <v>Distribution system assetsAugmentation</v>
      </c>
      <c r="I131" s="390">
        <f>Direct_Capex_Totals!Q120</f>
        <v>269.4447513812155</v>
      </c>
      <c r="J131" s="390">
        <f>Direct_Capex_Totals!R120</f>
        <v>179.62983425414365</v>
      </c>
      <c r="K131" s="390">
        <f>Direct_Capex_Totals!S120</f>
        <v>0</v>
      </c>
      <c r="L131" s="390">
        <f>Direct_Capex_Totals!T120</f>
        <v>449.0745856353592</v>
      </c>
      <c r="M131" s="390">
        <f>Direct_Capex_Totals!U120</f>
        <v>0</v>
      </c>
      <c r="N131" s="38">
        <f>Other_Capex!D39</f>
        <v>0</v>
      </c>
      <c r="O131" s="38">
        <f>Other_Capex!E39</f>
        <v>0</v>
      </c>
      <c r="P131" s="38">
        <f>Other_Capex!F39</f>
        <v>0</v>
      </c>
      <c r="Q131" s="38">
        <f>Other_Capex!G39</f>
        <v>89.814917127071823</v>
      </c>
      <c r="R131" s="38">
        <f>Other_Capex!H39</f>
        <v>179.62983425414365</v>
      </c>
      <c r="S131" s="38">
        <f>Other_Capex!I39</f>
        <v>0</v>
      </c>
      <c r="T131" s="38">
        <f>Other_Capex!J39</f>
        <v>0</v>
      </c>
      <c r="U131" s="38">
        <f>Other_Capex!K39</f>
        <v>0</v>
      </c>
      <c r="V131" s="38"/>
      <c r="W131" s="38">
        <f>Other_Capex!D40</f>
        <v>0</v>
      </c>
      <c r="X131" s="38">
        <f>Other_Capex!E40</f>
        <v>0</v>
      </c>
      <c r="Y131" s="38">
        <f>Other_Capex!F40</f>
        <v>0</v>
      </c>
      <c r="Z131" s="38">
        <f>Other_Capex!G40</f>
        <v>59.876611418047887</v>
      </c>
      <c r="AA131" s="38">
        <f>Other_Capex!H40</f>
        <v>119.75322283609577</v>
      </c>
      <c r="AB131" s="38">
        <f>Other_Capex!I40</f>
        <v>0</v>
      </c>
      <c r="AC131" s="38">
        <f>Other_Capex!J40</f>
        <v>0</v>
      </c>
      <c r="AD131" s="38">
        <f>Other_Capex!K40</f>
        <v>0</v>
      </c>
      <c r="AE131" s="38"/>
      <c r="AF131" s="38">
        <f>Other_Capex!D41</f>
        <v>0</v>
      </c>
      <c r="AG131" s="38">
        <f>Other_Capex!E41</f>
        <v>0</v>
      </c>
      <c r="AH131" s="38">
        <f>Other_Capex!F41</f>
        <v>0</v>
      </c>
      <c r="AI131" s="38">
        <f>Other_Capex!G41</f>
        <v>149.69152854511972</v>
      </c>
      <c r="AJ131" s="38">
        <f>Other_Capex!H41</f>
        <v>299.38305709023945</v>
      </c>
      <c r="AK131" s="38">
        <f>Other_Capex!I41</f>
        <v>0</v>
      </c>
      <c r="AL131" s="38">
        <f>Other_Capex!J41</f>
        <v>0</v>
      </c>
      <c r="AM131" s="38">
        <f>Other_Capex!K41</f>
        <v>0</v>
      </c>
      <c r="AN131" s="38"/>
      <c r="AO131" s="38">
        <v>0</v>
      </c>
      <c r="AP131" s="38">
        <v>0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6"/>
      <c r="AX131" s="6">
        <f t="shared" si="209"/>
        <v>0</v>
      </c>
      <c r="AY131" s="6">
        <f t="shared" si="210"/>
        <v>0</v>
      </c>
      <c r="AZ131" s="6">
        <f t="shared" si="211"/>
        <v>0</v>
      </c>
      <c r="BA131" s="6">
        <f t="shared" si="212"/>
        <v>299.38305709023939</v>
      </c>
      <c r="BB131" s="6">
        <f t="shared" si="213"/>
        <v>598.76611418047878</v>
      </c>
      <c r="BC131" s="6">
        <f t="shared" si="214"/>
        <v>0</v>
      </c>
      <c r="BD131" s="6">
        <f t="shared" si="215"/>
        <v>0</v>
      </c>
      <c r="BE131" s="6">
        <f t="shared" si="216"/>
        <v>0</v>
      </c>
      <c r="BG131" s="14">
        <f t="shared" si="217"/>
        <v>898.14917127071817</v>
      </c>
      <c r="BH131" s="19">
        <f>BG131-Direct_Capex_Totals!V120</f>
        <v>0</v>
      </c>
      <c r="BI131" s="418"/>
      <c r="BJ131" s="45"/>
      <c r="BK131" s="45"/>
    </row>
    <row r="132" spans="2:63" x14ac:dyDescent="0.3">
      <c r="B132" s="175" t="s">
        <v>126</v>
      </c>
      <c r="E132" s="8"/>
      <c r="F132" s="20"/>
      <c r="G132" s="20"/>
      <c r="H132" s="20"/>
      <c r="I132" s="390">
        <f>Direct_Capex_Totals!Q121</f>
        <v>0</v>
      </c>
      <c r="J132" s="390">
        <f>Direct_Capex_Totals!R121</f>
        <v>0</v>
      </c>
      <c r="K132" s="390">
        <f>Direct_Capex_Totals!S121</f>
        <v>0</v>
      </c>
      <c r="L132" s="390">
        <f>Direct_Capex_Totals!T121</f>
        <v>0</v>
      </c>
      <c r="M132" s="390">
        <f>Direct_Capex_Totals!U121</f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/>
      <c r="W132" s="38">
        <f>Other_Capex!D29</f>
        <v>0</v>
      </c>
      <c r="X132" s="38">
        <f>Other_Capex!E29</f>
        <v>0</v>
      </c>
      <c r="Y132" s="38">
        <f>Other_Capex!F29</f>
        <v>0</v>
      </c>
      <c r="Z132" s="38">
        <f>Other_Capex!G29</f>
        <v>0</v>
      </c>
      <c r="AA132" s="38">
        <f>Other_Capex!H29</f>
        <v>0</v>
      </c>
      <c r="AB132" s="38">
        <f>Other_Capex!I29</f>
        <v>0</v>
      </c>
      <c r="AC132" s="38">
        <f>Other_Capex!J29</f>
        <v>0</v>
      </c>
      <c r="AD132" s="38">
        <f>Other_Capex!K29</f>
        <v>0</v>
      </c>
      <c r="AE132" s="38"/>
      <c r="AF132" s="38">
        <f>Other_Capex!D30</f>
        <v>0</v>
      </c>
      <c r="AG132" s="38">
        <f>Other_Capex!E30</f>
        <v>0</v>
      </c>
      <c r="AH132" s="38">
        <f>Other_Capex!F30</f>
        <v>0</v>
      </c>
      <c r="AI132" s="38">
        <f>Other_Capex!G30</f>
        <v>0</v>
      </c>
      <c r="AJ132" s="38">
        <f>Other_Capex!H30</f>
        <v>0</v>
      </c>
      <c r="AK132" s="38">
        <f>Other_Capex!I30</f>
        <v>0</v>
      </c>
      <c r="AL132" s="38">
        <f>Other_Capex!J30</f>
        <v>0</v>
      </c>
      <c r="AM132" s="38">
        <f>Other_Capex!K30</f>
        <v>0</v>
      </c>
      <c r="AN132" s="38"/>
      <c r="AO132" s="38">
        <v>0</v>
      </c>
      <c r="AP132" s="38">
        <v>0</v>
      </c>
      <c r="AQ132" s="38">
        <v>0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6"/>
      <c r="AX132" s="6">
        <f t="shared" ref="AX132:BB133" si="218">N132+W132+AF132+AO132</f>
        <v>0</v>
      </c>
      <c r="AY132" s="6">
        <f t="shared" si="218"/>
        <v>0</v>
      </c>
      <c r="AZ132" s="6">
        <f t="shared" si="218"/>
        <v>0</v>
      </c>
      <c r="BA132" s="6">
        <f t="shared" si="218"/>
        <v>0</v>
      </c>
      <c r="BB132" s="6">
        <f t="shared" si="218"/>
        <v>0</v>
      </c>
      <c r="BC132" s="6">
        <f t="shared" si="185"/>
        <v>0</v>
      </c>
      <c r="BD132" s="6">
        <f t="shared" si="186"/>
        <v>0</v>
      </c>
      <c r="BE132" s="6">
        <f t="shared" si="187"/>
        <v>0</v>
      </c>
      <c r="BG132" s="14">
        <f t="shared" si="188"/>
        <v>0</v>
      </c>
      <c r="BH132" s="19">
        <f>BG132-Direct_Capex_Totals!V121</f>
        <v>0</v>
      </c>
    </row>
    <row r="133" spans="2:63" x14ac:dyDescent="0.3">
      <c r="B133" s="175" t="s">
        <v>548</v>
      </c>
      <c r="E133" s="8"/>
      <c r="F133" s="20"/>
      <c r="G133" s="20"/>
      <c r="H133" s="20"/>
      <c r="I133" s="390">
        <f>Direct_Capex_Totals!Q122</f>
        <v>0</v>
      </c>
      <c r="J133" s="390">
        <f>Direct_Capex_Totals!R122</f>
        <v>246.996614437788</v>
      </c>
      <c r="K133" s="390">
        <f>Direct_Capex_Totals!S122</f>
        <v>0</v>
      </c>
      <c r="L133" s="390">
        <f>Direct_Capex_Totals!T122</f>
        <v>0</v>
      </c>
      <c r="M133" s="390">
        <f>Direct_Capex_Totals!U122</f>
        <v>0</v>
      </c>
      <c r="N133" s="38"/>
      <c r="O133" s="38"/>
      <c r="P133" s="38"/>
      <c r="Q133" s="38"/>
      <c r="R133" s="38"/>
      <c r="S133" s="38"/>
      <c r="T133" s="38"/>
      <c r="U133" s="38"/>
      <c r="V133" s="38"/>
      <c r="W133" s="38">
        <f>Other_Capex!D31</f>
        <v>0</v>
      </c>
      <c r="X133" s="38">
        <f>Other_Capex!E31</f>
        <v>0</v>
      </c>
      <c r="Y133" s="38">
        <f>Other_Capex!F31</f>
        <v>246.996614437788</v>
      </c>
      <c r="Z133" s="38">
        <f>Other_Capex!G31</f>
        <v>0</v>
      </c>
      <c r="AA133" s="38">
        <f>Other_Capex!H31</f>
        <v>0</v>
      </c>
      <c r="AB133" s="38">
        <f>Other_Capex!I31</f>
        <v>0</v>
      </c>
      <c r="AC133" s="38">
        <f>Other_Capex!J31</f>
        <v>0</v>
      </c>
      <c r="AD133" s="38">
        <f>Other_Capex!K31</f>
        <v>0</v>
      </c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6"/>
      <c r="AX133" s="6">
        <f t="shared" si="218"/>
        <v>0</v>
      </c>
      <c r="AY133" s="6">
        <f t="shared" si="218"/>
        <v>0</v>
      </c>
      <c r="AZ133" s="6">
        <f t="shared" si="218"/>
        <v>246.996614437788</v>
      </c>
      <c r="BA133" s="6">
        <f t="shared" si="218"/>
        <v>0</v>
      </c>
      <c r="BB133" s="6">
        <f t="shared" si="218"/>
        <v>0</v>
      </c>
      <c r="BC133" s="6">
        <f t="shared" ref="BC133" si="219">S133+AB133+AK133+AT133</f>
        <v>0</v>
      </c>
      <c r="BD133" s="6">
        <f t="shared" ref="BD133" si="220">T133+AC133+AL133+AU133</f>
        <v>0</v>
      </c>
      <c r="BE133" s="6">
        <f t="shared" ref="BE133" si="221">U133+AD133+AM133+AV133</f>
        <v>0</v>
      </c>
      <c r="BG133" s="14">
        <f t="shared" ref="BG133" si="222">SUM(AX133:BE133)</f>
        <v>246.996614437788</v>
      </c>
      <c r="BH133" s="19">
        <f>BG133-Direct_Capex_Totals!V122-Other_Capex!L32</f>
        <v>0</v>
      </c>
    </row>
    <row r="134" spans="2:63" x14ac:dyDescent="0.3">
      <c r="B134" s="174" t="s">
        <v>347</v>
      </c>
      <c r="E134" s="8"/>
      <c r="F134" s="20" t="s">
        <v>66</v>
      </c>
      <c r="G134" s="20" t="s">
        <v>60</v>
      </c>
      <c r="H134" s="20" t="str">
        <f t="shared" ref="H134" si="223">G134&amp;F134</f>
        <v>OtherNon-Network</v>
      </c>
      <c r="I134" s="390">
        <f>Direct_Capex_Totals!Q123</f>
        <v>0</v>
      </c>
      <c r="J134" s="390">
        <f>Direct_Capex_Totals!R123</f>
        <v>0</v>
      </c>
      <c r="K134" s="390">
        <f>Direct_Capex_Totals!S123</f>
        <v>0</v>
      </c>
      <c r="L134" s="390">
        <f>Direct_Capex_Totals!T123</f>
        <v>0</v>
      </c>
      <c r="M134" s="390">
        <f>Direct_Capex_Totals!U123</f>
        <v>0</v>
      </c>
      <c r="N134" s="38">
        <f>SUMPRODUCT(Unit_Rates!$I69:$I70,Other_Capex!D$19:D$20)</f>
        <v>0</v>
      </c>
      <c r="O134" s="38">
        <f>SUMPRODUCT(Unit_Rates!$I69:$I70,Other_Capex!E$19:E$20)</f>
        <v>0</v>
      </c>
      <c r="P134" s="38">
        <f>SUMPRODUCT(Unit_Rates!$I69:$I70,Other_Capex!F$19:F$20)</f>
        <v>0</v>
      </c>
      <c r="Q134" s="38">
        <f>SUMPRODUCT(Unit_Rates!$I69:$I70,Other_Capex!G$19:G$20)</f>
        <v>0</v>
      </c>
      <c r="R134" s="38">
        <f>SUMPRODUCT(Unit_Rates!$I69:$I70,Other_Capex!H$19:H$20)</f>
        <v>0</v>
      </c>
      <c r="S134" s="38">
        <f>SUMPRODUCT(Unit_Rates!$I69:$I70,Other_Capex!I$19:I$20)</f>
        <v>0</v>
      </c>
      <c r="T134" s="38">
        <f>SUMPRODUCT(Unit_Rates!$I69:$I70,Other_Capex!J$19:J$20)</f>
        <v>0</v>
      </c>
      <c r="U134" s="38">
        <f>SUMPRODUCT(Unit_Rates!$I69:$I70,Other_Capex!K$19:K$20)</f>
        <v>0</v>
      </c>
      <c r="V134" s="38"/>
      <c r="W134" s="38">
        <f>SUMPRODUCT(Unit_Rates!$J69:$J70,Other_Capex!D$19:D$20)+Other_Capex!D44</f>
        <v>0</v>
      </c>
      <c r="X134" s="38">
        <f>SUMPRODUCT(Unit_Rates!$J69:$J70,Other_Capex!E$19:E$20)+Other_Capex!E44</f>
        <v>0</v>
      </c>
      <c r="Y134" s="38">
        <f>SUMPRODUCT(Unit_Rates!$J69:$J70,Other_Capex!F$19:F$20)+Other_Capex!F44</f>
        <v>0</v>
      </c>
      <c r="Z134" s="38">
        <f>SUMPRODUCT(Unit_Rates!$J69:$J70,Other_Capex!G$19:G$20)+Other_Capex!G44</f>
        <v>0</v>
      </c>
      <c r="AA134" s="38">
        <f>SUMPRODUCT(Unit_Rates!$J69:$J70,Other_Capex!H$19:H$20)+Other_Capex!H44</f>
        <v>0</v>
      </c>
      <c r="AB134" s="38">
        <f>SUMPRODUCT(Unit_Rates!$J69:$J70,Other_Capex!I$19:I$20)+Other_Capex!I44</f>
        <v>0</v>
      </c>
      <c r="AC134" s="38">
        <f>SUMPRODUCT(Unit_Rates!$J69:$J70,Other_Capex!J$19:J$20)+Other_Capex!J44</f>
        <v>0</v>
      </c>
      <c r="AD134" s="38">
        <f>SUMPRODUCT(Unit_Rates!$J69:$J70,Other_Capex!K$19:K$20)+Other_Capex!K44</f>
        <v>0</v>
      </c>
      <c r="AE134" s="38"/>
      <c r="AF134" s="38">
        <f>SUMPRODUCT(Unit_Rates!$K69:$K70,Other_Capex!D$19:D$20)+SUMPRODUCT(Unit_Rates!$L69:$L70,Other_Capex!D$19:D$20)</f>
        <v>0</v>
      </c>
      <c r="AG134" s="38">
        <f>SUMPRODUCT(Unit_Rates!$K69:$K70,Other_Capex!E$19:E$20)+SUMPRODUCT(Unit_Rates!$L69:$L70,Other_Capex!E$19:E$20)</f>
        <v>0</v>
      </c>
      <c r="AH134" s="38">
        <f>SUMPRODUCT(Unit_Rates!$K69:$K70,Other_Capex!F$19:F$20)+SUMPRODUCT(Unit_Rates!$L69:$L70,Other_Capex!F$19:F$20)</f>
        <v>0</v>
      </c>
      <c r="AI134" s="38">
        <f>SUMPRODUCT(Unit_Rates!$K69:$K70,Other_Capex!G$19:G$20)+SUMPRODUCT(Unit_Rates!$L69:$L70,Other_Capex!G$19:G$20)</f>
        <v>0</v>
      </c>
      <c r="AJ134" s="38">
        <f>SUMPRODUCT(Unit_Rates!$K69:$K70,Other_Capex!H$19:H$20)+SUMPRODUCT(Unit_Rates!$L69:$L70,Other_Capex!H$19:H$20)</f>
        <v>0</v>
      </c>
      <c r="AK134" s="38">
        <f>SUMPRODUCT(Unit_Rates!$K69:$K70,Other_Capex!I$19:I$20)+SUMPRODUCT(Unit_Rates!$L69:$L70,Other_Capex!I$19:I$20)</f>
        <v>0</v>
      </c>
      <c r="AL134" s="38">
        <f>SUMPRODUCT(Unit_Rates!$K69:$K70,Other_Capex!J$19:J$20)+SUMPRODUCT(Unit_Rates!$L69:$L70,Other_Capex!J$19:J$20)</f>
        <v>0</v>
      </c>
      <c r="AM134" s="38">
        <f>SUMPRODUCT(Unit_Rates!$K69:$K70,Other_Capex!K$19:K$20)+SUMPRODUCT(Unit_Rates!$L69:$L70,Other_Capex!K$19:K$20)</f>
        <v>0</v>
      </c>
      <c r="AN134" s="38"/>
      <c r="AO134" s="38">
        <f>SUMPRODUCT(Unit_Rates!$M69:$M70,Other_Capex!D$19:D$20)</f>
        <v>0</v>
      </c>
      <c r="AP134" s="38">
        <f>SUMPRODUCT(Unit_Rates!$M69:$M70,Other_Capex!E$19:E$20)</f>
        <v>0</v>
      </c>
      <c r="AQ134" s="38">
        <f>SUMPRODUCT(Unit_Rates!$M69:$M70,Other_Capex!F$19:F$20)</f>
        <v>0</v>
      </c>
      <c r="AR134" s="38">
        <f>SUMPRODUCT(Unit_Rates!$M69:$M70,Other_Capex!G$19:G$20)</f>
        <v>0</v>
      </c>
      <c r="AS134" s="38">
        <f>SUMPRODUCT(Unit_Rates!$M69:$M70,Other_Capex!H$19:H$20)</f>
        <v>0</v>
      </c>
      <c r="AT134" s="38">
        <f>SUMPRODUCT(Unit_Rates!$M69:$M70,Other_Capex!I$19:I$20)</f>
        <v>0</v>
      </c>
      <c r="AU134" s="38">
        <f>SUMPRODUCT(Unit_Rates!$M69:$M70,Other_Capex!J$19:J$20)</f>
        <v>0</v>
      </c>
      <c r="AV134" s="38">
        <f>SUMPRODUCT(Unit_Rates!$M69:$M70,Other_Capex!K$19:K$20)</f>
        <v>0</v>
      </c>
      <c r="AW134" s="38"/>
      <c r="AX134" s="6">
        <f t="shared" ref="AX134" si="224">N134+W134+AF134+AO134</f>
        <v>0</v>
      </c>
      <c r="AY134" s="6">
        <f t="shared" ref="AY134" si="225">O134+X134+AG134+AP134</f>
        <v>0</v>
      </c>
      <c r="AZ134" s="6">
        <f t="shared" ref="AZ134" si="226">P134+Y134+AH134+AQ134</f>
        <v>0</v>
      </c>
      <c r="BA134" s="6">
        <f t="shared" ref="BA134" si="227">Q134+Z134+AI134+AR134</f>
        <v>0</v>
      </c>
      <c r="BB134" s="6">
        <f t="shared" ref="BB134" si="228">R134+AA134+AJ134+AS134</f>
        <v>0</v>
      </c>
      <c r="BC134" s="6">
        <f t="shared" ref="BC134:BE137" si="229">S134+AB134+AK134+AT134</f>
        <v>0</v>
      </c>
      <c r="BD134" s="6">
        <f t="shared" si="229"/>
        <v>0</v>
      </c>
      <c r="BE134" s="6">
        <f t="shared" si="229"/>
        <v>0</v>
      </c>
      <c r="BG134" s="14">
        <f>SUM(AX134:BE134)</f>
        <v>0</v>
      </c>
      <c r="BH134" s="19">
        <f>BG134-Direct_Capex_Totals!V123</f>
        <v>0</v>
      </c>
    </row>
    <row r="135" spans="2:63" s="45" customFormat="1" x14ac:dyDescent="0.3">
      <c r="B135" s="175" t="s">
        <v>536</v>
      </c>
      <c r="C135" s="17"/>
      <c r="D135" s="17"/>
      <c r="E135" s="17"/>
      <c r="F135" s="20" t="s">
        <v>44</v>
      </c>
      <c r="G135" s="20" t="s">
        <v>19</v>
      </c>
      <c r="H135" s="20" t="str">
        <f>G135&amp;F135</f>
        <v>Distribution system assetsReplacement</v>
      </c>
      <c r="I135" s="390">
        <f>Direct_Capex_Totals!Q124</f>
        <v>0</v>
      </c>
      <c r="J135" s="390">
        <f>Direct_Capex_Totals!R124</f>
        <v>1501.8232044198894</v>
      </c>
      <c r="K135" s="390">
        <f>Direct_Capex_Totals!S124</f>
        <v>0</v>
      </c>
      <c r="L135" s="390">
        <f>Direct_Capex_Totals!T124</f>
        <v>0</v>
      </c>
      <c r="M135" s="390">
        <f>Direct_Capex_Totals!U124</f>
        <v>0</v>
      </c>
      <c r="N135" s="38">
        <f>Unit_Rates!$I$78*Other_Capex!D9</f>
        <v>0</v>
      </c>
      <c r="O135" s="38">
        <f>Unit_Rates!$I$78*Other_Capex!E9</f>
        <v>0</v>
      </c>
      <c r="P135" s="38">
        <f>Unit_Rates!$I$78*Other_Capex!F9</f>
        <v>0</v>
      </c>
      <c r="Q135" s="38">
        <f>Unit_Rates!$I$78*Other_Capex!G9</f>
        <v>0</v>
      </c>
      <c r="R135" s="38">
        <f>Unit_Rates!$I$78*Other_Capex!H9</f>
        <v>0</v>
      </c>
      <c r="S135" s="38">
        <f>Unit_Rates!$I$78*Other_Capex!I9</f>
        <v>0</v>
      </c>
      <c r="T135" s="38">
        <f>Unit_Rates!$I$78*Other_Capex!J9</f>
        <v>0</v>
      </c>
      <c r="U135" s="38">
        <f>Unit_Rates!$I$78*Other_Capex!K9</f>
        <v>0</v>
      </c>
      <c r="V135" s="38"/>
      <c r="W135" s="38">
        <f>Unit_Rates!$J$78*Other_Capex!D9</f>
        <v>0</v>
      </c>
      <c r="X135" s="38">
        <f>Unit_Rates!$J$78*Other_Capex!E9</f>
        <v>0</v>
      </c>
      <c r="Y135" s="38">
        <f>Unit_Rates!$J$78*Other_Capex!F9</f>
        <v>0</v>
      </c>
      <c r="Z135" s="38">
        <f>Unit_Rates!$J$78*Other_Capex!G9</f>
        <v>0</v>
      </c>
      <c r="AA135" s="38">
        <f>Unit_Rates!$J$78*Other_Capex!H9</f>
        <v>375.45580110497235</v>
      </c>
      <c r="AB135" s="38">
        <f>Unit_Rates!$J$78*Other_Capex!I9</f>
        <v>375.45580110497235</v>
      </c>
      <c r="AC135" s="38">
        <f>Unit_Rates!$J$78*Other_Capex!J9</f>
        <v>375.45580110497235</v>
      </c>
      <c r="AD135" s="38">
        <f>Unit_Rates!$J$78*Other_Capex!K9</f>
        <v>375.45580110497235</v>
      </c>
      <c r="AE135" s="38"/>
      <c r="AF135" s="38">
        <f>Unit_Rates!$L$78*Other_Capex!D9</f>
        <v>0</v>
      </c>
      <c r="AG135" s="38">
        <f>Unit_Rates!$L$78*Other_Capex!E9</f>
        <v>0</v>
      </c>
      <c r="AH135" s="38">
        <f>Unit_Rates!$L$78*Other_Capex!F9</f>
        <v>0</v>
      </c>
      <c r="AI135" s="38">
        <f>Unit_Rates!$L$78*Other_Capex!G9</f>
        <v>0</v>
      </c>
      <c r="AJ135" s="38">
        <f>Unit_Rates!$L$78*Other_Capex!H9</f>
        <v>0</v>
      </c>
      <c r="AK135" s="38">
        <f>Unit_Rates!$L$78*Other_Capex!I9</f>
        <v>0</v>
      </c>
      <c r="AL135" s="38">
        <f>Unit_Rates!$L$78*Other_Capex!J9</f>
        <v>0</v>
      </c>
      <c r="AM135" s="38">
        <f>Unit_Rates!$L$78*Other_Capex!K9</f>
        <v>0</v>
      </c>
      <c r="AN135" s="38"/>
      <c r="AO135" s="38">
        <f>Unit_Rates!$M$78*Other_Capex!D9</f>
        <v>0</v>
      </c>
      <c r="AP135" s="38">
        <f>Unit_Rates!$M$78*Other_Capex!E9</f>
        <v>0</v>
      </c>
      <c r="AQ135" s="38">
        <f>Unit_Rates!$M$78*Other_Capex!F9</f>
        <v>0</v>
      </c>
      <c r="AR135" s="38">
        <f>Unit_Rates!$M$78*Other_Capex!G9</f>
        <v>0</v>
      </c>
      <c r="AS135" s="38">
        <f>Unit_Rates!$M$78*Other_Capex!H9</f>
        <v>0</v>
      </c>
      <c r="AT135" s="38">
        <f>Unit_Rates!$M$78*Other_Capex!I9</f>
        <v>0</v>
      </c>
      <c r="AU135" s="38">
        <f>Unit_Rates!$M$78*Other_Capex!J9</f>
        <v>0</v>
      </c>
      <c r="AV135" s="38">
        <f>Unit_Rates!$M$78*Other_Capex!K9</f>
        <v>0</v>
      </c>
      <c r="AW135" s="38"/>
      <c r="AX135" s="38">
        <f t="shared" ref="AX135:BB137" si="230">N135+W135+AF135+AO135</f>
        <v>0</v>
      </c>
      <c r="AY135" s="38">
        <f t="shared" si="230"/>
        <v>0</v>
      </c>
      <c r="AZ135" s="38">
        <f t="shared" si="230"/>
        <v>0</v>
      </c>
      <c r="BA135" s="38">
        <f t="shared" si="230"/>
        <v>0</v>
      </c>
      <c r="BB135" s="38">
        <f t="shared" si="230"/>
        <v>375.45580110497235</v>
      </c>
      <c r="BC135" s="38">
        <f t="shared" si="229"/>
        <v>375.45580110497235</v>
      </c>
      <c r="BD135" s="38">
        <f t="shared" si="229"/>
        <v>375.45580110497235</v>
      </c>
      <c r="BE135" s="38">
        <f t="shared" si="229"/>
        <v>375.45580110497235</v>
      </c>
      <c r="BG135" s="201">
        <f>SUM(AX135:BE135)</f>
        <v>1501.8232044198894</v>
      </c>
      <c r="BH135" s="19">
        <f>BG135-Direct_Capex_Totals!V124</f>
        <v>0</v>
      </c>
      <c r="BJ135" s="219"/>
      <c r="BK135" s="201"/>
    </row>
    <row r="136" spans="2:63" s="45" customFormat="1" x14ac:dyDescent="0.3">
      <c r="B136" s="175" t="s">
        <v>537</v>
      </c>
      <c r="C136" s="17"/>
      <c r="D136" s="17"/>
      <c r="E136" s="17"/>
      <c r="F136" s="20" t="s">
        <v>44</v>
      </c>
      <c r="G136" s="20" t="s">
        <v>19</v>
      </c>
      <c r="H136" s="20" t="str">
        <f>G136&amp;F136</f>
        <v>Distribution system assetsReplacement</v>
      </c>
      <c r="I136" s="390">
        <f>Direct_Capex_Totals!Q125</f>
        <v>598.76611418047878</v>
      </c>
      <c r="J136" s="390">
        <f>Direct_Capex_Totals!R125</f>
        <v>0</v>
      </c>
      <c r="K136" s="390">
        <f>Direct_Capex_Totals!S125</f>
        <v>0</v>
      </c>
      <c r="L136" s="390">
        <f>Direct_Capex_Totals!T125</f>
        <v>1945.9898710865561</v>
      </c>
      <c r="M136" s="390">
        <f>Direct_Capex_Totals!U125</f>
        <v>0</v>
      </c>
      <c r="N136" s="38">
        <f>Unit_Rates!$I$79*Other_Capex!D10</f>
        <v>0</v>
      </c>
      <c r="O136" s="38">
        <f>Unit_Rates!$I$79*Other_Capex!E10</f>
        <v>0</v>
      </c>
      <c r="P136" s="38">
        <f>Unit_Rates!$I$79*Other_Capex!F10</f>
        <v>0</v>
      </c>
      <c r="Q136" s="38">
        <f>Unit_Rates!$I$79*Other_Capex!G10</f>
        <v>0</v>
      </c>
      <c r="R136" s="38">
        <f>Unit_Rates!$I$79*Other_Capex!H10</f>
        <v>149.6915285451197</v>
      </c>
      <c r="S136" s="38">
        <f>Unit_Rates!$I$79*Other_Capex!I10</f>
        <v>149.6915285451197</v>
      </c>
      <c r="T136" s="38">
        <f>Unit_Rates!$I$79*Other_Capex!J10</f>
        <v>149.6915285451197</v>
      </c>
      <c r="U136" s="38">
        <f>Unit_Rates!$I$79*Other_Capex!K10</f>
        <v>149.6915285451197</v>
      </c>
      <c r="V136" s="38"/>
      <c r="W136" s="38">
        <f>Unit_Rates!$J$79*Other_Capex!D10</f>
        <v>0</v>
      </c>
      <c r="X136" s="38">
        <f>Unit_Rates!$J$79*Other_Capex!E10</f>
        <v>0</v>
      </c>
      <c r="Y136" s="38">
        <f>Unit_Rates!$J$79*Other_Capex!F10</f>
        <v>0</v>
      </c>
      <c r="Z136" s="38">
        <f>Unit_Rates!$J$79*Other_Capex!G10</f>
        <v>0</v>
      </c>
      <c r="AA136" s="38">
        <f>Unit_Rates!$J$79*Other_Capex!H10</f>
        <v>0</v>
      </c>
      <c r="AB136" s="38">
        <f>Unit_Rates!$J$79*Other_Capex!I10</f>
        <v>0</v>
      </c>
      <c r="AC136" s="38">
        <f>Unit_Rates!$J$79*Other_Capex!J10</f>
        <v>0</v>
      </c>
      <c r="AD136" s="38">
        <f>Unit_Rates!$J$79*Other_Capex!K10</f>
        <v>0</v>
      </c>
      <c r="AE136" s="38"/>
      <c r="AF136" s="38">
        <f>Unit_Rates!$L$79*Other_Capex!D10</f>
        <v>0</v>
      </c>
      <c r="AG136" s="38">
        <f>Unit_Rates!$L$79*Other_Capex!E10</f>
        <v>0</v>
      </c>
      <c r="AH136" s="38">
        <f>Unit_Rates!$L$79*Other_Capex!F10</f>
        <v>0</v>
      </c>
      <c r="AI136" s="38">
        <f>Unit_Rates!$L$79*Other_Capex!G10</f>
        <v>0</v>
      </c>
      <c r="AJ136" s="38">
        <f>Unit_Rates!$L$79*Other_Capex!H10</f>
        <v>486.49746777163904</v>
      </c>
      <c r="AK136" s="38">
        <f>Unit_Rates!$L$79*Other_Capex!I10</f>
        <v>486.49746777163904</v>
      </c>
      <c r="AL136" s="38">
        <f>Unit_Rates!$L$79*Other_Capex!J10</f>
        <v>486.49746777163904</v>
      </c>
      <c r="AM136" s="38">
        <f>Unit_Rates!$L$79*Other_Capex!K10</f>
        <v>486.49746777163904</v>
      </c>
      <c r="AN136" s="38"/>
      <c r="AO136" s="38">
        <f>Unit_Rates!$M$79*Other_Capex!D10</f>
        <v>0</v>
      </c>
      <c r="AP136" s="38">
        <f>Unit_Rates!$M$79*Other_Capex!E10</f>
        <v>0</v>
      </c>
      <c r="AQ136" s="38">
        <f>Unit_Rates!$M$79*Other_Capex!F10</f>
        <v>0</v>
      </c>
      <c r="AR136" s="38">
        <f>Unit_Rates!$M$79*Other_Capex!G10</f>
        <v>0</v>
      </c>
      <c r="AS136" s="38">
        <f>Unit_Rates!$M$79*Other_Capex!H10</f>
        <v>0</v>
      </c>
      <c r="AT136" s="38">
        <f>Unit_Rates!$M$79*Other_Capex!I10</f>
        <v>0</v>
      </c>
      <c r="AU136" s="38">
        <f>Unit_Rates!$M$79*Other_Capex!J10</f>
        <v>0</v>
      </c>
      <c r="AV136" s="38">
        <f>Unit_Rates!$M$79*Other_Capex!K10</f>
        <v>0</v>
      </c>
      <c r="AW136" s="38"/>
      <c r="AX136" s="38">
        <f t="shared" si="230"/>
        <v>0</v>
      </c>
      <c r="AY136" s="38">
        <f t="shared" si="230"/>
        <v>0</v>
      </c>
      <c r="AZ136" s="38">
        <f t="shared" si="230"/>
        <v>0</v>
      </c>
      <c r="BA136" s="38">
        <f t="shared" si="230"/>
        <v>0</v>
      </c>
      <c r="BB136" s="38">
        <f t="shared" si="230"/>
        <v>636.18899631675868</v>
      </c>
      <c r="BC136" s="38">
        <f t="shared" si="229"/>
        <v>636.18899631675868</v>
      </c>
      <c r="BD136" s="38">
        <f t="shared" si="229"/>
        <v>636.18899631675868</v>
      </c>
      <c r="BE136" s="38">
        <f t="shared" si="229"/>
        <v>636.18899631675868</v>
      </c>
      <c r="BG136" s="201">
        <f>SUM(AX136:BE136)</f>
        <v>2544.7559852670347</v>
      </c>
      <c r="BH136" s="19">
        <f>BG136-Direct_Capex_Totals!V125</f>
        <v>0</v>
      </c>
    </row>
    <row r="137" spans="2:63" s="45" customFormat="1" x14ac:dyDescent="0.3">
      <c r="B137" s="175" t="s">
        <v>538</v>
      </c>
      <c r="C137" s="17"/>
      <c r="D137" s="17"/>
      <c r="E137" s="17"/>
      <c r="F137" s="20" t="s">
        <v>44</v>
      </c>
      <c r="G137" s="20" t="s">
        <v>19</v>
      </c>
      <c r="H137" s="20" t="str">
        <f>G137&amp;F137</f>
        <v>Distribution system assetsReplacement</v>
      </c>
      <c r="I137" s="390">
        <f>Direct_Capex_Totals!Q126</f>
        <v>1139.5206261510129</v>
      </c>
      <c r="J137" s="390">
        <f>Direct_Capex_Totals!R126</f>
        <v>0</v>
      </c>
      <c r="K137" s="390">
        <f>Direct_Capex_Totals!S126</f>
        <v>0</v>
      </c>
      <c r="L137" s="390">
        <f>Direct_Capex_Totals!T126</f>
        <v>1650.7095790423571</v>
      </c>
      <c r="M137" s="390">
        <f>Direct_Capex_Totals!U126</f>
        <v>0</v>
      </c>
      <c r="N137" s="38">
        <f>Unit_Rates!$I$80*Other_Capex!D11</f>
        <v>0</v>
      </c>
      <c r="O137" s="38">
        <f>Unit_Rates!$I$80*Other_Capex!E11</f>
        <v>0</v>
      </c>
      <c r="P137" s="38">
        <f>Unit_Rates!$I$80*Other_Capex!F11</f>
        <v>0</v>
      </c>
      <c r="Q137" s="38">
        <f>Unit_Rates!$I$80*Other_Capex!G11</f>
        <v>0</v>
      </c>
      <c r="R137" s="38">
        <f>Unit_Rates!$I$80*Other_Capex!H11</f>
        <v>284.88015653775324</v>
      </c>
      <c r="S137" s="38">
        <f>Unit_Rates!$I$80*Other_Capex!I11</f>
        <v>284.88015653775324</v>
      </c>
      <c r="T137" s="38">
        <f>Unit_Rates!$I$80*Other_Capex!J11</f>
        <v>284.88015653775324</v>
      </c>
      <c r="U137" s="38">
        <f>Unit_Rates!$I$80*Other_Capex!K11</f>
        <v>284.88015653775324</v>
      </c>
      <c r="V137" s="38"/>
      <c r="W137" s="38">
        <f>Unit_Rates!$J$80*Other_Capex!D11</f>
        <v>0</v>
      </c>
      <c r="X137" s="38">
        <f>Unit_Rates!$J$80*Other_Capex!E11</f>
        <v>0</v>
      </c>
      <c r="Y137" s="38">
        <f>Unit_Rates!$J$80*Other_Capex!F11</f>
        <v>0</v>
      </c>
      <c r="Z137" s="38">
        <f>Unit_Rates!$J$80*Other_Capex!G11</f>
        <v>0</v>
      </c>
      <c r="AA137" s="38">
        <f>Unit_Rates!$J$80*Other_Capex!H11</f>
        <v>0</v>
      </c>
      <c r="AB137" s="38">
        <f>Unit_Rates!$J$80*Other_Capex!I11</f>
        <v>0</v>
      </c>
      <c r="AC137" s="38">
        <f>Unit_Rates!$J$80*Other_Capex!J11</f>
        <v>0</v>
      </c>
      <c r="AD137" s="38">
        <f>Unit_Rates!$J$80*Other_Capex!K11</f>
        <v>0</v>
      </c>
      <c r="AE137" s="38"/>
      <c r="AF137" s="38">
        <f>Unit_Rates!$L$80*Other_Capex!D11</f>
        <v>0</v>
      </c>
      <c r="AG137" s="38">
        <f>Unit_Rates!$L$80*Other_Capex!E11</f>
        <v>0</v>
      </c>
      <c r="AH137" s="38">
        <f>Unit_Rates!$L$80*Other_Capex!F11</f>
        <v>0</v>
      </c>
      <c r="AI137" s="38">
        <f>Unit_Rates!$L$80*Other_Capex!G11</f>
        <v>0</v>
      </c>
      <c r="AJ137" s="38">
        <f>Unit_Rates!$L$80*Other_Capex!H11</f>
        <v>412.67739476058927</v>
      </c>
      <c r="AK137" s="38">
        <f>Unit_Rates!$L$80*Other_Capex!I11</f>
        <v>412.67739476058927</v>
      </c>
      <c r="AL137" s="38">
        <f>Unit_Rates!$L$80*Other_Capex!J11</f>
        <v>412.67739476058927</v>
      </c>
      <c r="AM137" s="38">
        <f>Unit_Rates!$L$80*Other_Capex!K11</f>
        <v>412.67739476058927</v>
      </c>
      <c r="AN137" s="38"/>
      <c r="AO137" s="38">
        <f>Unit_Rates!$M$80*Other_Capex!D11</f>
        <v>0</v>
      </c>
      <c r="AP137" s="38">
        <f>Unit_Rates!$M$80*Other_Capex!E11</f>
        <v>0</v>
      </c>
      <c r="AQ137" s="38">
        <f>Unit_Rates!$M$80*Other_Capex!F11</f>
        <v>0</v>
      </c>
      <c r="AR137" s="38">
        <f>Unit_Rates!$M$80*Other_Capex!G11</f>
        <v>0</v>
      </c>
      <c r="AS137" s="38">
        <f>Unit_Rates!$M$80*Other_Capex!H11</f>
        <v>0</v>
      </c>
      <c r="AT137" s="38">
        <f>Unit_Rates!$M$80*Other_Capex!I11</f>
        <v>0</v>
      </c>
      <c r="AU137" s="38">
        <f>Unit_Rates!$M$80*Other_Capex!J11</f>
        <v>0</v>
      </c>
      <c r="AV137" s="38">
        <f>Unit_Rates!$M$80*Other_Capex!K11</f>
        <v>0</v>
      </c>
      <c r="AW137" s="38"/>
      <c r="AX137" s="38">
        <f t="shared" si="230"/>
        <v>0</v>
      </c>
      <c r="AY137" s="38">
        <f t="shared" si="230"/>
        <v>0</v>
      </c>
      <c r="AZ137" s="38">
        <f t="shared" si="230"/>
        <v>0</v>
      </c>
      <c r="BA137" s="38">
        <f t="shared" si="230"/>
        <v>0</v>
      </c>
      <c r="BB137" s="38">
        <f t="shared" si="230"/>
        <v>697.55755129834256</v>
      </c>
      <c r="BC137" s="38">
        <f t="shared" si="229"/>
        <v>697.55755129834256</v>
      </c>
      <c r="BD137" s="38">
        <f t="shared" si="229"/>
        <v>697.55755129834256</v>
      </c>
      <c r="BE137" s="38">
        <f t="shared" si="229"/>
        <v>697.55755129834256</v>
      </c>
      <c r="BG137" s="201">
        <f>SUM(AX137:BE137)</f>
        <v>2790.2302051933702</v>
      </c>
      <c r="BH137" s="19">
        <f>BG137-Direct_Capex_Totals!V126</f>
        <v>0</v>
      </c>
    </row>
    <row r="138" spans="2:63" x14ac:dyDescent="0.3">
      <c r="E138" s="8"/>
      <c r="F138" s="8"/>
      <c r="G138" s="8"/>
      <c r="H138" s="8"/>
      <c r="I138" s="8"/>
      <c r="J138" s="8"/>
      <c r="K138" s="8"/>
      <c r="L138" s="8"/>
      <c r="M138" s="8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G138" s="14"/>
      <c r="BH138" s="19"/>
    </row>
    <row r="139" spans="2:63" x14ac:dyDescent="0.3">
      <c r="B139" s="25" t="s">
        <v>5</v>
      </c>
      <c r="E139" s="8"/>
      <c r="F139" s="8"/>
      <c r="G139" s="8"/>
      <c r="H139" s="8"/>
      <c r="I139" s="8"/>
      <c r="J139" s="8"/>
      <c r="K139" s="8"/>
      <c r="L139" s="8"/>
      <c r="M139" s="8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</row>
    <row r="140" spans="2:63" x14ac:dyDescent="0.3">
      <c r="B140" s="174" t="str">
        <f>STN_1</f>
        <v>RWN</v>
      </c>
      <c r="E140" s="8"/>
      <c r="F140" s="8"/>
      <c r="G140" s="8"/>
      <c r="H140" s="8"/>
      <c r="I140" s="8"/>
      <c r="J140" s="8"/>
      <c r="K140" s="8"/>
      <c r="L140" s="8"/>
      <c r="M140" s="8"/>
      <c r="N140" s="6">
        <f t="shared" ref="N140:U148" si="231">SUMIF($B$7:$B$122,$B140,N$7:N$122)</f>
        <v>0</v>
      </c>
      <c r="O140" s="6">
        <f t="shared" si="231"/>
        <v>0</v>
      </c>
      <c r="P140" s="6">
        <f t="shared" si="231"/>
        <v>680.59810946667915</v>
      </c>
      <c r="Q140" s="6">
        <f t="shared" si="231"/>
        <v>1667.5288719444948</v>
      </c>
      <c r="R140" s="6">
        <f t="shared" si="231"/>
        <v>0</v>
      </c>
      <c r="S140" s="6">
        <f t="shared" si="231"/>
        <v>0</v>
      </c>
      <c r="T140" s="6">
        <f t="shared" si="231"/>
        <v>0</v>
      </c>
      <c r="U140" s="6">
        <f t="shared" si="231"/>
        <v>0</v>
      </c>
      <c r="V140" s="6"/>
      <c r="W140" s="6">
        <f t="shared" ref="W140:AD148" si="232">SUMIF($B$7:$B$122,$B140,W$7:W$122)</f>
        <v>0</v>
      </c>
      <c r="X140" s="6">
        <f t="shared" si="232"/>
        <v>0</v>
      </c>
      <c r="Y140" s="6">
        <f t="shared" si="232"/>
        <v>152.49687499999999</v>
      </c>
      <c r="Z140" s="6">
        <f t="shared" si="232"/>
        <v>924.59578601128146</v>
      </c>
      <c r="AA140" s="6">
        <f t="shared" si="232"/>
        <v>30.499375000000001</v>
      </c>
      <c r="AB140" s="6">
        <f t="shared" si="232"/>
        <v>0</v>
      </c>
      <c r="AC140" s="6">
        <f t="shared" si="232"/>
        <v>0</v>
      </c>
      <c r="AD140" s="6">
        <f t="shared" si="232"/>
        <v>0</v>
      </c>
      <c r="AE140" s="6"/>
      <c r="AF140" s="6">
        <f t="shared" ref="AF140:AM148" si="233">SUMIF($B$7:$B$122,$B140,AF$7:AF$122)</f>
        <v>0</v>
      </c>
      <c r="AG140" s="6">
        <f t="shared" si="233"/>
        <v>0</v>
      </c>
      <c r="AH140" s="6">
        <f t="shared" si="233"/>
        <v>620.8303298684657</v>
      </c>
      <c r="AI140" s="6">
        <f t="shared" si="233"/>
        <v>1978.7225090198344</v>
      </c>
      <c r="AJ140" s="6">
        <f t="shared" si="233"/>
        <v>31.425655072337143</v>
      </c>
      <c r="AK140" s="6">
        <f t="shared" si="233"/>
        <v>0</v>
      </c>
      <c r="AL140" s="6">
        <f t="shared" si="233"/>
        <v>0</v>
      </c>
      <c r="AM140" s="6">
        <f t="shared" si="233"/>
        <v>0</v>
      </c>
      <c r="AN140" s="6"/>
      <c r="AO140" s="6">
        <f t="shared" ref="AO140:AV148" si="234">SUMIF($B$7:$B$122,$B140,AO$7:AO$122)</f>
        <v>0</v>
      </c>
      <c r="AP140" s="6">
        <f t="shared" si="234"/>
        <v>0</v>
      </c>
      <c r="AQ140" s="6">
        <f t="shared" si="234"/>
        <v>0</v>
      </c>
      <c r="AR140" s="6">
        <f t="shared" si="234"/>
        <v>208.54634118595959</v>
      </c>
      <c r="AS140" s="6">
        <f t="shared" si="234"/>
        <v>44.176879351064294</v>
      </c>
      <c r="AT140" s="6">
        <f t="shared" si="234"/>
        <v>0</v>
      </c>
      <c r="AU140" s="6">
        <f t="shared" si="234"/>
        <v>0</v>
      </c>
      <c r="AV140" s="6">
        <f t="shared" si="234"/>
        <v>0</v>
      </c>
      <c r="AW140" s="6"/>
      <c r="AX140" s="6">
        <f>N140+W140+AF140+AO140</f>
        <v>0</v>
      </c>
      <c r="AY140" s="6">
        <f t="shared" ref="AY140:AY148" si="235">O140+X140+AG140+AP140</f>
        <v>0</v>
      </c>
      <c r="AZ140" s="6">
        <f t="shared" ref="AZ140:AZ148" si="236">P140+Y140+AH140+AQ140</f>
        <v>1453.9253143351448</v>
      </c>
      <c r="BA140" s="6">
        <f t="shared" ref="BA140:BA148" si="237">Q140+Z140+AI140+AR140</f>
        <v>4779.3935081615709</v>
      </c>
      <c r="BB140" s="6">
        <f t="shared" ref="BB140:BB148" si="238">R140+AA140+AJ140+AS140</f>
        <v>106.10190942340144</v>
      </c>
      <c r="BC140" s="6">
        <f t="shared" ref="BC140:BC148" si="239">S140+AB140+AK140+AT140</f>
        <v>0</v>
      </c>
      <c r="BD140" s="6">
        <f t="shared" ref="BD140:BD148" si="240">T140+AC140+AL140+AU140</f>
        <v>0</v>
      </c>
      <c r="BE140" s="6">
        <f t="shared" ref="BE140:BE148" si="241">U140+AD140+AM140+AV140</f>
        <v>0</v>
      </c>
      <c r="BG140" s="14">
        <f>SUM(AX140:BE140)</f>
        <v>6339.4207319201178</v>
      </c>
      <c r="BH140" s="19">
        <f>BG140-Direct_Capex_Totals!V132</f>
        <v>0</v>
      </c>
    </row>
    <row r="141" spans="2:63" x14ac:dyDescent="0.3">
      <c r="B141" s="174" t="str">
        <f>STN_2</f>
        <v>ELM</v>
      </c>
      <c r="E141" s="8"/>
      <c r="F141" s="8"/>
      <c r="G141" s="8"/>
      <c r="H141" s="8"/>
      <c r="I141" s="8"/>
      <c r="J141" s="8"/>
      <c r="K141" s="8"/>
      <c r="L141" s="8"/>
      <c r="M141" s="8"/>
      <c r="N141" s="6">
        <f t="shared" si="231"/>
        <v>0</v>
      </c>
      <c r="O141" s="6">
        <f t="shared" si="231"/>
        <v>0</v>
      </c>
      <c r="P141" s="6">
        <f t="shared" si="231"/>
        <v>1054.5457704736616</v>
      </c>
      <c r="Q141" s="6">
        <f t="shared" si="231"/>
        <v>4361.9575342624466</v>
      </c>
      <c r="R141" s="6">
        <f t="shared" si="231"/>
        <v>202.1645332389233</v>
      </c>
      <c r="S141" s="6">
        <f t="shared" si="231"/>
        <v>0</v>
      </c>
      <c r="T141" s="6">
        <f t="shared" si="231"/>
        <v>0</v>
      </c>
      <c r="U141" s="6">
        <f t="shared" si="231"/>
        <v>0</v>
      </c>
      <c r="V141" s="6"/>
      <c r="W141" s="6">
        <f t="shared" si="232"/>
        <v>0</v>
      </c>
      <c r="X141" s="6">
        <f t="shared" si="232"/>
        <v>0</v>
      </c>
      <c r="Y141" s="6">
        <f t="shared" si="232"/>
        <v>135.91223250000002</v>
      </c>
      <c r="Z141" s="6">
        <f t="shared" si="232"/>
        <v>1185.8508511794525</v>
      </c>
      <c r="AA141" s="6">
        <f t="shared" si="232"/>
        <v>580.42363367945279</v>
      </c>
      <c r="AB141" s="6">
        <f t="shared" si="232"/>
        <v>0</v>
      </c>
      <c r="AC141" s="6">
        <f t="shared" si="232"/>
        <v>0</v>
      </c>
      <c r="AD141" s="6">
        <f t="shared" si="232"/>
        <v>0</v>
      </c>
      <c r="AE141" s="6"/>
      <c r="AF141" s="6">
        <f t="shared" si="233"/>
        <v>0</v>
      </c>
      <c r="AG141" s="6">
        <f t="shared" si="233"/>
        <v>0</v>
      </c>
      <c r="AH141" s="6">
        <f t="shared" si="233"/>
        <v>785.82026446635132</v>
      </c>
      <c r="AI141" s="6">
        <f t="shared" si="233"/>
        <v>3169.557539260406</v>
      </c>
      <c r="AJ141" s="6">
        <f t="shared" si="233"/>
        <v>1297.372691809637</v>
      </c>
      <c r="AK141" s="6">
        <f t="shared" si="233"/>
        <v>54.902781450169172</v>
      </c>
      <c r="AL141" s="6">
        <f t="shared" si="233"/>
        <v>0</v>
      </c>
      <c r="AM141" s="6">
        <f t="shared" si="233"/>
        <v>0</v>
      </c>
      <c r="AN141" s="6"/>
      <c r="AO141" s="6">
        <f t="shared" si="234"/>
        <v>0</v>
      </c>
      <c r="AP141" s="6">
        <f t="shared" si="234"/>
        <v>0</v>
      </c>
      <c r="AQ141" s="6">
        <f t="shared" si="234"/>
        <v>0</v>
      </c>
      <c r="AR141" s="6">
        <f t="shared" si="234"/>
        <v>290.6405841760976</v>
      </c>
      <c r="AS141" s="6">
        <f t="shared" si="234"/>
        <v>251.5630985648902</v>
      </c>
      <c r="AT141" s="6">
        <f t="shared" si="234"/>
        <v>18.43277623170157</v>
      </c>
      <c r="AU141" s="6">
        <f t="shared" si="234"/>
        <v>0</v>
      </c>
      <c r="AV141" s="6">
        <f t="shared" si="234"/>
        <v>0</v>
      </c>
      <c r="AW141" s="6"/>
      <c r="AX141" s="6">
        <f t="shared" ref="AX141:AX148" si="242">N141+W141+AF141+AO141</f>
        <v>0</v>
      </c>
      <c r="AY141" s="6">
        <f t="shared" si="235"/>
        <v>0</v>
      </c>
      <c r="AZ141" s="6">
        <f t="shared" si="236"/>
        <v>1976.278267440013</v>
      </c>
      <c r="BA141" s="6">
        <f t="shared" si="237"/>
        <v>9008.0065088784031</v>
      </c>
      <c r="BB141" s="6">
        <f t="shared" si="238"/>
        <v>2331.5239572929031</v>
      </c>
      <c r="BC141" s="6">
        <f t="shared" si="239"/>
        <v>73.335557681870739</v>
      </c>
      <c r="BD141" s="6">
        <f t="shared" si="240"/>
        <v>0</v>
      </c>
      <c r="BE141" s="6">
        <f t="shared" si="241"/>
        <v>0</v>
      </c>
      <c r="BG141" s="14">
        <f t="shared" ref="BG141:BG149" si="243">SUM(AX141:BE141)</f>
        <v>13389.144291293191</v>
      </c>
      <c r="BH141" s="19">
        <f>BG141-Direct_Capex_Totals!V133</f>
        <v>0</v>
      </c>
    </row>
    <row r="142" spans="2:63" x14ac:dyDescent="0.3">
      <c r="B142" s="174" t="str">
        <f>STN_3</f>
        <v>FGY</v>
      </c>
      <c r="E142" s="8"/>
      <c r="F142" s="8"/>
      <c r="G142" s="8"/>
      <c r="H142" s="8"/>
      <c r="I142" s="8"/>
      <c r="J142" s="8"/>
      <c r="K142" s="8"/>
      <c r="L142" s="8"/>
      <c r="M142" s="8"/>
      <c r="N142" s="6">
        <f t="shared" si="231"/>
        <v>0</v>
      </c>
      <c r="O142" s="6">
        <f t="shared" si="231"/>
        <v>0</v>
      </c>
      <c r="P142" s="6">
        <f t="shared" si="231"/>
        <v>1085.0805426972283</v>
      </c>
      <c r="Q142" s="6">
        <f t="shared" si="231"/>
        <v>2954.2988892545154</v>
      </c>
      <c r="R142" s="6">
        <f t="shared" si="231"/>
        <v>1291.5805509835086</v>
      </c>
      <c r="S142" s="6">
        <f t="shared" si="231"/>
        <v>0</v>
      </c>
      <c r="T142" s="6">
        <f t="shared" si="231"/>
        <v>0</v>
      </c>
      <c r="U142" s="6">
        <f t="shared" si="231"/>
        <v>0</v>
      </c>
      <c r="V142" s="6"/>
      <c r="W142" s="6">
        <f t="shared" si="232"/>
        <v>0</v>
      </c>
      <c r="X142" s="6">
        <f t="shared" si="232"/>
        <v>0</v>
      </c>
      <c r="Y142" s="6">
        <f t="shared" si="232"/>
        <v>128.47931250000002</v>
      </c>
      <c r="Z142" s="6">
        <f t="shared" si="232"/>
        <v>1060.5723646805955</v>
      </c>
      <c r="AA142" s="6">
        <f t="shared" si="232"/>
        <v>838.65355218059551</v>
      </c>
      <c r="AB142" s="6">
        <f t="shared" si="232"/>
        <v>38.933125000000004</v>
      </c>
      <c r="AC142" s="6">
        <f t="shared" si="232"/>
        <v>0</v>
      </c>
      <c r="AD142" s="6">
        <f t="shared" si="232"/>
        <v>0</v>
      </c>
      <c r="AE142" s="6"/>
      <c r="AF142" s="6">
        <f t="shared" si="233"/>
        <v>0</v>
      </c>
      <c r="AG142" s="6">
        <f t="shared" si="233"/>
        <v>0</v>
      </c>
      <c r="AH142" s="6">
        <f t="shared" si="233"/>
        <v>925.71041705255061</v>
      </c>
      <c r="AI142" s="6">
        <f t="shared" si="233"/>
        <v>2544.7430342781095</v>
      </c>
      <c r="AJ142" s="6">
        <f t="shared" si="233"/>
        <v>2118.5829771861568</v>
      </c>
      <c r="AK142" s="6">
        <f t="shared" si="233"/>
        <v>69.862304441303706</v>
      </c>
      <c r="AL142" s="6">
        <f t="shared" si="233"/>
        <v>0</v>
      </c>
      <c r="AM142" s="6">
        <f t="shared" si="233"/>
        <v>0</v>
      </c>
      <c r="AN142" s="6"/>
      <c r="AO142" s="6">
        <f t="shared" si="234"/>
        <v>0</v>
      </c>
      <c r="AP142" s="6">
        <f t="shared" si="234"/>
        <v>0</v>
      </c>
      <c r="AQ142" s="6">
        <f t="shared" si="234"/>
        <v>0</v>
      </c>
      <c r="AR142" s="6">
        <f t="shared" si="234"/>
        <v>349.64644192161518</v>
      </c>
      <c r="AS142" s="6">
        <f t="shared" si="234"/>
        <v>109.54310486897906</v>
      </c>
      <c r="AT142" s="6">
        <f t="shared" si="234"/>
        <v>18.469487465587392</v>
      </c>
      <c r="AU142" s="6">
        <f t="shared" si="234"/>
        <v>0</v>
      </c>
      <c r="AV142" s="6">
        <f t="shared" si="234"/>
        <v>0</v>
      </c>
      <c r="AW142" s="6"/>
      <c r="AX142" s="6">
        <f t="shared" si="242"/>
        <v>0</v>
      </c>
      <c r="AY142" s="6">
        <f t="shared" si="235"/>
        <v>0</v>
      </c>
      <c r="AZ142" s="6">
        <f t="shared" si="236"/>
        <v>2139.2702722497788</v>
      </c>
      <c r="BA142" s="6">
        <f t="shared" si="237"/>
        <v>6909.2607301348362</v>
      </c>
      <c r="BB142" s="6">
        <f t="shared" si="238"/>
        <v>4358.3601852192396</v>
      </c>
      <c r="BC142" s="6">
        <f t="shared" si="239"/>
        <v>127.2649169068911</v>
      </c>
      <c r="BD142" s="6">
        <f t="shared" si="240"/>
        <v>0</v>
      </c>
      <c r="BE142" s="6">
        <f t="shared" si="241"/>
        <v>0</v>
      </c>
      <c r="BG142" s="14">
        <f t="shared" si="243"/>
        <v>13534.156104510746</v>
      </c>
      <c r="BH142" s="19">
        <f>BG142-Direct_Capex_Totals!V134</f>
        <v>0</v>
      </c>
    </row>
    <row r="143" spans="2:63" x14ac:dyDescent="0.3">
      <c r="B143" s="174" t="str">
        <f>STN_4</f>
        <v>WOTS22</v>
      </c>
      <c r="E143" s="8"/>
      <c r="F143" s="8"/>
      <c r="G143" s="8"/>
      <c r="H143" s="8"/>
      <c r="I143" s="8"/>
      <c r="J143" s="8"/>
      <c r="K143" s="8"/>
      <c r="L143" s="8"/>
      <c r="M143" s="8"/>
      <c r="N143" s="6">
        <f t="shared" si="231"/>
        <v>0</v>
      </c>
      <c r="O143" s="6">
        <f t="shared" si="231"/>
        <v>0</v>
      </c>
      <c r="P143" s="6">
        <f t="shared" si="231"/>
        <v>4787.9354602467765</v>
      </c>
      <c r="Q143" s="6">
        <f t="shared" si="231"/>
        <v>3109.5288916469231</v>
      </c>
      <c r="R143" s="6">
        <f t="shared" si="231"/>
        <v>0</v>
      </c>
      <c r="S143" s="6">
        <f t="shared" si="231"/>
        <v>0</v>
      </c>
      <c r="T143" s="6">
        <f t="shared" si="231"/>
        <v>0</v>
      </c>
      <c r="U143" s="6">
        <f t="shared" si="231"/>
        <v>0</v>
      </c>
      <c r="V143" s="6"/>
      <c r="W143" s="6">
        <f t="shared" si="232"/>
        <v>0</v>
      </c>
      <c r="X143" s="6">
        <f t="shared" si="232"/>
        <v>0</v>
      </c>
      <c r="Y143" s="6">
        <f t="shared" si="232"/>
        <v>208.27012499999998</v>
      </c>
      <c r="Z143" s="6">
        <f t="shared" si="232"/>
        <v>1471.6192219800323</v>
      </c>
      <c r="AA143" s="6">
        <f t="shared" si="232"/>
        <v>930.11689698003204</v>
      </c>
      <c r="AB143" s="6">
        <f t="shared" si="232"/>
        <v>0</v>
      </c>
      <c r="AC143" s="6">
        <f t="shared" si="232"/>
        <v>0</v>
      </c>
      <c r="AD143" s="6">
        <f t="shared" si="232"/>
        <v>0</v>
      </c>
      <c r="AE143" s="6"/>
      <c r="AF143" s="6">
        <f t="shared" si="233"/>
        <v>0</v>
      </c>
      <c r="AG143" s="6">
        <f t="shared" si="233"/>
        <v>0</v>
      </c>
      <c r="AH143" s="6">
        <f t="shared" si="233"/>
        <v>894.54326216292293</v>
      </c>
      <c r="AI143" s="6">
        <f t="shared" si="233"/>
        <v>4094.3009328404723</v>
      </c>
      <c r="AJ143" s="6">
        <f t="shared" si="233"/>
        <v>2510.5227781438252</v>
      </c>
      <c r="AK143" s="6">
        <f t="shared" si="233"/>
        <v>0</v>
      </c>
      <c r="AL143" s="6">
        <f t="shared" si="233"/>
        <v>0</v>
      </c>
      <c r="AM143" s="6">
        <f t="shared" si="233"/>
        <v>0</v>
      </c>
      <c r="AN143" s="6"/>
      <c r="AO143" s="6">
        <f t="shared" si="234"/>
        <v>0</v>
      </c>
      <c r="AP143" s="6">
        <f t="shared" si="234"/>
        <v>0</v>
      </c>
      <c r="AQ143" s="6">
        <f t="shared" si="234"/>
        <v>0</v>
      </c>
      <c r="AR143" s="6">
        <f t="shared" si="234"/>
        <v>486.8374103023429</v>
      </c>
      <c r="AS143" s="6">
        <f t="shared" si="234"/>
        <v>253.10412542453224</v>
      </c>
      <c r="AT143" s="6">
        <f t="shared" si="234"/>
        <v>0</v>
      </c>
      <c r="AU143" s="6">
        <f t="shared" si="234"/>
        <v>0</v>
      </c>
      <c r="AV143" s="6">
        <f t="shared" si="234"/>
        <v>0</v>
      </c>
      <c r="AW143" s="6"/>
      <c r="AX143" s="6">
        <f t="shared" si="242"/>
        <v>0</v>
      </c>
      <c r="AY143" s="6">
        <f t="shared" si="235"/>
        <v>0</v>
      </c>
      <c r="AZ143" s="6">
        <f t="shared" si="236"/>
        <v>5890.748847409699</v>
      </c>
      <c r="BA143" s="6">
        <f t="shared" si="237"/>
        <v>9162.2864567697707</v>
      </c>
      <c r="BB143" s="6">
        <f t="shared" si="238"/>
        <v>3693.7438005483896</v>
      </c>
      <c r="BC143" s="6">
        <f t="shared" si="239"/>
        <v>0</v>
      </c>
      <c r="BD143" s="6">
        <f t="shared" si="240"/>
        <v>0</v>
      </c>
      <c r="BE143" s="6">
        <f t="shared" si="241"/>
        <v>0</v>
      </c>
      <c r="BG143" s="14">
        <f t="shared" si="243"/>
        <v>18746.779104727859</v>
      </c>
      <c r="BH143" s="19">
        <f>BG143-Direct_Capex_Totals!V135</f>
        <v>0</v>
      </c>
    </row>
    <row r="144" spans="2:63" x14ac:dyDescent="0.3">
      <c r="B144" s="174" t="str">
        <f>STN_5</f>
        <v>MOE</v>
      </c>
      <c r="E144" s="8"/>
      <c r="F144" s="8"/>
      <c r="G144" s="8"/>
      <c r="H144" s="8"/>
      <c r="I144" s="8"/>
      <c r="J144" s="8"/>
      <c r="K144" s="8"/>
      <c r="L144" s="8"/>
      <c r="M144" s="8"/>
      <c r="N144" s="6">
        <f t="shared" si="231"/>
        <v>0</v>
      </c>
      <c r="O144" s="6">
        <f t="shared" si="231"/>
        <v>0</v>
      </c>
      <c r="P144" s="6">
        <f t="shared" si="231"/>
        <v>207.86897485852154</v>
      </c>
      <c r="Q144" s="6">
        <f t="shared" si="231"/>
        <v>5214.551392493493</v>
      </c>
      <c r="R144" s="6">
        <f t="shared" si="231"/>
        <v>1974.7552611559543</v>
      </c>
      <c r="S144" s="6">
        <f t="shared" si="231"/>
        <v>0</v>
      </c>
      <c r="T144" s="6">
        <f t="shared" si="231"/>
        <v>0</v>
      </c>
      <c r="U144" s="6">
        <f t="shared" si="231"/>
        <v>0</v>
      </c>
      <c r="V144" s="6"/>
      <c r="W144" s="6">
        <f t="shared" si="232"/>
        <v>0</v>
      </c>
      <c r="X144" s="6">
        <f t="shared" si="232"/>
        <v>0</v>
      </c>
      <c r="Y144" s="6">
        <f t="shared" si="232"/>
        <v>105.75468749999999</v>
      </c>
      <c r="Z144" s="6">
        <f t="shared" si="232"/>
        <v>904.7577826905175</v>
      </c>
      <c r="AA144" s="6">
        <f t="shared" si="232"/>
        <v>1010.5124701905175</v>
      </c>
      <c r="AB144" s="6">
        <f t="shared" si="232"/>
        <v>42.301875000000003</v>
      </c>
      <c r="AC144" s="6">
        <f t="shared" si="232"/>
        <v>0</v>
      </c>
      <c r="AD144" s="6">
        <f t="shared" si="232"/>
        <v>0</v>
      </c>
      <c r="AE144" s="6"/>
      <c r="AF144" s="6">
        <f t="shared" si="233"/>
        <v>0</v>
      </c>
      <c r="AG144" s="6">
        <f t="shared" si="233"/>
        <v>0</v>
      </c>
      <c r="AH144" s="6">
        <f t="shared" si="233"/>
        <v>646.14783026368866</v>
      </c>
      <c r="AI144" s="6">
        <f t="shared" si="233"/>
        <v>3277.4750933536602</v>
      </c>
      <c r="AJ144" s="6">
        <f t="shared" si="233"/>
        <v>2991.3605563884798</v>
      </c>
      <c r="AK144" s="6">
        <f t="shared" si="233"/>
        <v>57.22290739303611</v>
      </c>
      <c r="AL144" s="6">
        <f t="shared" si="233"/>
        <v>0</v>
      </c>
      <c r="AM144" s="6">
        <f t="shared" si="233"/>
        <v>0</v>
      </c>
      <c r="AN144" s="6"/>
      <c r="AO144" s="6">
        <f t="shared" si="234"/>
        <v>0</v>
      </c>
      <c r="AP144" s="6">
        <f t="shared" si="234"/>
        <v>0</v>
      </c>
      <c r="AQ144" s="6">
        <f t="shared" si="234"/>
        <v>0</v>
      </c>
      <c r="AR144" s="6">
        <f t="shared" si="234"/>
        <v>311.93372473725856</v>
      </c>
      <c r="AS144" s="6">
        <f t="shared" si="234"/>
        <v>368.74828688039105</v>
      </c>
      <c r="AT144" s="6">
        <f t="shared" si="234"/>
        <v>18.938187381044159</v>
      </c>
      <c r="AU144" s="6">
        <f t="shared" si="234"/>
        <v>0</v>
      </c>
      <c r="AV144" s="6">
        <f t="shared" si="234"/>
        <v>0</v>
      </c>
      <c r="AW144" s="6"/>
      <c r="AX144" s="6">
        <f t="shared" si="242"/>
        <v>0</v>
      </c>
      <c r="AY144" s="6">
        <f t="shared" si="235"/>
        <v>0</v>
      </c>
      <c r="AZ144" s="6">
        <f t="shared" si="236"/>
        <v>959.77149262221019</v>
      </c>
      <c r="BA144" s="6">
        <f t="shared" si="237"/>
        <v>9708.7179932749295</v>
      </c>
      <c r="BB144" s="6">
        <f t="shared" si="238"/>
        <v>6345.3765746153422</v>
      </c>
      <c r="BC144" s="6">
        <f t="shared" si="239"/>
        <v>118.46296977408026</v>
      </c>
      <c r="BD144" s="6">
        <f t="shared" si="240"/>
        <v>0</v>
      </c>
      <c r="BE144" s="6">
        <f t="shared" si="241"/>
        <v>0</v>
      </c>
      <c r="BG144" s="14">
        <f t="shared" si="243"/>
        <v>17132.329030286564</v>
      </c>
      <c r="BH144" s="19">
        <f>BG144-Direct_Capex_Totals!V136</f>
        <v>0</v>
      </c>
    </row>
    <row r="145" spans="2:61" x14ac:dyDescent="0.3">
      <c r="B145" s="174" t="str">
        <f>STN_6</f>
        <v>BGE</v>
      </c>
      <c r="E145" s="8"/>
      <c r="F145" s="8"/>
      <c r="G145" s="8"/>
      <c r="H145" s="8"/>
      <c r="I145" s="8"/>
      <c r="J145" s="8"/>
      <c r="K145" s="8"/>
      <c r="L145" s="8"/>
      <c r="M145" s="8"/>
      <c r="N145" s="6">
        <f t="shared" si="231"/>
        <v>0</v>
      </c>
      <c r="O145" s="6">
        <f t="shared" si="231"/>
        <v>0</v>
      </c>
      <c r="P145" s="6">
        <f t="shared" si="231"/>
        <v>1920.8837934899757</v>
      </c>
      <c r="Q145" s="6">
        <f t="shared" si="231"/>
        <v>4514.3043505893775</v>
      </c>
      <c r="R145" s="6">
        <f t="shared" si="231"/>
        <v>192.48304493627344</v>
      </c>
      <c r="S145" s="6">
        <f t="shared" si="231"/>
        <v>0</v>
      </c>
      <c r="T145" s="6">
        <f t="shared" si="231"/>
        <v>0</v>
      </c>
      <c r="U145" s="6">
        <f t="shared" si="231"/>
        <v>0</v>
      </c>
      <c r="V145" s="6"/>
      <c r="W145" s="6">
        <f t="shared" si="232"/>
        <v>0</v>
      </c>
      <c r="X145" s="6">
        <f t="shared" si="232"/>
        <v>0</v>
      </c>
      <c r="Y145" s="6">
        <f t="shared" si="232"/>
        <v>160.38346500000003</v>
      </c>
      <c r="Z145" s="6">
        <f t="shared" si="232"/>
        <v>1200.5427130670348</v>
      </c>
      <c r="AA145" s="6">
        <f t="shared" si="232"/>
        <v>544.42853806703488</v>
      </c>
      <c r="AB145" s="6">
        <f t="shared" si="232"/>
        <v>0</v>
      </c>
      <c r="AC145" s="6">
        <f t="shared" si="232"/>
        <v>0</v>
      </c>
      <c r="AD145" s="6">
        <f t="shared" si="232"/>
        <v>0</v>
      </c>
      <c r="AE145" s="6"/>
      <c r="AF145" s="6">
        <f t="shared" si="233"/>
        <v>0</v>
      </c>
      <c r="AG145" s="6">
        <f t="shared" si="233"/>
        <v>0</v>
      </c>
      <c r="AH145" s="6">
        <f t="shared" si="233"/>
        <v>627.46062544945016</v>
      </c>
      <c r="AI145" s="6">
        <f t="shared" si="233"/>
        <v>3500.0436362725104</v>
      </c>
      <c r="AJ145" s="6">
        <f t="shared" si="233"/>
        <v>1874.2652686520389</v>
      </c>
      <c r="AK145" s="6">
        <f t="shared" si="233"/>
        <v>0</v>
      </c>
      <c r="AL145" s="6">
        <f t="shared" si="233"/>
        <v>0</v>
      </c>
      <c r="AM145" s="6">
        <f t="shared" si="233"/>
        <v>0</v>
      </c>
      <c r="AN145" s="6"/>
      <c r="AO145" s="6">
        <f t="shared" si="234"/>
        <v>0</v>
      </c>
      <c r="AP145" s="6">
        <f t="shared" si="234"/>
        <v>0</v>
      </c>
      <c r="AQ145" s="6">
        <f t="shared" si="234"/>
        <v>0</v>
      </c>
      <c r="AR145" s="6">
        <f t="shared" si="234"/>
        <v>446.1152643578281</v>
      </c>
      <c r="AS145" s="6">
        <f t="shared" si="234"/>
        <v>216.79914736746451</v>
      </c>
      <c r="AT145" s="6">
        <f t="shared" si="234"/>
        <v>0</v>
      </c>
      <c r="AU145" s="6">
        <f t="shared" si="234"/>
        <v>0</v>
      </c>
      <c r="AV145" s="6">
        <f t="shared" si="234"/>
        <v>0</v>
      </c>
      <c r="AW145" s="6"/>
      <c r="AX145" s="6">
        <f t="shared" si="242"/>
        <v>0</v>
      </c>
      <c r="AY145" s="6">
        <f t="shared" si="235"/>
        <v>0</v>
      </c>
      <c r="AZ145" s="6">
        <f t="shared" si="236"/>
        <v>2708.7278839394257</v>
      </c>
      <c r="BA145" s="6">
        <f t="shared" si="237"/>
        <v>9661.0059642867509</v>
      </c>
      <c r="BB145" s="6">
        <f t="shared" si="238"/>
        <v>2827.9759990228122</v>
      </c>
      <c r="BC145" s="6">
        <f t="shared" si="239"/>
        <v>0</v>
      </c>
      <c r="BD145" s="6">
        <f t="shared" si="240"/>
        <v>0</v>
      </c>
      <c r="BE145" s="6">
        <f t="shared" si="241"/>
        <v>0</v>
      </c>
      <c r="BG145" s="14">
        <f t="shared" si="243"/>
        <v>15197.709847248989</v>
      </c>
      <c r="BH145" s="19">
        <f>BG145-Direct_Capex_Totals!V137</f>
        <v>0</v>
      </c>
    </row>
    <row r="146" spans="2:61" x14ac:dyDescent="0.3">
      <c r="B146" s="174" t="str">
        <f>STN_7</f>
        <v>LDL</v>
      </c>
      <c r="E146" s="8"/>
      <c r="F146" s="8"/>
      <c r="G146" s="8"/>
      <c r="H146" s="8"/>
      <c r="I146" s="8"/>
      <c r="J146" s="8"/>
      <c r="K146" s="8"/>
      <c r="L146" s="8"/>
      <c r="M146" s="8"/>
      <c r="N146" s="6">
        <f t="shared" si="231"/>
        <v>0</v>
      </c>
      <c r="O146" s="6">
        <f t="shared" si="231"/>
        <v>0</v>
      </c>
      <c r="P146" s="6">
        <f t="shared" si="231"/>
        <v>133.87693351009924</v>
      </c>
      <c r="Q146" s="6">
        <f t="shared" si="231"/>
        <v>5234.0261537693159</v>
      </c>
      <c r="R146" s="6">
        <f t="shared" si="231"/>
        <v>1870.3395122734451</v>
      </c>
      <c r="S146" s="6">
        <f t="shared" si="231"/>
        <v>0</v>
      </c>
      <c r="T146" s="6">
        <f t="shared" si="231"/>
        <v>0</v>
      </c>
      <c r="U146" s="6">
        <f t="shared" si="231"/>
        <v>0</v>
      </c>
      <c r="V146" s="6"/>
      <c r="W146" s="6">
        <f t="shared" si="232"/>
        <v>0</v>
      </c>
      <c r="X146" s="6">
        <f t="shared" si="232"/>
        <v>0</v>
      </c>
      <c r="Y146" s="6">
        <f t="shared" si="232"/>
        <v>64.953642500000001</v>
      </c>
      <c r="Z146" s="6">
        <f t="shared" si="232"/>
        <v>885.54752651500633</v>
      </c>
      <c r="AA146" s="6">
        <f t="shared" si="232"/>
        <v>988.70919401500635</v>
      </c>
      <c r="AB146" s="6">
        <f t="shared" si="232"/>
        <v>0</v>
      </c>
      <c r="AC146" s="6">
        <f t="shared" si="232"/>
        <v>0</v>
      </c>
      <c r="AD146" s="6">
        <f t="shared" si="232"/>
        <v>0</v>
      </c>
      <c r="AE146" s="6"/>
      <c r="AF146" s="6">
        <f t="shared" si="233"/>
        <v>0</v>
      </c>
      <c r="AG146" s="6">
        <f t="shared" si="233"/>
        <v>0</v>
      </c>
      <c r="AH146" s="6">
        <f t="shared" si="233"/>
        <v>445.48213794999435</v>
      </c>
      <c r="AI146" s="6">
        <f t="shared" si="233"/>
        <v>2572.2732941087634</v>
      </c>
      <c r="AJ146" s="6">
        <f t="shared" si="233"/>
        <v>2208.0881640401522</v>
      </c>
      <c r="AK146" s="6">
        <f t="shared" si="233"/>
        <v>49.214206766028525</v>
      </c>
      <c r="AL146" s="6">
        <f t="shared" si="233"/>
        <v>0</v>
      </c>
      <c r="AM146" s="6">
        <f t="shared" si="233"/>
        <v>0</v>
      </c>
      <c r="AN146" s="6"/>
      <c r="AO146" s="6">
        <f t="shared" si="234"/>
        <v>0</v>
      </c>
      <c r="AP146" s="6">
        <f t="shared" si="234"/>
        <v>0</v>
      </c>
      <c r="AQ146" s="6">
        <f t="shared" si="234"/>
        <v>0</v>
      </c>
      <c r="AR146" s="6">
        <f t="shared" si="234"/>
        <v>259.17455257798588</v>
      </c>
      <c r="AS146" s="6">
        <f t="shared" si="234"/>
        <v>307.63163486425083</v>
      </c>
      <c r="AT146" s="6">
        <f t="shared" si="234"/>
        <v>16.152360762088314</v>
      </c>
      <c r="AU146" s="6">
        <f t="shared" si="234"/>
        <v>0</v>
      </c>
      <c r="AV146" s="6">
        <f t="shared" si="234"/>
        <v>0</v>
      </c>
      <c r="AW146" s="6"/>
      <c r="AX146" s="6">
        <f t="shared" si="242"/>
        <v>0</v>
      </c>
      <c r="AY146" s="6">
        <f t="shared" si="235"/>
        <v>0</v>
      </c>
      <c r="AZ146" s="6">
        <f t="shared" si="236"/>
        <v>644.31271396009356</v>
      </c>
      <c r="BA146" s="6">
        <f t="shared" si="237"/>
        <v>8951.0215269710716</v>
      </c>
      <c r="BB146" s="6">
        <f t="shared" si="238"/>
        <v>5374.7685051928547</v>
      </c>
      <c r="BC146" s="6">
        <f t="shared" si="239"/>
        <v>65.366567528116832</v>
      </c>
      <c r="BD146" s="6">
        <f t="shared" si="240"/>
        <v>0</v>
      </c>
      <c r="BE146" s="6">
        <f t="shared" si="241"/>
        <v>0</v>
      </c>
      <c r="BG146" s="14">
        <f t="shared" si="243"/>
        <v>15035.469313652136</v>
      </c>
      <c r="BH146" s="19">
        <f>BG146-Direct_Capex_Totals!V138</f>
        <v>0</v>
      </c>
    </row>
    <row r="147" spans="2:61" x14ac:dyDescent="0.3">
      <c r="B147" s="174" t="str">
        <f>STN_8</f>
        <v>BDL</v>
      </c>
      <c r="E147" s="8"/>
      <c r="F147" s="8"/>
      <c r="G147" s="8"/>
      <c r="H147" s="8"/>
      <c r="I147" s="8"/>
      <c r="J147" s="8"/>
      <c r="K147" s="8"/>
      <c r="L147" s="8"/>
      <c r="M147" s="8"/>
      <c r="N147" s="6">
        <f t="shared" si="231"/>
        <v>0</v>
      </c>
      <c r="O147" s="6">
        <f t="shared" si="231"/>
        <v>0</v>
      </c>
      <c r="P147" s="6">
        <f t="shared" si="231"/>
        <v>1393.0855676738686</v>
      </c>
      <c r="Q147" s="6">
        <f t="shared" si="231"/>
        <v>3789.3663994525609</v>
      </c>
      <c r="R147" s="6">
        <f t="shared" si="231"/>
        <v>170.27635045654654</v>
      </c>
      <c r="S147" s="6">
        <f t="shared" si="231"/>
        <v>0</v>
      </c>
      <c r="T147" s="6">
        <f t="shared" si="231"/>
        <v>0</v>
      </c>
      <c r="U147" s="6">
        <f t="shared" si="231"/>
        <v>0</v>
      </c>
      <c r="V147" s="6"/>
      <c r="W147" s="6">
        <f t="shared" si="232"/>
        <v>0</v>
      </c>
      <c r="X147" s="6">
        <f t="shared" si="232"/>
        <v>0</v>
      </c>
      <c r="Y147" s="6">
        <f t="shared" si="232"/>
        <v>130.69328249999998</v>
      </c>
      <c r="Z147" s="6">
        <f t="shared" si="232"/>
        <v>1276.5884287732822</v>
      </c>
      <c r="AA147" s="6">
        <f t="shared" si="232"/>
        <v>694.40926127328237</v>
      </c>
      <c r="AB147" s="6">
        <f t="shared" si="232"/>
        <v>0</v>
      </c>
      <c r="AC147" s="6">
        <f t="shared" si="232"/>
        <v>0</v>
      </c>
      <c r="AD147" s="6">
        <f t="shared" si="232"/>
        <v>0</v>
      </c>
      <c r="AE147" s="6"/>
      <c r="AF147" s="6">
        <f t="shared" si="233"/>
        <v>0</v>
      </c>
      <c r="AG147" s="6">
        <f t="shared" si="233"/>
        <v>0</v>
      </c>
      <c r="AH147" s="6">
        <f t="shared" si="233"/>
        <v>731.98456218058652</v>
      </c>
      <c r="AI147" s="6">
        <f t="shared" si="233"/>
        <v>3767.4183131495993</v>
      </c>
      <c r="AJ147" s="6">
        <f t="shared" si="233"/>
        <v>2046.5113395214862</v>
      </c>
      <c r="AK147" s="6">
        <f t="shared" si="233"/>
        <v>0</v>
      </c>
      <c r="AL147" s="6">
        <f t="shared" si="233"/>
        <v>0</v>
      </c>
      <c r="AM147" s="6">
        <f t="shared" si="233"/>
        <v>0</v>
      </c>
      <c r="AN147" s="6"/>
      <c r="AO147" s="6">
        <f t="shared" si="234"/>
        <v>0</v>
      </c>
      <c r="AP147" s="6">
        <f t="shared" si="234"/>
        <v>0</v>
      </c>
      <c r="AQ147" s="6">
        <f t="shared" si="234"/>
        <v>0</v>
      </c>
      <c r="AR147" s="6">
        <f t="shared" si="234"/>
        <v>270.23416228229792</v>
      </c>
      <c r="AS147" s="6">
        <f t="shared" si="234"/>
        <v>331.83976260505261</v>
      </c>
      <c r="AT147" s="6">
        <f t="shared" si="234"/>
        <v>0</v>
      </c>
      <c r="AU147" s="6">
        <f t="shared" si="234"/>
        <v>0</v>
      </c>
      <c r="AV147" s="6">
        <f t="shared" si="234"/>
        <v>0</v>
      </c>
      <c r="AW147" s="6"/>
      <c r="AX147" s="6">
        <f t="shared" si="242"/>
        <v>0</v>
      </c>
      <c r="AY147" s="6">
        <f t="shared" si="235"/>
        <v>0</v>
      </c>
      <c r="AZ147" s="6">
        <f t="shared" si="236"/>
        <v>2255.7634123544549</v>
      </c>
      <c r="BA147" s="6">
        <f t="shared" si="237"/>
        <v>9103.6073036577418</v>
      </c>
      <c r="BB147" s="6">
        <f t="shared" si="238"/>
        <v>3243.0367138563679</v>
      </c>
      <c r="BC147" s="6">
        <f t="shared" si="239"/>
        <v>0</v>
      </c>
      <c r="BD147" s="6">
        <f t="shared" si="240"/>
        <v>0</v>
      </c>
      <c r="BE147" s="6">
        <f t="shared" si="241"/>
        <v>0</v>
      </c>
      <c r="BG147" s="14">
        <f t="shared" si="243"/>
        <v>14602.407429868563</v>
      </c>
      <c r="BH147" s="19">
        <f>BG147-Direct_Capex_Totals!V139</f>
        <v>0</v>
      </c>
    </row>
    <row r="148" spans="2:61" x14ac:dyDescent="0.3">
      <c r="B148" s="174" t="str">
        <f>STN_9</f>
        <v>[spare]</v>
      </c>
      <c r="E148" s="8"/>
      <c r="F148" s="8"/>
      <c r="G148" s="8"/>
      <c r="H148" s="8"/>
      <c r="I148" s="8"/>
      <c r="J148" s="8"/>
      <c r="K148" s="8"/>
      <c r="L148" s="8"/>
      <c r="M148" s="8"/>
      <c r="N148" s="6">
        <f t="shared" si="231"/>
        <v>0</v>
      </c>
      <c r="O148" s="6">
        <f t="shared" si="231"/>
        <v>0</v>
      </c>
      <c r="P148" s="6">
        <f t="shared" si="231"/>
        <v>0</v>
      </c>
      <c r="Q148" s="6">
        <f t="shared" si="231"/>
        <v>0</v>
      </c>
      <c r="R148" s="6">
        <f t="shared" si="231"/>
        <v>0</v>
      </c>
      <c r="S148" s="6">
        <f t="shared" si="231"/>
        <v>0</v>
      </c>
      <c r="T148" s="6">
        <f t="shared" si="231"/>
        <v>0</v>
      </c>
      <c r="U148" s="6">
        <f t="shared" si="231"/>
        <v>0</v>
      </c>
      <c r="V148" s="6"/>
      <c r="W148" s="6">
        <f t="shared" si="232"/>
        <v>0</v>
      </c>
      <c r="X148" s="6">
        <f t="shared" si="232"/>
        <v>0</v>
      </c>
      <c r="Y148" s="6">
        <f t="shared" si="232"/>
        <v>0</v>
      </c>
      <c r="Z148" s="6">
        <f t="shared" si="232"/>
        <v>0</v>
      </c>
      <c r="AA148" s="6">
        <f t="shared" si="232"/>
        <v>0</v>
      </c>
      <c r="AB148" s="6">
        <f t="shared" si="232"/>
        <v>0</v>
      </c>
      <c r="AC148" s="6">
        <f t="shared" si="232"/>
        <v>0</v>
      </c>
      <c r="AD148" s="6">
        <f t="shared" si="232"/>
        <v>0</v>
      </c>
      <c r="AE148" s="6"/>
      <c r="AF148" s="6">
        <f t="shared" si="233"/>
        <v>0</v>
      </c>
      <c r="AG148" s="6">
        <f t="shared" si="233"/>
        <v>0</v>
      </c>
      <c r="AH148" s="6">
        <f t="shared" si="233"/>
        <v>0</v>
      </c>
      <c r="AI148" s="6">
        <f t="shared" si="233"/>
        <v>0</v>
      </c>
      <c r="AJ148" s="6">
        <f t="shared" si="233"/>
        <v>0</v>
      </c>
      <c r="AK148" s="6">
        <f t="shared" si="233"/>
        <v>0</v>
      </c>
      <c r="AL148" s="6">
        <f t="shared" si="233"/>
        <v>0</v>
      </c>
      <c r="AM148" s="6">
        <f t="shared" si="233"/>
        <v>0</v>
      </c>
      <c r="AN148" s="6"/>
      <c r="AO148" s="6">
        <f t="shared" si="234"/>
        <v>0</v>
      </c>
      <c r="AP148" s="6">
        <f t="shared" si="234"/>
        <v>0</v>
      </c>
      <c r="AQ148" s="6">
        <f t="shared" si="234"/>
        <v>0</v>
      </c>
      <c r="AR148" s="6">
        <f t="shared" si="234"/>
        <v>0</v>
      </c>
      <c r="AS148" s="6">
        <f t="shared" si="234"/>
        <v>0</v>
      </c>
      <c r="AT148" s="6">
        <f t="shared" si="234"/>
        <v>0</v>
      </c>
      <c r="AU148" s="6">
        <f t="shared" si="234"/>
        <v>0</v>
      </c>
      <c r="AV148" s="6">
        <f t="shared" si="234"/>
        <v>0</v>
      </c>
      <c r="AW148" s="6"/>
      <c r="AX148" s="6">
        <f t="shared" si="242"/>
        <v>0</v>
      </c>
      <c r="AY148" s="6">
        <f t="shared" si="235"/>
        <v>0</v>
      </c>
      <c r="AZ148" s="6">
        <f t="shared" si="236"/>
        <v>0</v>
      </c>
      <c r="BA148" s="6">
        <f t="shared" si="237"/>
        <v>0</v>
      </c>
      <c r="BB148" s="6">
        <f t="shared" si="238"/>
        <v>0</v>
      </c>
      <c r="BC148" s="6">
        <f t="shared" si="239"/>
        <v>0</v>
      </c>
      <c r="BD148" s="6">
        <f t="shared" si="240"/>
        <v>0</v>
      </c>
      <c r="BE148" s="6">
        <f t="shared" si="241"/>
        <v>0</v>
      </c>
      <c r="BG148" s="14">
        <f t="shared" si="243"/>
        <v>0</v>
      </c>
      <c r="BH148" s="19">
        <f>BG148-Direct_Capex_Totals!V140</f>
        <v>0</v>
      </c>
    </row>
    <row r="149" spans="2:61" x14ac:dyDescent="0.3">
      <c r="B149" s="174" t="s">
        <v>122</v>
      </c>
      <c r="E149" s="8"/>
      <c r="F149" s="8"/>
      <c r="G149" s="8"/>
      <c r="H149" s="8"/>
      <c r="I149" s="8"/>
      <c r="J149" s="8"/>
      <c r="K149" s="8"/>
      <c r="L149" s="8"/>
      <c r="M149" s="8"/>
      <c r="N149" s="6">
        <f t="shared" ref="N149:U149" si="244">SUM(N125:N137)</f>
        <v>0</v>
      </c>
      <c r="O149" s="6">
        <f t="shared" si="244"/>
        <v>0</v>
      </c>
      <c r="P149" s="6">
        <f t="shared" si="244"/>
        <v>0</v>
      </c>
      <c r="Q149" s="6">
        <f t="shared" si="244"/>
        <v>3998.6740068280683</v>
      </c>
      <c r="R149" s="6">
        <f t="shared" si="244"/>
        <v>7978.5699747364524</v>
      </c>
      <c r="S149" s="6">
        <f t="shared" si="244"/>
        <v>434.57168508287293</v>
      </c>
      <c r="T149" s="6">
        <f t="shared" si="244"/>
        <v>434.57168508287293</v>
      </c>
      <c r="U149" s="6">
        <f t="shared" si="244"/>
        <v>434.57168508287293</v>
      </c>
      <c r="V149" s="6"/>
      <c r="W149" s="6">
        <f t="shared" ref="W149:AD149" si="245">SUM(W125:W137)</f>
        <v>0</v>
      </c>
      <c r="X149" s="6">
        <f t="shared" si="245"/>
        <v>0</v>
      </c>
      <c r="Y149" s="6">
        <f t="shared" si="245"/>
        <v>246.996614437788</v>
      </c>
      <c r="Z149" s="6">
        <f t="shared" si="245"/>
        <v>664.55005992303131</v>
      </c>
      <c r="AA149" s="6">
        <f t="shared" si="245"/>
        <v>1477.8033777616661</v>
      </c>
      <c r="AB149" s="6">
        <f t="shared" si="245"/>
        <v>375.45580110497235</v>
      </c>
      <c r="AC149" s="6">
        <f t="shared" si="245"/>
        <v>375.45580110497235</v>
      </c>
      <c r="AD149" s="6">
        <f t="shared" si="245"/>
        <v>375.45580110497235</v>
      </c>
      <c r="AE149" s="6"/>
      <c r="AF149" s="6">
        <f t="shared" ref="AF149:AM149" si="246">SUM(AF125:AF137)</f>
        <v>0</v>
      </c>
      <c r="AG149" s="6">
        <f t="shared" si="246"/>
        <v>0</v>
      </c>
      <c r="AH149" s="6">
        <f t="shared" si="246"/>
        <v>626.29953959484351</v>
      </c>
      <c r="AI149" s="6">
        <f t="shared" si="246"/>
        <v>1434.3045855350183</v>
      </c>
      <c r="AJ149" s="6">
        <f t="shared" si="246"/>
        <v>3219.3800580413658</v>
      </c>
      <c r="AK149" s="6">
        <f t="shared" si="246"/>
        <v>899.1748625322283</v>
      </c>
      <c r="AL149" s="6">
        <f t="shared" si="246"/>
        <v>899.1748625322283</v>
      </c>
      <c r="AM149" s="6">
        <f t="shared" si="246"/>
        <v>899.1748625322283</v>
      </c>
      <c r="AN149" s="6"/>
      <c r="AO149" s="6">
        <f t="shared" ref="AO149:AV149" si="247">SUM(AO125:AO137)</f>
        <v>0</v>
      </c>
      <c r="AP149" s="6">
        <f t="shared" si="247"/>
        <v>0</v>
      </c>
      <c r="AQ149" s="6">
        <f t="shared" si="247"/>
        <v>0</v>
      </c>
      <c r="AR149" s="6">
        <f t="shared" si="247"/>
        <v>431.80917086378736</v>
      </c>
      <c r="AS149" s="6">
        <f t="shared" si="247"/>
        <v>701.68990265365449</v>
      </c>
      <c r="AT149" s="6">
        <f t="shared" si="247"/>
        <v>0</v>
      </c>
      <c r="AU149" s="6">
        <f t="shared" si="247"/>
        <v>0</v>
      </c>
      <c r="AV149" s="6">
        <f t="shared" si="247"/>
        <v>0</v>
      </c>
      <c r="AW149" s="6"/>
      <c r="AX149" s="6">
        <f t="shared" ref="AX149:BE149" si="248">SUM(AX125:AX137)</f>
        <v>0</v>
      </c>
      <c r="AY149" s="6">
        <f t="shared" si="248"/>
        <v>0</v>
      </c>
      <c r="AZ149" s="6">
        <f t="shared" si="248"/>
        <v>873.29615403263153</v>
      </c>
      <c r="BA149" s="6">
        <f t="shared" si="248"/>
        <v>6529.3378231499046</v>
      </c>
      <c r="BB149" s="6">
        <f t="shared" si="248"/>
        <v>13377.443313193138</v>
      </c>
      <c r="BC149" s="6">
        <f t="shared" si="248"/>
        <v>1709.2023487200736</v>
      </c>
      <c r="BD149" s="6">
        <f t="shared" si="248"/>
        <v>1709.2023487200736</v>
      </c>
      <c r="BE149" s="6">
        <f t="shared" si="248"/>
        <v>1709.2023487200736</v>
      </c>
      <c r="BG149" s="14">
        <f t="shared" si="243"/>
        <v>25907.684336535898</v>
      </c>
      <c r="BH149" s="347">
        <f>BG149-Direct_Capex_Totals!V141</f>
        <v>0</v>
      </c>
    </row>
    <row r="150" spans="2:61" s="25" customFormat="1" x14ac:dyDescent="0.3">
      <c r="B150" s="25" t="s">
        <v>64</v>
      </c>
      <c r="E150" s="41"/>
      <c r="F150" s="41"/>
      <c r="G150" s="41"/>
      <c r="H150" s="41"/>
      <c r="I150" s="41"/>
      <c r="J150" s="41"/>
      <c r="K150" s="41"/>
      <c r="L150" s="41"/>
      <c r="M150" s="41"/>
      <c r="N150" s="131">
        <f t="shared" ref="N150" si="249">SUM(N140:N149)</f>
        <v>0</v>
      </c>
      <c r="O150" s="131">
        <f t="shared" ref="O150" si="250">SUM(O140:O149)</f>
        <v>0</v>
      </c>
      <c r="P150" s="131">
        <f t="shared" ref="P150" si="251">SUM(P140:P149)</f>
        <v>11263.875152416809</v>
      </c>
      <c r="Q150" s="131">
        <f t="shared" ref="Q150" si="252">SUM(Q140:Q149)</f>
        <v>34844.236490241194</v>
      </c>
      <c r="R150" s="131">
        <f>SUM(R140:R149)</f>
        <v>13680.169227781103</v>
      </c>
      <c r="S150" s="131">
        <f t="shared" ref="S150:U150" si="253">SUM(S140:S149)</f>
        <v>434.57168508287293</v>
      </c>
      <c r="T150" s="131">
        <f t="shared" si="253"/>
        <v>434.57168508287293</v>
      </c>
      <c r="U150" s="131">
        <f t="shared" si="253"/>
        <v>434.57168508287293</v>
      </c>
      <c r="V150" s="139"/>
      <c r="W150" s="131">
        <f t="shared" ref="W150" si="254">SUM(W140:W149)</f>
        <v>0</v>
      </c>
      <c r="X150" s="131">
        <f t="shared" ref="X150" si="255">SUM(X140:X149)</f>
        <v>0</v>
      </c>
      <c r="Y150" s="131">
        <f t="shared" ref="Y150" si="256">SUM(Y140:Y149)</f>
        <v>1333.9402369377879</v>
      </c>
      <c r="Z150" s="131">
        <f t="shared" ref="Z150" si="257">SUM(Z140:Z149)</f>
        <v>9574.6247348202323</v>
      </c>
      <c r="AA150" s="131">
        <f>SUM(AA140:AA149)</f>
        <v>7095.5562991475872</v>
      </c>
      <c r="AB150" s="131">
        <f t="shared" ref="AB150:AD150" si="258">SUM(AB140:AB149)</f>
        <v>456.69080110497237</v>
      </c>
      <c r="AC150" s="131">
        <f t="shared" si="258"/>
        <v>375.45580110497235</v>
      </c>
      <c r="AD150" s="131">
        <f t="shared" si="258"/>
        <v>375.45580110497235</v>
      </c>
      <c r="AE150" s="139"/>
      <c r="AF150" s="131">
        <f t="shared" ref="AF150" si="259">SUM(AF140:AF149)</f>
        <v>0</v>
      </c>
      <c r="AG150" s="131">
        <f t="shared" ref="AG150" si="260">SUM(AG140:AG149)</f>
        <v>0</v>
      </c>
      <c r="AH150" s="131">
        <f t="shared" ref="AH150" si="261">SUM(AH140:AH149)</f>
        <v>6304.2789689888541</v>
      </c>
      <c r="AI150" s="131">
        <f t="shared" ref="AI150" si="262">SUM(AI140:AI149)</f>
        <v>26338.838937818375</v>
      </c>
      <c r="AJ150" s="131">
        <f>SUM(AJ140:AJ149)</f>
        <v>18297.509488855481</v>
      </c>
      <c r="AK150" s="131">
        <f t="shared" ref="AK150:AM150" si="263">SUM(AK140:AK149)</f>
        <v>1130.3770625827658</v>
      </c>
      <c r="AL150" s="131">
        <f t="shared" si="263"/>
        <v>899.1748625322283</v>
      </c>
      <c r="AM150" s="131">
        <f t="shared" si="263"/>
        <v>899.1748625322283</v>
      </c>
      <c r="AN150" s="139"/>
      <c r="AO150" s="131">
        <f t="shared" ref="AO150" si="264">SUM(AO140:AO149)</f>
        <v>0</v>
      </c>
      <c r="AP150" s="131">
        <f t="shared" ref="AP150" si="265">SUM(AP140:AP149)</f>
        <v>0</v>
      </c>
      <c r="AQ150" s="131">
        <f t="shared" ref="AQ150" si="266">SUM(AQ140:AQ149)</f>
        <v>0</v>
      </c>
      <c r="AR150" s="131">
        <f t="shared" ref="AR150" si="267">SUM(AR140:AR149)</f>
        <v>3054.9376524051731</v>
      </c>
      <c r="AS150" s="131">
        <f>SUM(AS140:AS149)</f>
        <v>2585.0959425802794</v>
      </c>
      <c r="AT150" s="131">
        <f t="shared" ref="AT150:AV150" si="268">SUM(AT140:AT149)</f>
        <v>71.992811840421439</v>
      </c>
      <c r="AU150" s="131">
        <f t="shared" si="268"/>
        <v>0</v>
      </c>
      <c r="AV150" s="131">
        <f t="shared" si="268"/>
        <v>0</v>
      </c>
      <c r="AW150" s="139"/>
      <c r="AX150" s="131">
        <f t="shared" ref="AX150:BA150" si="269">SUM(AX140:AX149)</f>
        <v>0</v>
      </c>
      <c r="AY150" s="131">
        <f t="shared" si="269"/>
        <v>0</v>
      </c>
      <c r="AZ150" s="131">
        <f t="shared" si="269"/>
        <v>18902.094358343453</v>
      </c>
      <c r="BA150" s="131">
        <f t="shared" si="269"/>
        <v>73812.637815284979</v>
      </c>
      <c r="BB150" s="131">
        <f>SUM(BB140:BB149)</f>
        <v>41658.330958364444</v>
      </c>
      <c r="BC150" s="131">
        <f t="shared" ref="BC150:BE150" si="270">SUM(BC140:BC149)</f>
        <v>2093.6323606110327</v>
      </c>
      <c r="BD150" s="131">
        <f t="shared" si="270"/>
        <v>1709.2023487200736</v>
      </c>
      <c r="BE150" s="131">
        <f t="shared" si="270"/>
        <v>1709.2023487200736</v>
      </c>
      <c r="BF150" s="140"/>
      <c r="BG150" s="131">
        <f>SUM(BG140:BG149)</f>
        <v>139885.10019004406</v>
      </c>
      <c r="BH150" s="141">
        <f>BG150-Direct_Capex_Totals!V142</f>
        <v>0</v>
      </c>
      <c r="BI150" s="86"/>
    </row>
    <row r="151" spans="2:61" x14ac:dyDescent="0.3">
      <c r="B151" s="210" t="s">
        <v>55</v>
      </c>
      <c r="E151" s="8"/>
      <c r="F151" s="8"/>
      <c r="G151" s="8"/>
      <c r="H151" s="8"/>
      <c r="I151" s="8"/>
      <c r="J151" s="8"/>
      <c r="K151" s="8"/>
      <c r="L151" s="8"/>
      <c r="M151" s="8"/>
      <c r="N151" s="6"/>
      <c r="O151" s="6"/>
      <c r="P151" s="6"/>
      <c r="Q151" s="6"/>
      <c r="S151" s="211"/>
      <c r="T151" s="211"/>
      <c r="U151" s="211">
        <f>SUM(N150:U150)-Direct_Capex_Totals!Q142</f>
        <v>0</v>
      </c>
      <c r="V151" s="211"/>
      <c r="W151" s="211"/>
      <c r="X151" s="211"/>
      <c r="Y151" s="211"/>
      <c r="Z151" s="211"/>
      <c r="AB151" s="211"/>
      <c r="AC151" s="211"/>
      <c r="AD151" s="211">
        <f>SUM(W150:AD150)-Direct_Capex_Totals!R142</f>
        <v>0</v>
      </c>
      <c r="AE151" s="211"/>
      <c r="AF151" s="211"/>
      <c r="AG151" s="211"/>
      <c r="AH151" s="211"/>
      <c r="AI151" s="211"/>
      <c r="AK151" s="211"/>
      <c r="AM151" s="211">
        <f>SUM(AF150:AM150)-Direct_Capex_Totals!S142-Direct_Capex_Totals!T142</f>
        <v>0</v>
      </c>
      <c r="AN151" s="211"/>
      <c r="AO151" s="211"/>
      <c r="AP151" s="211"/>
      <c r="AQ151" s="211"/>
      <c r="AR151" s="211"/>
      <c r="AT151" s="211"/>
      <c r="AU151" s="211"/>
      <c r="AV151" s="211">
        <f>SUM(AO150:AV150)-Direct_Capex_Totals!U142</f>
        <v>0</v>
      </c>
      <c r="AW151" s="6"/>
      <c r="AX151" s="6"/>
      <c r="AY151" s="6"/>
      <c r="AZ151" s="6"/>
      <c r="BA151" s="6"/>
      <c r="BB151" s="6"/>
      <c r="BC151" s="6"/>
      <c r="BD151" s="6"/>
      <c r="BE151" s="6"/>
    </row>
    <row r="152" spans="2:61" x14ac:dyDescent="0.3">
      <c r="B152" s="172"/>
      <c r="E152" s="8"/>
      <c r="F152" s="8"/>
      <c r="G152" s="8"/>
      <c r="H152" s="8"/>
      <c r="I152" s="8"/>
      <c r="J152" s="8"/>
      <c r="K152" s="8"/>
      <c r="L152" s="8"/>
      <c r="M152" s="8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</row>
    <row r="153" spans="2:61" x14ac:dyDescent="0.3">
      <c r="B153" s="23" t="s">
        <v>100</v>
      </c>
      <c r="E153" s="8"/>
      <c r="F153" s="8"/>
      <c r="G153" s="8"/>
      <c r="H153" s="8"/>
      <c r="I153" s="8"/>
      <c r="J153" s="8"/>
      <c r="K153" s="8"/>
      <c r="L153" s="8"/>
      <c r="M153" s="8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</row>
    <row r="154" spans="2:61" x14ac:dyDescent="0.3">
      <c r="B154" s="140" t="s">
        <v>52</v>
      </c>
      <c r="E154" s="8"/>
      <c r="F154" s="8"/>
      <c r="G154" s="8"/>
      <c r="H154" s="8"/>
      <c r="I154" s="8"/>
      <c r="J154" s="8"/>
      <c r="K154" s="8"/>
      <c r="L154" s="8"/>
      <c r="M154" s="8"/>
      <c r="N154" s="161">
        <v>2016</v>
      </c>
      <c r="O154" s="161">
        <v>2017</v>
      </c>
      <c r="P154" s="161">
        <v>2018</v>
      </c>
      <c r="Q154" s="161">
        <v>2019</v>
      </c>
      <c r="R154" s="161">
        <v>2020</v>
      </c>
      <c r="S154" s="161">
        <v>2021</v>
      </c>
      <c r="T154" s="161">
        <v>2022</v>
      </c>
      <c r="U154" s="161">
        <v>2023</v>
      </c>
      <c r="V154" s="6"/>
      <c r="W154" s="161">
        <v>2016</v>
      </c>
      <c r="X154" s="161">
        <v>2017</v>
      </c>
      <c r="Y154" s="161">
        <v>2018</v>
      </c>
      <c r="Z154" s="161">
        <v>2019</v>
      </c>
      <c r="AA154" s="161">
        <v>2020</v>
      </c>
      <c r="AB154" s="161">
        <v>2021</v>
      </c>
      <c r="AC154" s="161">
        <v>2022</v>
      </c>
      <c r="AD154" s="161">
        <v>2023</v>
      </c>
      <c r="AE154" s="6"/>
      <c r="AF154" s="161">
        <v>2016</v>
      </c>
      <c r="AG154" s="161">
        <v>2017</v>
      </c>
      <c r="AH154" s="161">
        <v>2018</v>
      </c>
      <c r="AI154" s="161">
        <v>2019</v>
      </c>
      <c r="AJ154" s="161">
        <v>2020</v>
      </c>
      <c r="AK154" s="161">
        <v>2021</v>
      </c>
      <c r="AL154" s="161">
        <v>2022</v>
      </c>
      <c r="AM154" s="161">
        <v>2023</v>
      </c>
      <c r="AN154" s="6"/>
      <c r="AO154" s="161">
        <v>2016</v>
      </c>
      <c r="AP154" s="161">
        <v>2017</v>
      </c>
      <c r="AQ154" s="161">
        <v>2018</v>
      </c>
      <c r="AR154" s="161">
        <v>2019</v>
      </c>
      <c r="AS154" s="161">
        <v>2020</v>
      </c>
      <c r="AT154" s="161">
        <v>2021</v>
      </c>
      <c r="AU154" s="161">
        <v>2022</v>
      </c>
      <c r="AV154" s="161">
        <v>2023</v>
      </c>
      <c r="AW154" s="6"/>
      <c r="AX154" s="161">
        <v>2016</v>
      </c>
      <c r="AY154" s="161">
        <v>2017</v>
      </c>
      <c r="AZ154" s="161">
        <v>2018</v>
      </c>
      <c r="BA154" s="161">
        <v>2019</v>
      </c>
      <c r="BB154" s="161">
        <v>2020</v>
      </c>
      <c r="BC154" s="161">
        <v>2021</v>
      </c>
      <c r="BD154" s="161">
        <v>2022</v>
      </c>
      <c r="BE154" s="161">
        <v>2023</v>
      </c>
      <c r="BF154" s="161"/>
      <c r="BG154" s="4" t="s">
        <v>13</v>
      </c>
    </row>
    <row r="155" spans="2:61" x14ac:dyDescent="0.3">
      <c r="B155" s="8" t="s">
        <v>18</v>
      </c>
      <c r="E155" s="8"/>
      <c r="F155" s="8"/>
      <c r="G155" s="8"/>
      <c r="H155" s="8"/>
      <c r="I155" s="8"/>
      <c r="J155" s="8"/>
      <c r="K155" s="8"/>
      <c r="L155" s="8"/>
      <c r="M155" s="8"/>
      <c r="V155" s="6"/>
    </row>
    <row r="156" spans="2:61" x14ac:dyDescent="0.3">
      <c r="B156" s="156" t="s">
        <v>42</v>
      </c>
      <c r="E156" s="8"/>
      <c r="F156" s="156"/>
      <c r="G156" s="8"/>
      <c r="H156" s="8" t="s">
        <v>178</v>
      </c>
      <c r="I156" s="8"/>
      <c r="J156" s="8"/>
      <c r="K156" s="8"/>
      <c r="L156" s="8"/>
      <c r="M156" s="8"/>
      <c r="N156" s="6">
        <f>SUMIF($H$7:$H$137,$H156,N$7:N$137)+INDEX(Other_Tables!$L$40:$L$45,MATCH($H156,Other_Tables!$B$40:$B$45,0),)*(N$132+N$133)</f>
        <v>0</v>
      </c>
      <c r="O156" s="6">
        <f>SUMIF($H$7:$H$137,$H156,O$7:O$137)+INDEX(Other_Tables!$L$40:$L$45,MATCH($H156,Other_Tables!$B$40:$B$45,0),)*(O$132+O$133)</f>
        <v>0</v>
      </c>
      <c r="P156" s="6">
        <f>SUMIF($H$7:$H$137,$H156,P$7:P$137)+INDEX(Other_Tables!$L$40:$L$45,MATCH($H156,Other_Tables!$B$40:$B$45,0),)*(P$132+P$133)</f>
        <v>519.43459097566881</v>
      </c>
      <c r="Q156" s="6">
        <f>SUMIF($H$7:$H$137,$H156,Q$7:Q$137)+INDEX(Other_Tables!$L$40:$L$45,MATCH($H156,Other_Tables!$B$40:$B$45,0),)*(Q$132+Q$133)</f>
        <v>5978.8585782655719</v>
      </c>
      <c r="R156" s="6">
        <f>SUMIF($H$7:$H$137,$H156,R$7:R$137)+INDEX(Other_Tables!$L$40:$L$45,MATCH($H156,Other_Tables!$B$40:$B$45,0),)*(R$132+R$133)</f>
        <v>1698.4805225965235</v>
      </c>
      <c r="S156" s="6">
        <f>SUMIF($H$7:$H$137,$H156,S$7:S$137)+INDEX(Other_Tables!$L$40:$L$45,MATCH($H156,Other_Tables!$B$40:$B$45,0),)*(S$132+S$133)</f>
        <v>0</v>
      </c>
      <c r="T156" s="6">
        <f>SUMIF($H$7:$H$137,$H156,T$7:T$137)+INDEX(Other_Tables!$L$40:$L$45,MATCH($H156,Other_Tables!$B$40:$B$45,0),)*(T$132+T$133)</f>
        <v>0</v>
      </c>
      <c r="U156" s="6">
        <f>SUMIF($H$7:$H$137,$H156,U$7:U$137)+INDEX(Other_Tables!$L$40:$L$45,MATCH($H156,Other_Tables!$B$40:$B$45,0),)*(U$132+U$133)</f>
        <v>0</v>
      </c>
      <c r="V156" s="6"/>
      <c r="W156" s="6">
        <f>SUMIF($H$7:$H$137,$H156,W$7:W$137)+INDEX(Other_Tables!$L$40:$L$45,MATCH($H156,Other_Tables!$B$40:$B$45,0),)*(W$132+W$133)</f>
        <v>0</v>
      </c>
      <c r="X156" s="6">
        <f>SUMIF($H$7:$H$137,$H156,X$7:X$137)+INDEX(Other_Tables!$L$40:$L$45,MATCH($H156,Other_Tables!$B$40:$B$45,0),)*(X$132+X$133)</f>
        <v>0</v>
      </c>
      <c r="Y156" s="6">
        <f>SUMIF($H$7:$H$137,$H156,Y$7:Y$137)+INDEX(Other_Tables!$L$40:$L$45,MATCH($H156,Other_Tables!$B$40:$B$45,0),)*(Y$132+Y$133)</f>
        <v>599.46245139464327</v>
      </c>
      <c r="Z156" s="6">
        <f>SUMIF($H$7:$H$137,$H156,Z$7:Z$137)+INDEX(Other_Tables!$L$40:$L$45,MATCH($H156,Other_Tables!$B$40:$B$45,0),)*(Z$132+Z$133)</f>
        <v>1980.0672361518571</v>
      </c>
      <c r="AA156" s="6">
        <f>SUMIF($H$7:$H$137,$H156,AA$7:AA$137)+INDEX(Other_Tables!$L$40:$L$45,MATCH($H156,Other_Tables!$B$40:$B$45,0),)*(AA$132+AA$133)</f>
        <v>613.83836899164567</v>
      </c>
      <c r="AB156" s="6">
        <f>SUMIF($H$7:$H$137,$H156,AB$7:AB$137)+INDEX(Other_Tables!$L$40:$L$45,MATCH($H156,Other_Tables!$B$40:$B$45,0),)*(AB$132+AB$133)</f>
        <v>41.081732802556232</v>
      </c>
      <c r="AC156" s="6">
        <f>SUMIF($H$7:$H$137,$H156,AC$7:AC$137)+INDEX(Other_Tables!$L$40:$L$45,MATCH($H156,Other_Tables!$B$40:$B$45,0),)*(AC$132+AC$133)</f>
        <v>0</v>
      </c>
      <c r="AD156" s="6">
        <f>SUMIF($H$7:$H$137,$H156,AD$7:AD$137)+INDEX(Other_Tables!$L$40:$L$45,MATCH($H156,Other_Tables!$B$40:$B$45,0),)*(AD$132+AD$133)</f>
        <v>0</v>
      </c>
      <c r="AE156" s="6"/>
      <c r="AF156" s="6">
        <f>SUMIF($H$7:$H$137,$H156,AF$7:AF$137)+INDEX(Other_Tables!$L$40:$L$45,MATCH($H156,Other_Tables!$B$40:$B$45,0),)*(AF$132+AF$133)</f>
        <v>0</v>
      </c>
      <c r="AG156" s="6">
        <f>SUMIF($H$7:$H$137,$H156,AG$7:AG$137)+INDEX(Other_Tables!$L$40:$L$45,MATCH($H156,Other_Tables!$B$40:$B$45,0),)*(AG$132+AG$133)</f>
        <v>0</v>
      </c>
      <c r="AH156" s="6">
        <f>SUMIF($H$7:$H$137,$H156,AH$7:AH$137)+INDEX(Other_Tables!$L$40:$L$45,MATCH($H156,Other_Tables!$B$40:$B$45,0),)*(AH$132+AH$133)</f>
        <v>2958.116804910203</v>
      </c>
      <c r="AI156" s="6">
        <f>SUMIF($H$7:$H$137,$H156,AI$7:AI$137)+INDEX(Other_Tables!$L$40:$L$45,MATCH($H156,Other_Tables!$B$40:$B$45,0),)*(AI$132+AI$133)</f>
        <v>9050.7048151997496</v>
      </c>
      <c r="AJ156" s="6">
        <f>SUMIF($H$7:$H$137,$H156,AJ$7:AJ$137)+INDEX(Other_Tables!$L$40:$L$45,MATCH($H156,Other_Tables!$B$40:$B$45,0),)*(AJ$132+AJ$133)</f>
        <v>2651.9135795934999</v>
      </c>
      <c r="AK156" s="6">
        <f>SUMIF($H$7:$H$137,$H156,AK$7:AK$137)+INDEX(Other_Tables!$L$40:$L$45,MATCH($H156,Other_Tables!$B$40:$B$45,0),)*(AK$132+AK$133)</f>
        <v>170.47003247790252</v>
      </c>
      <c r="AL156" s="6">
        <f>SUMIF($H$7:$H$137,$H156,AL$7:AL$137)+INDEX(Other_Tables!$L$40:$L$45,MATCH($H156,Other_Tables!$B$40:$B$45,0),)*(AL$132+AL$133)</f>
        <v>0</v>
      </c>
      <c r="AM156" s="6">
        <f>SUMIF($H$7:$H$137,$H156,AM$7:AM$137)+INDEX(Other_Tables!$L$40:$L$45,MATCH($H156,Other_Tables!$B$40:$B$45,0),)*(AM$132+AM$133)</f>
        <v>0</v>
      </c>
      <c r="AN156" s="6"/>
      <c r="AO156" s="6">
        <f>SUMIF($H$7:$H$137,$H156,AO$7:AO$137)+INDEX(Other_Tables!$L$40:$L$45,MATCH($H156,Other_Tables!$B$40:$B$45,0),)*(AO$132+AO$133)</f>
        <v>0</v>
      </c>
      <c r="AP156" s="6">
        <f>SUMIF($H$7:$H$137,$H156,AP$7:AP$137)+INDEX(Other_Tables!$L$40:$L$45,MATCH($H156,Other_Tables!$B$40:$B$45,0),)*(AP$132+AP$133)</f>
        <v>0</v>
      </c>
      <c r="AQ156" s="6">
        <f>SUMIF($H$7:$H$137,$H156,AQ$7:AQ$137)+INDEX(Other_Tables!$L$40:$L$45,MATCH($H156,Other_Tables!$B$40:$B$45,0),)*(AQ$132+AQ$133)</f>
        <v>0</v>
      </c>
      <c r="AR156" s="6">
        <f>SUMIF($H$7:$H$137,$H156,AR$7:AR$137)+INDEX(Other_Tables!$L$40:$L$45,MATCH($H156,Other_Tables!$B$40:$B$45,0),)*(AR$132+AR$133)</f>
        <v>1599.2363974474729</v>
      </c>
      <c r="AS156" s="6">
        <f>SUMIF($H$7:$H$137,$H156,AS$7:AS$137)+INDEX(Other_Tables!$L$40:$L$45,MATCH($H156,Other_Tables!$B$40:$B$45,0),)*(AS$132+AS$133)</f>
        <v>899.96015047997616</v>
      </c>
      <c r="AT156" s="6">
        <f>SUMIF($H$7:$H$137,$H156,AT$7:AT$137)+INDEX(Other_Tables!$L$40:$L$45,MATCH($H156,Other_Tables!$B$40:$B$45,0),)*(AT$132+AT$133)</f>
        <v>70.774764510771348</v>
      </c>
      <c r="AU156" s="6">
        <f>SUMIF($H$7:$H$137,$H156,AU$7:AU$137)+INDEX(Other_Tables!$L$40:$L$45,MATCH($H156,Other_Tables!$B$40:$B$45,0),)*(AU$132+AU$133)</f>
        <v>0</v>
      </c>
      <c r="AV156" s="6">
        <f>SUMIF($H$7:$H$137,$H156,AV$7:AV$137)+INDEX(Other_Tables!$L$40:$L$45,MATCH($H156,Other_Tables!$B$40:$B$45,0),)*(AV$132+AV$133)</f>
        <v>0</v>
      </c>
      <c r="AW156" s="6"/>
      <c r="AX156" s="6">
        <f t="shared" ref="AX156:AX164" si="271">N156+W156+AF156+AO156</f>
        <v>0</v>
      </c>
      <c r="AY156" s="6">
        <f t="shared" ref="AY156:AY164" si="272">O156+X156+AG156+AP156</f>
        <v>0</v>
      </c>
      <c r="AZ156" s="6">
        <f t="shared" ref="AZ156:AZ164" si="273">P156+Y156+AH156+AQ156</f>
        <v>4077.0138472805152</v>
      </c>
      <c r="BA156" s="6">
        <f t="shared" ref="BA156:BA164" si="274">Q156+Z156+AI156+AR156</f>
        <v>18608.867027064651</v>
      </c>
      <c r="BB156" s="6">
        <f t="shared" ref="BB156:BB164" si="275">R156+AA156+AJ156+AS156</f>
        <v>5864.1926216616448</v>
      </c>
      <c r="BC156" s="6">
        <f t="shared" ref="BC156:BC158" si="276">S156+AB156+AK156+AT156</f>
        <v>282.32652979123009</v>
      </c>
      <c r="BD156" s="6">
        <f t="shared" ref="BD156:BD158" si="277">T156+AC156+AL156+AU156</f>
        <v>0</v>
      </c>
      <c r="BE156" s="6">
        <f t="shared" ref="BE156:BE158" si="278">U156+AD156+AM156+AV156</f>
        <v>0</v>
      </c>
      <c r="BG156" s="14">
        <f>SUM(AX156:BE156)</f>
        <v>28832.400025798041</v>
      </c>
    </row>
    <row r="157" spans="2:61" x14ac:dyDescent="0.3">
      <c r="B157" s="156" t="s">
        <v>44</v>
      </c>
      <c r="E157" s="8"/>
      <c r="F157" s="156"/>
      <c r="G157" s="8"/>
      <c r="H157" s="8" t="s">
        <v>181</v>
      </c>
      <c r="I157" s="8"/>
      <c r="J157" s="8"/>
      <c r="K157" s="8"/>
      <c r="L157" s="8"/>
      <c r="M157" s="8"/>
      <c r="N157" s="6">
        <f>SUMIF($H$7:$H$137,$H157,N$7:N$137)+INDEX(Other_Tables!$L$40:$L$45,MATCH($H157,Other_Tables!$B$40:$B$45,0),)*(N$132+N$133)</f>
        <v>0</v>
      </c>
      <c r="O157" s="6">
        <f>SUMIF($H$7:$H$137,$H157,O$7:O$137)+INDEX(Other_Tables!$L$40:$L$45,MATCH($H157,Other_Tables!$B$40:$B$45,0),)*(O$132+O$133)</f>
        <v>0</v>
      </c>
      <c r="P157" s="6">
        <f>SUMIF($H$7:$H$137,$H157,P$7:P$137)+INDEX(Other_Tables!$L$40:$L$45,MATCH($H157,Other_Tables!$B$40:$B$45,0),)*(P$132+P$133)</f>
        <v>0</v>
      </c>
      <c r="Q157" s="6">
        <f>SUMIF($H$7:$H$137,$H157,Q$7:Q$137)+INDEX(Other_Tables!$L$40:$L$45,MATCH($H157,Other_Tables!$B$40:$B$45,0),)*(Q$132+Q$133)</f>
        <v>0</v>
      </c>
      <c r="R157" s="6">
        <f>SUMIF($H$7:$H$137,$H157,R$7:R$137)+INDEX(Other_Tables!$L$40:$L$45,MATCH($H157,Other_Tables!$B$40:$B$45,0),)*(R$132+R$133)</f>
        <v>0</v>
      </c>
      <c r="S157" s="6">
        <f>SUMIF($H$7:$H$137,$H157,S$7:S$137)+INDEX(Other_Tables!$L$40:$L$45,MATCH($H157,Other_Tables!$B$40:$B$45,0),)*(S$132+S$133)</f>
        <v>0</v>
      </c>
      <c r="T157" s="6">
        <f>SUMIF($H$7:$H$137,$H157,T$7:T$137)+INDEX(Other_Tables!$L$40:$L$45,MATCH($H157,Other_Tables!$B$40:$B$45,0),)*(T$132+T$133)</f>
        <v>0</v>
      </c>
      <c r="U157" s="6">
        <f>SUMIF($H$7:$H$137,$H157,U$7:U$137)+INDEX(Other_Tables!$L$40:$L$45,MATCH($H157,Other_Tables!$B$40:$B$45,0),)*(U$132+U$133)</f>
        <v>0</v>
      </c>
      <c r="V157" s="6"/>
      <c r="W157" s="6">
        <f>SUMIF($H$7:$H$137,$H157,W$7:W$137)+INDEX(Other_Tables!$L$40:$L$45,MATCH($H157,Other_Tables!$B$40:$B$45,0),)*(W$132+W$133)</f>
        <v>0</v>
      </c>
      <c r="X157" s="6">
        <f>SUMIF($H$7:$H$137,$H157,X$7:X$137)+INDEX(Other_Tables!$L$40:$L$45,MATCH($H157,Other_Tables!$B$40:$B$45,0),)*(X$132+X$133)</f>
        <v>0</v>
      </c>
      <c r="Y157" s="6">
        <f>SUMIF($H$7:$H$137,$H157,Y$7:Y$137)+INDEX(Other_Tables!$L$40:$L$45,MATCH($H157,Other_Tables!$B$40:$B$45,0),)*(Y$132+Y$133)</f>
        <v>0</v>
      </c>
      <c r="Z157" s="6">
        <f>SUMIF($H$7:$H$137,$H157,Z$7:Z$137)+INDEX(Other_Tables!$L$40:$L$45,MATCH($H157,Other_Tables!$B$40:$B$45,0),)*(Z$132+Z$133)</f>
        <v>0</v>
      </c>
      <c r="AA157" s="6">
        <f>SUMIF($H$7:$H$137,$H157,AA$7:AA$137)+INDEX(Other_Tables!$L$40:$L$45,MATCH($H157,Other_Tables!$B$40:$B$45,0),)*(AA$132+AA$133)</f>
        <v>0</v>
      </c>
      <c r="AB157" s="6">
        <f>SUMIF($H$7:$H$137,$H157,AB$7:AB$137)+INDEX(Other_Tables!$L$40:$L$45,MATCH($H157,Other_Tables!$B$40:$B$45,0),)*(AB$132+AB$133)</f>
        <v>0</v>
      </c>
      <c r="AC157" s="6">
        <f>SUMIF($H$7:$H$137,$H157,AC$7:AC$137)+INDEX(Other_Tables!$L$40:$L$45,MATCH($H157,Other_Tables!$B$40:$B$45,0),)*(AC$132+AC$133)</f>
        <v>0</v>
      </c>
      <c r="AD157" s="6">
        <f>SUMIF($H$7:$H$137,$H157,AD$7:AD$137)+INDEX(Other_Tables!$L$40:$L$45,MATCH($H157,Other_Tables!$B$40:$B$45,0),)*(AD$132+AD$133)</f>
        <v>0</v>
      </c>
      <c r="AE157" s="6"/>
      <c r="AF157" s="6">
        <f>SUMIF($H$7:$H$137,$H157,AF$7:AF$137)+INDEX(Other_Tables!$L$40:$L$45,MATCH($H157,Other_Tables!$B$40:$B$45,0),)*(AF$132+AF$133)</f>
        <v>0</v>
      </c>
      <c r="AG157" s="6">
        <f>SUMIF($H$7:$H$137,$H157,AG$7:AG$137)+INDEX(Other_Tables!$L$40:$L$45,MATCH($H157,Other_Tables!$B$40:$B$45,0),)*(AG$132+AG$133)</f>
        <v>0</v>
      </c>
      <c r="AH157" s="6">
        <f>SUMIF($H$7:$H$137,$H157,AH$7:AH$137)+INDEX(Other_Tables!$L$40:$L$45,MATCH($H157,Other_Tables!$B$40:$B$45,0),)*(AH$132+AH$133)</f>
        <v>0</v>
      </c>
      <c r="AI157" s="6">
        <f>SUMIF($H$7:$H$137,$H157,AI$7:AI$137)+INDEX(Other_Tables!$L$40:$L$45,MATCH($H157,Other_Tables!$B$40:$B$45,0),)*(AI$132+AI$133)</f>
        <v>0</v>
      </c>
      <c r="AJ157" s="6">
        <f>SUMIF($H$7:$H$137,$H157,AJ$7:AJ$137)+INDEX(Other_Tables!$L$40:$L$45,MATCH($H157,Other_Tables!$B$40:$B$45,0),)*(AJ$132+AJ$133)</f>
        <v>0</v>
      </c>
      <c r="AK157" s="6">
        <f>SUMIF($H$7:$H$137,$H157,AK$7:AK$137)+INDEX(Other_Tables!$L$40:$L$45,MATCH($H157,Other_Tables!$B$40:$B$45,0),)*(AK$132+AK$133)</f>
        <v>0</v>
      </c>
      <c r="AL157" s="6">
        <f>SUMIF($H$7:$H$137,$H157,AL$7:AL$137)+INDEX(Other_Tables!$L$40:$L$45,MATCH($H157,Other_Tables!$B$40:$B$45,0),)*(AL$132+AL$133)</f>
        <v>0</v>
      </c>
      <c r="AM157" s="6">
        <f>SUMIF($H$7:$H$137,$H157,AM$7:AM$137)+INDEX(Other_Tables!$L$40:$L$45,MATCH($H157,Other_Tables!$B$40:$B$45,0),)*(AM$132+AM$133)</f>
        <v>0</v>
      </c>
      <c r="AN157" s="6"/>
      <c r="AO157" s="6">
        <f>SUMIF($H$7:$H$137,$H157,AO$7:AO$137)+INDEX(Other_Tables!$L$40:$L$45,MATCH($H157,Other_Tables!$B$40:$B$45,0),)*(AO$132+AO$133)</f>
        <v>0</v>
      </c>
      <c r="AP157" s="6">
        <f>SUMIF($H$7:$H$137,$H157,AP$7:AP$137)+INDEX(Other_Tables!$L$40:$L$45,MATCH($H157,Other_Tables!$B$40:$B$45,0),)*(AP$132+AP$133)</f>
        <v>0</v>
      </c>
      <c r="AQ157" s="6">
        <f>SUMIF($H$7:$H$137,$H157,AQ$7:AQ$137)+INDEX(Other_Tables!$L$40:$L$45,MATCH($H157,Other_Tables!$B$40:$B$45,0),)*(AQ$132+AQ$133)</f>
        <v>0</v>
      </c>
      <c r="AR157" s="6">
        <f>SUMIF($H$7:$H$137,$H157,AR$7:AR$137)+INDEX(Other_Tables!$L$40:$L$45,MATCH($H157,Other_Tables!$B$40:$B$45,0),)*(AR$132+AR$133)</f>
        <v>0</v>
      </c>
      <c r="AS157" s="6">
        <f>SUMIF($H$7:$H$137,$H157,AS$7:AS$137)+INDEX(Other_Tables!$L$40:$L$45,MATCH($H157,Other_Tables!$B$40:$B$45,0),)*(AS$132+AS$133)</f>
        <v>0</v>
      </c>
      <c r="AT157" s="6">
        <f>SUMIF($H$7:$H$137,$H157,AT$7:AT$137)+INDEX(Other_Tables!$L$40:$L$45,MATCH($H157,Other_Tables!$B$40:$B$45,0),)*(AT$132+AT$133)</f>
        <v>0</v>
      </c>
      <c r="AU157" s="6">
        <f>SUMIF($H$7:$H$137,$H157,AU$7:AU$137)+INDEX(Other_Tables!$L$40:$L$45,MATCH($H157,Other_Tables!$B$40:$B$45,0),)*(AU$132+AU$133)</f>
        <v>0</v>
      </c>
      <c r="AV157" s="6">
        <f>SUMIF($H$7:$H$137,$H157,AV$7:AV$137)+INDEX(Other_Tables!$L$40:$L$45,MATCH($H157,Other_Tables!$B$40:$B$45,0),)*(AV$132+AV$133)</f>
        <v>0</v>
      </c>
      <c r="AW157" s="6"/>
      <c r="AX157" s="6">
        <f t="shared" si="271"/>
        <v>0</v>
      </c>
      <c r="AY157" s="6">
        <f t="shared" si="272"/>
        <v>0</v>
      </c>
      <c r="AZ157" s="6">
        <f t="shared" si="273"/>
        <v>0</v>
      </c>
      <c r="BA157" s="6">
        <f t="shared" si="274"/>
        <v>0</v>
      </c>
      <c r="BB157" s="6">
        <f t="shared" si="275"/>
        <v>0</v>
      </c>
      <c r="BC157" s="6">
        <f t="shared" si="276"/>
        <v>0</v>
      </c>
      <c r="BD157" s="6">
        <f t="shared" si="277"/>
        <v>0</v>
      </c>
      <c r="BE157" s="6">
        <f t="shared" si="278"/>
        <v>0</v>
      </c>
      <c r="BG157" s="14">
        <f>SUM(AX157:BE157)</f>
        <v>0</v>
      </c>
    </row>
    <row r="158" spans="2:61" x14ac:dyDescent="0.3">
      <c r="B158" s="156" t="s">
        <v>102</v>
      </c>
      <c r="E158" s="8"/>
      <c r="F158" s="156"/>
      <c r="G158" s="8"/>
      <c r="H158" s="8"/>
      <c r="I158" s="8"/>
      <c r="J158" s="8"/>
      <c r="K158" s="8"/>
      <c r="L158" s="8"/>
      <c r="M158" s="8"/>
      <c r="N158" s="24">
        <f>SUM(N156:N157)</f>
        <v>0</v>
      </c>
      <c r="O158" s="24">
        <f t="shared" ref="O158:U158" si="279">SUM(O156:O157)</f>
        <v>0</v>
      </c>
      <c r="P158" s="24">
        <f t="shared" si="279"/>
        <v>519.43459097566881</v>
      </c>
      <c r="Q158" s="24">
        <f t="shared" si="279"/>
        <v>5978.8585782655719</v>
      </c>
      <c r="R158" s="24">
        <f t="shared" si="279"/>
        <v>1698.4805225965235</v>
      </c>
      <c r="S158" s="24">
        <f t="shared" si="279"/>
        <v>0</v>
      </c>
      <c r="T158" s="24">
        <f t="shared" si="279"/>
        <v>0</v>
      </c>
      <c r="U158" s="24">
        <f t="shared" si="279"/>
        <v>0</v>
      </c>
      <c r="V158" s="6"/>
      <c r="W158" s="24">
        <f>SUM(W156:W157)</f>
        <v>0</v>
      </c>
      <c r="X158" s="24">
        <f>SUM(X156:X157)</f>
        <v>0</v>
      </c>
      <c r="Y158" s="24">
        <f>SUM(Y156:Y157)</f>
        <v>599.46245139464327</v>
      </c>
      <c r="Z158" s="24">
        <f>SUM(Z156:Z157)</f>
        <v>1980.0672361518571</v>
      </c>
      <c r="AA158" s="24">
        <f>SUM(AA156:AA157)</f>
        <v>613.83836899164567</v>
      </c>
      <c r="AB158" s="24">
        <f t="shared" ref="AB158:AD158" si="280">SUM(AB156:AB157)</f>
        <v>41.081732802556232</v>
      </c>
      <c r="AC158" s="24">
        <f t="shared" si="280"/>
        <v>0</v>
      </c>
      <c r="AD158" s="24">
        <f t="shared" si="280"/>
        <v>0</v>
      </c>
      <c r="AE158" s="6"/>
      <c r="AF158" s="24">
        <f>SUM(AF156:AF157)</f>
        <v>0</v>
      </c>
      <c r="AG158" s="24">
        <f>SUM(AG156:AG157)</f>
        <v>0</v>
      </c>
      <c r="AH158" s="24">
        <f>SUM(AH156:AH157)</f>
        <v>2958.116804910203</v>
      </c>
      <c r="AI158" s="24">
        <f>SUM(AI156:AI157)</f>
        <v>9050.7048151997496</v>
      </c>
      <c r="AJ158" s="24">
        <f>SUM(AJ156:AJ157)</f>
        <v>2651.9135795934999</v>
      </c>
      <c r="AK158" s="24">
        <f t="shared" ref="AK158:AM158" si="281">SUM(AK156:AK157)</f>
        <v>170.47003247790252</v>
      </c>
      <c r="AL158" s="24">
        <f t="shared" si="281"/>
        <v>0</v>
      </c>
      <c r="AM158" s="24">
        <f t="shared" si="281"/>
        <v>0</v>
      </c>
      <c r="AN158" s="6"/>
      <c r="AO158" s="24">
        <f>SUM(AO156:AO157)</f>
        <v>0</v>
      </c>
      <c r="AP158" s="24">
        <f>SUM(AP156:AP157)</f>
        <v>0</v>
      </c>
      <c r="AQ158" s="24">
        <f>SUM(AQ156:AQ157)</f>
        <v>0</v>
      </c>
      <c r="AR158" s="24">
        <f>SUM(AR156:AR157)</f>
        <v>1599.2363974474729</v>
      </c>
      <c r="AS158" s="24">
        <f>SUM(AS156:AS157)</f>
        <v>899.96015047997616</v>
      </c>
      <c r="AT158" s="24">
        <f t="shared" ref="AT158:AV158" si="282">SUM(AT156:AT157)</f>
        <v>70.774764510771348</v>
      </c>
      <c r="AU158" s="24">
        <f t="shared" si="282"/>
        <v>0</v>
      </c>
      <c r="AV158" s="24">
        <f t="shared" si="282"/>
        <v>0</v>
      </c>
      <c r="AW158" s="6"/>
      <c r="AX158" s="24">
        <f>N158+W158+AF158+AO158</f>
        <v>0</v>
      </c>
      <c r="AY158" s="24">
        <f>O158+X158+AG158+AP158</f>
        <v>0</v>
      </c>
      <c r="AZ158" s="24">
        <f>P158+Y158+AH158+AQ158</f>
        <v>4077.0138472805152</v>
      </c>
      <c r="BA158" s="24">
        <f>Q158+Z158+AI158+AR158</f>
        <v>18608.867027064651</v>
      </c>
      <c r="BB158" s="24">
        <f>R158+AA158+AJ158+AS158</f>
        <v>5864.1926216616448</v>
      </c>
      <c r="BC158" s="24">
        <f t="shared" si="276"/>
        <v>282.32652979123009</v>
      </c>
      <c r="BD158" s="24">
        <f t="shared" si="277"/>
        <v>0</v>
      </c>
      <c r="BE158" s="24">
        <f t="shared" si="278"/>
        <v>0</v>
      </c>
      <c r="BG158" s="21">
        <f>SUM(BG156:BG157)</f>
        <v>28832.400025798041</v>
      </c>
    </row>
    <row r="159" spans="2:61" x14ac:dyDescent="0.3">
      <c r="B159" s="8" t="s">
        <v>19</v>
      </c>
      <c r="E159" s="8"/>
      <c r="F159" s="8"/>
      <c r="G159" s="8"/>
      <c r="H159" s="8"/>
      <c r="I159" s="8"/>
      <c r="J159" s="8"/>
      <c r="K159" s="8"/>
      <c r="L159" s="8"/>
      <c r="M159" s="8"/>
      <c r="V159" s="6"/>
    </row>
    <row r="160" spans="2:61" x14ac:dyDescent="0.3">
      <c r="B160" s="156" t="s">
        <v>42</v>
      </c>
      <c r="E160" s="8"/>
      <c r="F160" s="156"/>
      <c r="G160" s="8"/>
      <c r="H160" s="8" t="s">
        <v>176</v>
      </c>
      <c r="I160" s="8"/>
      <c r="J160" s="8"/>
      <c r="K160" s="8"/>
      <c r="L160" s="8"/>
      <c r="M160" s="8"/>
      <c r="N160" s="6">
        <f>SUMIF($H$7:$H$137,$H160,N$7:N$137)+INDEX(Other_Tables!$L$40:$L$45,MATCH($H160,Other_Tables!$B$40:$B$45,0),)*(N$132+N$133)</f>
        <v>0</v>
      </c>
      <c r="O160" s="6">
        <f>SUMIF($H$7:$H$137,$H160,O$7:O$137)+INDEX(Other_Tables!$L$40:$L$45,MATCH($H160,Other_Tables!$B$40:$B$45,0),)*(O$132+O$133)</f>
        <v>0</v>
      </c>
      <c r="P160" s="6">
        <f>SUMIF($H$7:$H$137,$H160,P$7:P$137)+INDEX(Other_Tables!$L$40:$L$45,MATCH($H160,Other_Tables!$B$40:$B$45,0),)*(P$132+P$133)</f>
        <v>5693.6457799656537</v>
      </c>
      <c r="Q160" s="6">
        <f>SUMIF($H$7:$H$137,$H160,Q$7:Q$137)+INDEX(Other_Tables!$L$40:$L$45,MATCH($H160,Other_Tables!$B$40:$B$45,0),)*(Q$132+Q$133)</f>
        <v>6540.2457593134714</v>
      </c>
      <c r="R160" s="6">
        <f>SUMIF($H$7:$H$137,$H160,R$7:R$137)+INDEX(Other_Tables!$L$40:$L$45,MATCH($H160,Other_Tables!$B$40:$B$45,0),)*(R$132+R$133)</f>
        <v>179.62983425414365</v>
      </c>
      <c r="S160" s="6">
        <f>SUMIF($H$7:$H$137,$H160,S$7:S$137)+INDEX(Other_Tables!$L$40:$L$45,MATCH($H160,Other_Tables!$B$40:$B$45,0),)*(S$132+S$133)</f>
        <v>0</v>
      </c>
      <c r="T160" s="6">
        <f>SUMIF($H$7:$H$137,$H160,T$7:T$137)+INDEX(Other_Tables!$L$40:$L$45,MATCH($H160,Other_Tables!$B$40:$B$45,0),)*(T$132+T$133)</f>
        <v>0</v>
      </c>
      <c r="U160" s="6">
        <f>SUMIF($H$7:$H$137,$H160,U$7:U$137)+INDEX(Other_Tables!$L$40:$L$45,MATCH($H160,Other_Tables!$B$40:$B$45,0),)*(U$132+U$133)</f>
        <v>0</v>
      </c>
      <c r="V160" s="6"/>
      <c r="W160" s="6">
        <f>SUMIF($H$7:$H$137,$H160,W$7:W$137)+INDEX(Other_Tables!$L$40:$L$45,MATCH($H160,Other_Tables!$B$40:$B$45,0),)*(W$132+W$133)</f>
        <v>0</v>
      </c>
      <c r="X160" s="6">
        <f>SUMIF($H$7:$H$137,$H160,X$7:X$137)+INDEX(Other_Tables!$L$40:$L$45,MATCH($H160,Other_Tables!$B$40:$B$45,0),)*(X$132+X$133)</f>
        <v>0</v>
      </c>
      <c r="Y160" s="6">
        <f>SUMIF($H$7:$H$137,$H160,Y$7:Y$137)+INDEX(Other_Tables!$L$40:$L$45,MATCH($H160,Other_Tables!$B$40:$B$45,0),)*(Y$132+Y$133)</f>
        <v>60.872406950139855</v>
      </c>
      <c r="Z160" s="6">
        <f>SUMIF($H$7:$H$137,$H160,Z$7:Z$137)+INDEX(Other_Tables!$L$40:$L$45,MATCH($H160,Other_Tables!$B$40:$B$45,0),)*(Z$132+Z$133)</f>
        <v>1751.5197163656476</v>
      </c>
      <c r="AA160" s="6">
        <f>SUMIF($H$7:$H$137,$H160,AA$7:AA$137)+INDEX(Other_Tables!$L$40:$L$45,MATCH($H160,Other_Tables!$B$40:$B$45,0),)*(AA$132+AA$133)</f>
        <v>1675.1930128064507</v>
      </c>
      <c r="AB160" s="6">
        <f>SUMIF($H$7:$H$137,$H160,AB$7:AB$137)+INDEX(Other_Tables!$L$40:$L$45,MATCH($H160,Other_Tables!$B$40:$B$45,0),)*(AB$132+AB$133)</f>
        <v>0</v>
      </c>
      <c r="AC160" s="6">
        <f>SUMIF($H$7:$H$137,$H160,AC$7:AC$137)+INDEX(Other_Tables!$L$40:$L$45,MATCH($H160,Other_Tables!$B$40:$B$45,0),)*(AC$132+AC$133)</f>
        <v>0</v>
      </c>
      <c r="AD160" s="6">
        <f>SUMIF($H$7:$H$137,$H160,AD$7:AD$137)+INDEX(Other_Tables!$L$40:$L$45,MATCH($H160,Other_Tables!$B$40:$B$45,0),)*(AD$132+AD$133)</f>
        <v>0</v>
      </c>
      <c r="AE160" s="6"/>
      <c r="AF160" s="6">
        <f>SUMIF($H$7:$H$137,$H160,AF$7:AF$137)+INDEX(Other_Tables!$L$40:$L$45,MATCH($H160,Other_Tables!$B$40:$B$45,0),)*(AF$132+AF$133)</f>
        <v>0</v>
      </c>
      <c r="AG160" s="6">
        <f>SUMIF($H$7:$H$137,$H160,AG$7:AG$137)+INDEX(Other_Tables!$L$40:$L$45,MATCH($H160,Other_Tables!$B$40:$B$45,0),)*(AG$132+AG$133)</f>
        <v>0</v>
      </c>
      <c r="AH160" s="6">
        <f>SUMIF($H$7:$H$137,$H160,AH$7:AH$137)+INDEX(Other_Tables!$L$40:$L$45,MATCH($H160,Other_Tables!$B$40:$B$45,0),)*(AH$132+AH$133)</f>
        <v>1821.173018133539</v>
      </c>
      <c r="AI160" s="6">
        <f>SUMIF($H$7:$H$137,$H160,AI$7:AI$137)+INDEX(Other_Tables!$L$40:$L$45,MATCH($H160,Other_Tables!$B$40:$B$45,0),)*(AI$132+AI$133)</f>
        <v>6127.0997673503825</v>
      </c>
      <c r="AJ160" s="6">
        <f>SUMIF($H$7:$H$137,$H160,AJ$7:AJ$137)+INDEX(Other_Tables!$L$40:$L$45,MATCH($H160,Other_Tables!$B$40:$B$45,0),)*(AJ$132+AJ$133)</f>
        <v>5993.1208580592865</v>
      </c>
      <c r="AK160" s="6">
        <f>SUMIF($H$7:$H$137,$H160,AK$7:AK$137)+INDEX(Other_Tables!$L$40:$L$45,MATCH($H160,Other_Tables!$B$40:$B$45,0),)*(AK$132+AK$133)</f>
        <v>0</v>
      </c>
      <c r="AL160" s="6">
        <f>SUMIF($H$7:$H$137,$H160,AL$7:AL$137)+INDEX(Other_Tables!$L$40:$L$45,MATCH($H160,Other_Tables!$B$40:$B$45,0),)*(AL$132+AL$133)</f>
        <v>0</v>
      </c>
      <c r="AM160" s="6">
        <f>SUMIF($H$7:$H$137,$H160,AM$7:AM$137)+INDEX(Other_Tables!$L$40:$L$45,MATCH($H160,Other_Tables!$B$40:$B$45,0),)*(AM$132+AM$133)</f>
        <v>0</v>
      </c>
      <c r="AN160" s="6"/>
      <c r="AO160" s="6">
        <f>SUMIF($H$7:$H$137,$H160,AO$7:AO$137)+INDEX(Other_Tables!$L$40:$L$45,MATCH($H160,Other_Tables!$B$40:$B$45,0),)*(AO$132+AO$133)</f>
        <v>0</v>
      </c>
      <c r="AP160" s="6">
        <f>SUMIF($H$7:$H$137,$H160,AP$7:AP$137)+INDEX(Other_Tables!$L$40:$L$45,MATCH($H160,Other_Tables!$B$40:$B$45,0),)*(AP$132+AP$133)</f>
        <v>0</v>
      </c>
      <c r="AQ160" s="6">
        <f>SUMIF($H$7:$H$137,$H160,AQ$7:AQ$137)+INDEX(Other_Tables!$L$40:$L$45,MATCH($H160,Other_Tables!$B$40:$B$45,0),)*(AQ$132+AQ$133)</f>
        <v>0</v>
      </c>
      <c r="AR160" s="6">
        <f>SUMIF($H$7:$H$137,$H160,AR$7:AR$137)+INDEX(Other_Tables!$L$40:$L$45,MATCH($H160,Other_Tables!$B$40:$B$45,0),)*(AR$132+AR$133)</f>
        <v>817.41297213742735</v>
      </c>
      <c r="AS160" s="6">
        <f>SUMIF($H$7:$H$137,$H160,AS$7:AS$137)+INDEX(Other_Tables!$L$40:$L$45,MATCH($H160,Other_Tables!$B$40:$B$45,0),)*(AS$132+AS$133)</f>
        <v>791.98547015516317</v>
      </c>
      <c r="AT160" s="6">
        <f>SUMIF($H$7:$H$137,$H160,AT$7:AT$137)+INDEX(Other_Tables!$L$40:$L$45,MATCH($H160,Other_Tables!$B$40:$B$45,0),)*(AT$132+AT$133)</f>
        <v>0</v>
      </c>
      <c r="AU160" s="6">
        <f>SUMIF($H$7:$H$137,$H160,AU$7:AU$137)+INDEX(Other_Tables!$L$40:$L$45,MATCH($H160,Other_Tables!$B$40:$B$45,0),)*(AU$132+AU$133)</f>
        <v>0</v>
      </c>
      <c r="AV160" s="6">
        <f>SUMIF($H$7:$H$137,$H160,AV$7:AV$137)+INDEX(Other_Tables!$L$40:$L$45,MATCH($H160,Other_Tables!$B$40:$B$45,0),)*(AV$132+AV$133)</f>
        <v>0</v>
      </c>
      <c r="AW160" s="6"/>
      <c r="AX160" s="6">
        <f t="shared" si="271"/>
        <v>0</v>
      </c>
      <c r="AY160" s="6">
        <f t="shared" si="272"/>
        <v>0</v>
      </c>
      <c r="AZ160" s="6">
        <f t="shared" si="273"/>
        <v>7575.691205049332</v>
      </c>
      <c r="BA160" s="6">
        <f t="shared" si="274"/>
        <v>15236.278215166929</v>
      </c>
      <c r="BB160" s="6">
        <f t="shared" si="275"/>
        <v>8639.9291752750451</v>
      </c>
      <c r="BC160" s="6">
        <f t="shared" ref="BC160:BC162" si="283">S160+AB160+AK160+AT160</f>
        <v>0</v>
      </c>
      <c r="BD160" s="6">
        <f t="shared" ref="BD160:BD162" si="284">T160+AC160+AL160+AU160</f>
        <v>0</v>
      </c>
      <c r="BE160" s="6">
        <f t="shared" ref="BE160:BE162" si="285">U160+AD160+AM160+AV160</f>
        <v>0</v>
      </c>
      <c r="BG160" s="14">
        <f t="shared" ref="BG160:BG161" si="286">SUM(AX160:BE160)</f>
        <v>31451.898595491308</v>
      </c>
    </row>
    <row r="161" spans="2:59" x14ac:dyDescent="0.3">
      <c r="B161" s="156" t="s">
        <v>44</v>
      </c>
      <c r="E161" s="8"/>
      <c r="F161" s="156"/>
      <c r="G161" s="8"/>
      <c r="H161" s="8" t="s">
        <v>177</v>
      </c>
      <c r="I161" s="8"/>
      <c r="J161" s="8"/>
      <c r="K161" s="8"/>
      <c r="L161" s="8"/>
      <c r="M161" s="8"/>
      <c r="N161" s="6">
        <f>SUMIF($H$7:$H$137,$H161,N$7:N$137)+INDEX(Other_Tables!$L$40:$L$45,MATCH($H161,Other_Tables!$B$40:$B$45,0),)*(N$132+N$133)</f>
        <v>0</v>
      </c>
      <c r="O161" s="6">
        <f>SUMIF($H$7:$H$137,$H161,O$7:O$137)+INDEX(Other_Tables!$L$40:$L$45,MATCH($H161,Other_Tables!$B$40:$B$45,0),)*(O$132+O$133)</f>
        <v>0</v>
      </c>
      <c r="P161" s="6">
        <f>SUMIF($H$7:$H$137,$H161,P$7:P$137)+INDEX(Other_Tables!$L$40:$L$45,MATCH($H161,Other_Tables!$B$40:$B$45,0),)*(P$132+P$133)</f>
        <v>3717.1668548824869</v>
      </c>
      <c r="Q161" s="6">
        <f>SUMIF($H$7:$H$137,$H161,Q$7:Q$137)+INDEX(Other_Tables!$L$40:$L$45,MATCH($H161,Other_Tables!$B$40:$B$45,0),)*(Q$132+Q$133)</f>
        <v>6732.7573606733422</v>
      </c>
      <c r="R161" s="6">
        <f>SUMIF($H$7:$H$137,$H161,R$7:R$137)+INDEX(Other_Tables!$L$40:$L$45,MATCH($H161,Other_Tables!$B$40:$B$45,0),)*(R$132+R$133)</f>
        <v>6266.6667823427742</v>
      </c>
      <c r="S161" s="6">
        <f>SUMIF($H$7:$H$137,$H161,S$7:S$137)+INDEX(Other_Tables!$L$40:$L$45,MATCH($H161,Other_Tables!$B$40:$B$45,0),)*(S$132+S$133)</f>
        <v>434.57168508287293</v>
      </c>
      <c r="T161" s="6">
        <f>SUMIF($H$7:$H$137,$H161,T$7:T$137)+INDEX(Other_Tables!$L$40:$L$45,MATCH($H161,Other_Tables!$B$40:$B$45,0),)*(T$132+T$133)</f>
        <v>434.57168508287293</v>
      </c>
      <c r="U161" s="6">
        <f>SUMIF($H$7:$H$137,$H161,U$7:U$137)+INDEX(Other_Tables!$L$40:$L$45,MATCH($H161,Other_Tables!$B$40:$B$45,0),)*(U$132+U$133)</f>
        <v>434.57168508287293</v>
      </c>
      <c r="V161" s="6"/>
      <c r="W161" s="6">
        <f>SUMIF($H$7:$H$137,$H161,W$7:W$137)+INDEX(Other_Tables!$L$40:$L$45,MATCH($H161,Other_Tables!$B$40:$B$45,0),)*(W$132+W$133)</f>
        <v>0</v>
      </c>
      <c r="X161" s="6">
        <f>SUMIF($H$7:$H$137,$H161,X$7:X$137)+INDEX(Other_Tables!$L$40:$L$45,MATCH($H161,Other_Tables!$B$40:$B$45,0),)*(X$132+X$133)</f>
        <v>0</v>
      </c>
      <c r="Y161" s="6">
        <f>SUMIF($H$7:$H$137,$H161,Y$7:Y$137)+INDEX(Other_Tables!$L$40:$L$45,MATCH($H161,Other_Tables!$B$40:$B$45,0),)*(Y$132+Y$133)</f>
        <v>55.542981029911033</v>
      </c>
      <c r="Z161" s="6">
        <f>SUMIF($H$7:$H$137,$H161,Z$7:Z$137)+INDEX(Other_Tables!$L$40:$L$45,MATCH($H161,Other_Tables!$B$40:$B$45,0),)*(Z$132+Z$133)</f>
        <v>3799.9654709545848</v>
      </c>
      <c r="AA161" s="6">
        <f>SUMIF($H$7:$H$137,$H161,AA$7:AA$137)+INDEX(Other_Tables!$L$40:$L$45,MATCH($H161,Other_Tables!$B$40:$B$45,0),)*(AA$132+AA$133)</f>
        <v>4191.9409563411355</v>
      </c>
      <c r="AB161" s="6">
        <f>SUMIF($H$7:$H$137,$H161,AB$7:AB$137)+INDEX(Other_Tables!$L$40:$L$45,MATCH($H161,Other_Tables!$B$40:$B$45,0),)*(AB$132+AB$133)</f>
        <v>375.45580110497235</v>
      </c>
      <c r="AC161" s="6">
        <f>SUMIF($H$7:$H$137,$H161,AC$7:AC$137)+INDEX(Other_Tables!$L$40:$L$45,MATCH($H161,Other_Tables!$B$40:$B$45,0),)*(AC$132+AC$133)</f>
        <v>375.45580110497235</v>
      </c>
      <c r="AD161" s="6">
        <f>SUMIF($H$7:$H$137,$H161,AD$7:AD$137)+INDEX(Other_Tables!$L$40:$L$45,MATCH($H161,Other_Tables!$B$40:$B$45,0),)*(AD$132+AD$133)</f>
        <v>375.45580110497235</v>
      </c>
      <c r="AE161" s="6"/>
      <c r="AF161" s="6">
        <f>SUMIF($H$7:$H$137,$H161,AF$7:AF$137)+INDEX(Other_Tables!$L$40:$L$45,MATCH($H161,Other_Tables!$B$40:$B$45,0),)*(AF$132+AF$133)</f>
        <v>0</v>
      </c>
      <c r="AG161" s="6">
        <f>SUMIF($H$7:$H$137,$H161,AG$7:AG$137)+INDEX(Other_Tables!$L$40:$L$45,MATCH($H161,Other_Tables!$B$40:$B$45,0),)*(AG$132+AG$133)</f>
        <v>0</v>
      </c>
      <c r="AH161" s="6">
        <f>SUMIF($H$7:$H$137,$H161,AH$7:AH$137)+INDEX(Other_Tables!$L$40:$L$45,MATCH($H161,Other_Tables!$B$40:$B$45,0),)*(AH$132+AH$133)</f>
        <v>404.8393399122848</v>
      </c>
      <c r="AI161" s="6">
        <f>SUMIF($H$7:$H$137,$H161,AI$7:AI$137)+INDEX(Other_Tables!$L$40:$L$45,MATCH($H161,Other_Tables!$B$40:$B$45,0),)*(AI$132+AI$133)</f>
        <v>7494.4373685421224</v>
      </c>
      <c r="AJ161" s="6">
        <f>SUMIF($H$7:$H$137,$H161,AJ$7:AJ$137)+INDEX(Other_Tables!$L$40:$L$45,MATCH($H161,Other_Tables!$B$40:$B$45,0),)*(AJ$132+AJ$133)</f>
        <v>8381.5014805566025</v>
      </c>
      <c r="AK161" s="6">
        <f>SUMIF($H$7:$H$137,$H161,AK$7:AK$137)+INDEX(Other_Tables!$L$40:$L$45,MATCH($H161,Other_Tables!$B$40:$B$45,0),)*(AK$132+AK$133)</f>
        <v>899.1748625322283</v>
      </c>
      <c r="AL161" s="6">
        <f>SUMIF($H$7:$H$137,$H161,AL$7:AL$137)+INDEX(Other_Tables!$L$40:$L$45,MATCH($H161,Other_Tables!$B$40:$B$45,0),)*(AL$132+AL$133)</f>
        <v>899.1748625322283</v>
      </c>
      <c r="AM161" s="6">
        <f>SUMIF($H$7:$H$137,$H161,AM$7:AM$137)+INDEX(Other_Tables!$L$40:$L$45,MATCH($H161,Other_Tables!$B$40:$B$45,0),)*(AM$132+AM$133)</f>
        <v>899.1748625322283</v>
      </c>
      <c r="AN161" s="6"/>
      <c r="AO161" s="6">
        <f>SUMIF($H$7:$H$137,$H161,AO$7:AO$137)+INDEX(Other_Tables!$L$40:$L$45,MATCH($H161,Other_Tables!$B$40:$B$45,0),)*(AO$132+AO$133)</f>
        <v>0</v>
      </c>
      <c r="AP161" s="6">
        <f>SUMIF($H$7:$H$137,$H161,AP$7:AP$137)+INDEX(Other_Tables!$L$40:$L$45,MATCH($H161,Other_Tables!$B$40:$B$45,0),)*(AP$132+AP$133)</f>
        <v>0</v>
      </c>
      <c r="AQ161" s="6">
        <f>SUMIF($H$7:$H$137,$H161,AQ$7:AQ$137)+INDEX(Other_Tables!$L$40:$L$45,MATCH($H161,Other_Tables!$B$40:$B$45,0),)*(AQ$132+AQ$133)</f>
        <v>0</v>
      </c>
      <c r="AR161" s="6">
        <f>SUMIF($H$7:$H$137,$H161,AR$7:AR$137)+INDEX(Other_Tables!$L$40:$L$45,MATCH($H161,Other_Tables!$B$40:$B$45,0),)*(AR$132+AR$133)</f>
        <v>614.24637059191195</v>
      </c>
      <c r="AS161" s="6">
        <f>SUMIF($H$7:$H$137,$H161,AS$7:AS$137)+INDEX(Other_Tables!$L$40:$L$45,MATCH($H161,Other_Tables!$B$40:$B$45,0),)*(AS$132+AS$133)</f>
        <v>877.7157805823407</v>
      </c>
      <c r="AT161" s="6">
        <f>SUMIF($H$7:$H$137,$H161,AT$7:AT$137)+INDEX(Other_Tables!$L$40:$L$45,MATCH($H161,Other_Tables!$B$40:$B$45,0),)*(AT$132+AT$133)</f>
        <v>0</v>
      </c>
      <c r="AU161" s="6">
        <f>SUMIF($H$7:$H$137,$H161,AU$7:AU$137)+INDEX(Other_Tables!$L$40:$L$45,MATCH($H161,Other_Tables!$B$40:$B$45,0),)*(AU$132+AU$133)</f>
        <v>0</v>
      </c>
      <c r="AV161" s="6">
        <f>SUMIF($H$7:$H$137,$H161,AV$7:AV$137)+INDEX(Other_Tables!$L$40:$L$45,MATCH($H161,Other_Tables!$B$40:$B$45,0),)*(AV$132+AV$133)</f>
        <v>0</v>
      </c>
      <c r="AW161" s="6"/>
      <c r="AX161" s="6">
        <f t="shared" si="271"/>
        <v>0</v>
      </c>
      <c r="AY161" s="6">
        <f t="shared" si="272"/>
        <v>0</v>
      </c>
      <c r="AZ161" s="6">
        <f t="shared" si="273"/>
        <v>4177.5491758246826</v>
      </c>
      <c r="BA161" s="6">
        <f t="shared" si="274"/>
        <v>18641.406570761959</v>
      </c>
      <c r="BB161" s="6">
        <f t="shared" si="275"/>
        <v>19717.824999822853</v>
      </c>
      <c r="BC161" s="6">
        <f t="shared" si="283"/>
        <v>1709.2023487200736</v>
      </c>
      <c r="BD161" s="6">
        <f t="shared" si="284"/>
        <v>1709.2023487200736</v>
      </c>
      <c r="BE161" s="6">
        <f t="shared" si="285"/>
        <v>1709.2023487200736</v>
      </c>
      <c r="BG161" s="14">
        <f t="shared" si="286"/>
        <v>47664.387792569709</v>
      </c>
    </row>
    <row r="162" spans="2:59" x14ac:dyDescent="0.3">
      <c r="B162" s="156" t="s">
        <v>102</v>
      </c>
      <c r="E162" s="8"/>
      <c r="F162" s="156"/>
      <c r="G162" s="8"/>
      <c r="H162" s="8"/>
      <c r="I162" s="8"/>
      <c r="J162" s="8"/>
      <c r="K162" s="8"/>
      <c r="L162" s="8"/>
      <c r="M162" s="8"/>
      <c r="N162" s="24">
        <f>SUM(N160:N161)</f>
        <v>0</v>
      </c>
      <c r="O162" s="24">
        <f>SUM(O160:O161)</f>
        <v>0</v>
      </c>
      <c r="P162" s="24">
        <f>SUM(P160:P161)</f>
        <v>9410.8126348481401</v>
      </c>
      <c r="Q162" s="24">
        <f>SUM(Q160:Q161)</f>
        <v>13273.003119986814</v>
      </c>
      <c r="R162" s="24">
        <f>SUM(R160:R161)</f>
        <v>6446.2966165969183</v>
      </c>
      <c r="S162" s="24">
        <f t="shared" ref="S162:U162" si="287">SUM(S160:S161)</f>
        <v>434.57168508287293</v>
      </c>
      <c r="T162" s="24">
        <f t="shared" si="287"/>
        <v>434.57168508287293</v>
      </c>
      <c r="U162" s="24">
        <f t="shared" si="287"/>
        <v>434.57168508287293</v>
      </c>
      <c r="V162" s="6"/>
      <c r="W162" s="24">
        <f>SUM(W160:W161)</f>
        <v>0</v>
      </c>
      <c r="X162" s="24">
        <f>SUM(X160:X161)</f>
        <v>0</v>
      </c>
      <c r="Y162" s="24">
        <f>SUM(Y160:Y161)</f>
        <v>116.41538798005089</v>
      </c>
      <c r="Z162" s="24">
        <f>SUM(Z160:Z161)</f>
        <v>5551.4851873202324</v>
      </c>
      <c r="AA162" s="24">
        <f>SUM(AA160:AA161)</f>
        <v>5867.133969147586</v>
      </c>
      <c r="AB162" s="24">
        <f t="shared" ref="AB162:AD162" si="288">SUM(AB160:AB161)</f>
        <v>375.45580110497235</v>
      </c>
      <c r="AC162" s="24">
        <f t="shared" si="288"/>
        <v>375.45580110497235</v>
      </c>
      <c r="AD162" s="24">
        <f t="shared" si="288"/>
        <v>375.45580110497235</v>
      </c>
      <c r="AE162" s="6"/>
      <c r="AF162" s="24">
        <f>SUM(AF160:AF161)</f>
        <v>0</v>
      </c>
      <c r="AG162" s="24">
        <f>SUM(AG160:AG161)</f>
        <v>0</v>
      </c>
      <c r="AH162" s="24">
        <f>SUM(AH160:AH161)</f>
        <v>2226.0123580458239</v>
      </c>
      <c r="AI162" s="24">
        <f>SUM(AI160:AI161)</f>
        <v>13621.537135892504</v>
      </c>
      <c r="AJ162" s="24">
        <f>SUM(AJ160:AJ161)</f>
        <v>14374.622338615889</v>
      </c>
      <c r="AK162" s="24">
        <f t="shared" ref="AK162:AM162" si="289">SUM(AK160:AK161)</f>
        <v>899.1748625322283</v>
      </c>
      <c r="AL162" s="24">
        <f t="shared" si="289"/>
        <v>899.1748625322283</v>
      </c>
      <c r="AM162" s="24">
        <f t="shared" si="289"/>
        <v>899.1748625322283</v>
      </c>
      <c r="AN162" s="6"/>
      <c r="AO162" s="24">
        <f>SUM(AO160:AO161)</f>
        <v>0</v>
      </c>
      <c r="AP162" s="24">
        <f>SUM(AP160:AP161)</f>
        <v>0</v>
      </c>
      <c r="AQ162" s="24">
        <f>SUM(AQ160:AQ161)</f>
        <v>0</v>
      </c>
      <c r="AR162" s="24">
        <f>SUM(AR160:AR161)</f>
        <v>1431.6593427293392</v>
      </c>
      <c r="AS162" s="24">
        <f>SUM(AS160:AS161)</f>
        <v>1669.7012507375039</v>
      </c>
      <c r="AT162" s="24">
        <f t="shared" ref="AT162:AV162" si="290">SUM(AT160:AT161)</f>
        <v>0</v>
      </c>
      <c r="AU162" s="24">
        <f t="shared" si="290"/>
        <v>0</v>
      </c>
      <c r="AV162" s="24">
        <f t="shared" si="290"/>
        <v>0</v>
      </c>
      <c r="AW162" s="6"/>
      <c r="AX162" s="24">
        <f>N162+W162+AF162+AO162</f>
        <v>0</v>
      </c>
      <c r="AY162" s="24">
        <f>O162+X162+AG162+AP162</f>
        <v>0</v>
      </c>
      <c r="AZ162" s="24">
        <f>P162+Y162+AH162+AQ162</f>
        <v>11753.240380874015</v>
      </c>
      <c r="BA162" s="24">
        <f>Q162+Z162+AI162+AR162</f>
        <v>33877.68478592889</v>
      </c>
      <c r="BB162" s="24">
        <f>R162+AA162+AJ162+AS162</f>
        <v>28357.754175097896</v>
      </c>
      <c r="BC162" s="24">
        <f t="shared" si="283"/>
        <v>1709.2023487200736</v>
      </c>
      <c r="BD162" s="24">
        <f t="shared" si="284"/>
        <v>1709.2023487200736</v>
      </c>
      <c r="BE162" s="24">
        <f t="shared" si="285"/>
        <v>1709.2023487200736</v>
      </c>
      <c r="BG162" s="21">
        <f>SUM(BG160:BG161)</f>
        <v>79116.286388061009</v>
      </c>
    </row>
    <row r="163" spans="2:59" x14ac:dyDescent="0.3">
      <c r="B163" s="8" t="s">
        <v>22</v>
      </c>
      <c r="E163" s="8"/>
      <c r="F163" s="8"/>
      <c r="G163" s="8"/>
      <c r="H163" s="8"/>
      <c r="I163" s="8"/>
      <c r="J163" s="8"/>
      <c r="K163" s="8"/>
      <c r="L163" s="8"/>
      <c r="M163" s="8"/>
      <c r="V163" s="6"/>
    </row>
    <row r="164" spans="2:59" x14ac:dyDescent="0.3">
      <c r="B164" s="156" t="s">
        <v>42</v>
      </c>
      <c r="E164" s="8"/>
      <c r="F164" s="156"/>
      <c r="G164" s="8"/>
      <c r="H164" s="8" t="s">
        <v>180</v>
      </c>
      <c r="I164" s="8"/>
      <c r="J164" s="8"/>
      <c r="K164" s="8"/>
      <c r="L164" s="8"/>
      <c r="M164" s="8"/>
      <c r="N164" s="6">
        <f>SUMIF($H$7:$H$137,$H164,N$7:N$137)+INDEX(Other_Tables!$L$40:$L$45,MATCH($H164,Other_Tables!$B$40:$B$45,0),)*(N$132+N$133)</f>
        <v>0</v>
      </c>
      <c r="O164" s="6">
        <f>SUMIF($H$7:$H$137,$H164,O$7:O$137)+INDEX(Other_Tables!$L$40:$L$45,MATCH($H164,Other_Tables!$B$40:$B$45,0),)*(O$132+O$133)</f>
        <v>0</v>
      </c>
      <c r="P164" s="6">
        <f>SUMIF($H$7:$H$137,$H164,P$7:P$137)+INDEX(Other_Tables!$L$40:$L$45,MATCH($H164,Other_Tables!$B$40:$B$45,0),)*(P$132+P$133)</f>
        <v>1333.627926593002</v>
      </c>
      <c r="Q164" s="6">
        <f>SUMIF($H$7:$H$137,$H164,Q$7:Q$137)+INDEX(Other_Tables!$L$40:$L$45,MATCH($H164,Other_Tables!$B$40:$B$45,0),)*(Q$132+Q$133)</f>
        <v>15081.617005942298</v>
      </c>
      <c r="R164" s="6">
        <f>SUMIF($H$7:$H$137,$H164,R$7:R$137)+INDEX(Other_Tables!$L$40:$L$45,MATCH($H164,Other_Tables!$B$40:$B$45,0),)*(R$132+R$133)</f>
        <v>4003.1187304481282</v>
      </c>
      <c r="S164" s="6">
        <f>SUMIF($H$7:$H$137,$H164,S$7:S$137)+INDEX(Other_Tables!$L$40:$L$45,MATCH($H164,Other_Tables!$B$40:$B$45,0),)*(S$132+S$133)</f>
        <v>0</v>
      </c>
      <c r="T164" s="6">
        <f>SUMIF($H$7:$H$137,$H164,T$7:T$137)+INDEX(Other_Tables!$L$40:$L$45,MATCH($H164,Other_Tables!$B$40:$B$45,0),)*(T$132+T$133)</f>
        <v>0</v>
      </c>
      <c r="U164" s="6">
        <f>SUMIF($H$7:$H$137,$H164,U$7:U$137)+INDEX(Other_Tables!$L$40:$L$45,MATCH($H164,Other_Tables!$B$40:$B$45,0),)*(U$132+U$133)</f>
        <v>0</v>
      </c>
      <c r="V164" s="6"/>
      <c r="W164" s="6">
        <f>SUMIF($H$7:$H$137,$H164,W$7:W$137)+INDEX(Other_Tables!$L$40:$L$45,MATCH($H164,Other_Tables!$B$40:$B$45,0),)*(W$132+W$133)</f>
        <v>0</v>
      </c>
      <c r="X164" s="6">
        <f>SUMIF($H$7:$H$137,$H164,X$7:X$137)+INDEX(Other_Tables!$L$40:$L$45,MATCH($H164,Other_Tables!$B$40:$B$45,0),)*(X$132+X$133)</f>
        <v>0</v>
      </c>
      <c r="Y164" s="6">
        <f>SUMIF($H$7:$H$137,$H164,Y$7:Y$137)+INDEX(Other_Tables!$L$40:$L$45,MATCH($H164,Other_Tables!$B$40:$B$45,0),)*(Y$132+Y$133)</f>
        <v>618.0623975630939</v>
      </c>
      <c r="Z164" s="6">
        <f>SUMIF($H$7:$H$137,$H164,Z$7:Z$137)+INDEX(Other_Tables!$L$40:$L$45,MATCH($H164,Other_Tables!$B$40:$B$45,0),)*(Z$132+Z$133)</f>
        <v>2043.0723113481426</v>
      </c>
      <c r="AA164" s="6">
        <f>SUMIF($H$7:$H$137,$H164,AA$7:AA$137)+INDEX(Other_Tables!$L$40:$L$45,MATCH($H164,Other_Tables!$B$40:$B$45,0),)*(AA$132+AA$133)</f>
        <v>614.58396100835432</v>
      </c>
      <c r="AB164" s="6">
        <f>SUMIF($H$7:$H$137,$H164,AB$7:AB$137)+INDEX(Other_Tables!$L$40:$L$45,MATCH($H164,Other_Tables!$B$40:$B$45,0),)*(AB$132+AB$133)</f>
        <v>40.153267197443775</v>
      </c>
      <c r="AC164" s="6">
        <f>SUMIF($H$7:$H$137,$H164,AC$7:AC$137)+INDEX(Other_Tables!$L$40:$L$45,MATCH($H164,Other_Tables!$B$40:$B$45,0),)*(AC$132+AC$133)</f>
        <v>0</v>
      </c>
      <c r="AD164" s="6">
        <f>SUMIF($H$7:$H$137,$H164,AD$7:AD$137)+INDEX(Other_Tables!$L$40:$L$45,MATCH($H164,Other_Tables!$B$40:$B$45,0),)*(AD$132+AD$133)</f>
        <v>0</v>
      </c>
      <c r="AE164" s="6"/>
      <c r="AF164" s="6">
        <f>SUMIF($H$7:$H$137,$H164,AF$7:AF$137)+INDEX(Other_Tables!$L$40:$L$45,MATCH($H164,Other_Tables!$B$40:$B$45,0),)*(AF$132+AF$133)</f>
        <v>0</v>
      </c>
      <c r="AG164" s="6">
        <f>SUMIF($H$7:$H$137,$H164,AG$7:AG$137)+INDEX(Other_Tables!$L$40:$L$45,MATCH($H164,Other_Tables!$B$40:$B$45,0),)*(AG$132+AG$133)</f>
        <v>0</v>
      </c>
      <c r="AH164" s="6">
        <f>SUMIF($H$7:$H$137,$H164,AH$7:AH$137)+INDEX(Other_Tables!$L$40:$L$45,MATCH($H164,Other_Tables!$B$40:$B$45,0),)*(AH$132+AH$133)</f>
        <v>1120.1498060328267</v>
      </c>
      <c r="AI164" s="6">
        <f>SUMIF($H$7:$H$137,$H164,AI$7:AI$137)+INDEX(Other_Tables!$L$40:$L$45,MATCH($H164,Other_Tables!$B$40:$B$45,0),)*(AI$132+AI$133)</f>
        <v>3471.8129335699718</v>
      </c>
      <c r="AJ164" s="6">
        <f>SUMIF($H$7:$H$137,$H164,AJ$7:AJ$137)+INDEX(Other_Tables!$L$40:$L$45,MATCH($H164,Other_Tables!$B$40:$B$45,0),)*(AJ$132+AJ$133)</f>
        <v>954.44948426735141</v>
      </c>
      <c r="AK164" s="6">
        <f>SUMIF($H$7:$H$137,$H164,AK$7:AK$137)+INDEX(Other_Tables!$L$40:$L$45,MATCH($H164,Other_Tables!$B$40:$B$45,0),)*(AK$132+AK$133)</f>
        <v>60.732167572635007</v>
      </c>
      <c r="AL164" s="6">
        <f>SUMIF($H$7:$H$137,$H164,AL$7:AL$137)+INDEX(Other_Tables!$L$40:$L$45,MATCH($H164,Other_Tables!$B$40:$B$45,0),)*(AL$132+AL$133)</f>
        <v>0</v>
      </c>
      <c r="AM164" s="6">
        <f>SUMIF($H$7:$H$137,$H164,AM$7:AM$137)+INDEX(Other_Tables!$L$40:$L$45,MATCH($H164,Other_Tables!$B$40:$B$45,0),)*(AM$132+AM$133)</f>
        <v>0</v>
      </c>
      <c r="AN164" s="6"/>
      <c r="AO164" s="6">
        <f>SUMIF($H$7:$H$137,$H164,AO$7:AO$137)+INDEX(Other_Tables!$L$40:$L$45,MATCH($H164,Other_Tables!$B$40:$B$45,0),)*(AO$132+AO$133)</f>
        <v>0</v>
      </c>
      <c r="AP164" s="6">
        <f>SUMIF($H$7:$H$137,$H164,AP$7:AP$137)+INDEX(Other_Tables!$L$40:$L$45,MATCH($H164,Other_Tables!$B$40:$B$45,0),)*(AP$132+AP$133)</f>
        <v>0</v>
      </c>
      <c r="AQ164" s="6">
        <f>SUMIF($H$7:$H$137,$H164,AQ$7:AQ$137)+INDEX(Other_Tables!$L$40:$L$45,MATCH($H164,Other_Tables!$B$40:$B$45,0),)*(AQ$132+AQ$133)</f>
        <v>0</v>
      </c>
      <c r="AR164" s="6">
        <f>SUMIF($H$7:$H$137,$H164,AR$7:AR$137)+INDEX(Other_Tables!$L$40:$L$45,MATCH($H164,Other_Tables!$B$40:$B$45,0),)*(AR$132+AR$133)</f>
        <v>24.04191222836095</v>
      </c>
      <c r="AS164" s="6">
        <f>SUMIF($H$7:$H$137,$H164,AS$7:AS$137)+INDEX(Other_Tables!$L$40:$L$45,MATCH($H164,Other_Tables!$B$40:$B$45,0),)*(AS$132+AS$133)</f>
        <v>15.434541362799264</v>
      </c>
      <c r="AT164" s="6">
        <f>SUMIF($H$7:$H$137,$H164,AT$7:AT$137)+INDEX(Other_Tables!$L$40:$L$45,MATCH($H164,Other_Tables!$B$40:$B$45,0),)*(AT$132+AT$133)</f>
        <v>1.218047329650092</v>
      </c>
      <c r="AU164" s="6">
        <f>SUMIF($H$7:$H$137,$H164,AU$7:AU$137)+INDEX(Other_Tables!$L$40:$L$45,MATCH($H164,Other_Tables!$B$40:$B$45,0),)*(AU$132+AU$133)</f>
        <v>0</v>
      </c>
      <c r="AV164" s="6">
        <f>SUMIF($H$7:$H$137,$H164,AV$7:AV$137)+INDEX(Other_Tables!$L$40:$L$45,MATCH($H164,Other_Tables!$B$40:$B$45,0),)*(AV$132+AV$133)</f>
        <v>0</v>
      </c>
      <c r="AW164" s="6"/>
      <c r="AX164" s="6">
        <f t="shared" si="271"/>
        <v>0</v>
      </c>
      <c r="AY164" s="6">
        <f t="shared" si="272"/>
        <v>0</v>
      </c>
      <c r="AZ164" s="6">
        <f t="shared" si="273"/>
        <v>3071.8401301889226</v>
      </c>
      <c r="BA164" s="6">
        <f t="shared" si="274"/>
        <v>20620.544163088773</v>
      </c>
      <c r="BB164" s="6">
        <f t="shared" si="275"/>
        <v>5587.5867170866322</v>
      </c>
      <c r="BC164" s="6">
        <f t="shared" ref="BC164:BC166" si="291">S164+AB164+AK164+AT164</f>
        <v>102.10348209972886</v>
      </c>
      <c r="BD164" s="6">
        <f t="shared" ref="BD164:BD166" si="292">T164+AC164+AL164+AU164</f>
        <v>0</v>
      </c>
      <c r="BE164" s="6">
        <f t="shared" ref="BE164:BE166" si="293">U164+AD164+AM164+AV164</f>
        <v>0</v>
      </c>
      <c r="BG164" s="14">
        <f t="shared" ref="BG164:BG165" si="294">SUM(AX164:BE164)</f>
        <v>29382.07449246406</v>
      </c>
    </row>
    <row r="165" spans="2:59" x14ac:dyDescent="0.3">
      <c r="B165" s="156" t="s">
        <v>44</v>
      </c>
      <c r="E165" s="8"/>
      <c r="F165" s="156"/>
      <c r="G165" s="8"/>
      <c r="H165" s="8" t="s">
        <v>179</v>
      </c>
      <c r="I165" s="8"/>
      <c r="J165" s="8"/>
      <c r="K165" s="8"/>
      <c r="L165" s="8"/>
      <c r="M165" s="8"/>
      <c r="N165" s="6">
        <f>SUMIF($H$7:$H$137,$H165,N$7:N$137)+INDEX(Other_Tables!$L$40:$L$45,MATCH($H165,Other_Tables!$B$40:$B$45,0),)*(N$132+N$133)</f>
        <v>0</v>
      </c>
      <c r="O165" s="6">
        <f>SUMIF($H$7:$H$137,$H165,O$7:O$137)+INDEX(Other_Tables!$L$40:$L$45,MATCH($H165,Other_Tables!$B$40:$B$45,0),)*(O$132+O$133)</f>
        <v>0</v>
      </c>
      <c r="P165" s="6">
        <f>SUMIF($H$7:$H$137,$H165,P$7:P$137)+INDEX(Other_Tables!$L$40:$L$45,MATCH($H165,Other_Tables!$B$40:$B$45,0),)*(P$132+P$133)</f>
        <v>0</v>
      </c>
      <c r="Q165" s="6">
        <f>SUMIF($H$7:$H$137,$H165,Q$7:Q$137)+INDEX(Other_Tables!$L$40:$L$45,MATCH($H165,Other_Tables!$B$40:$B$45,0),)*(Q$132+Q$133)</f>
        <v>0</v>
      </c>
      <c r="R165" s="6">
        <f>SUMIF($H$7:$H$137,$H165,R$7:R$137)+INDEX(Other_Tables!$L$40:$L$45,MATCH($H165,Other_Tables!$B$40:$B$45,0),)*(R$132+R$133)</f>
        <v>0</v>
      </c>
      <c r="S165" s="6">
        <f>SUMIF($H$7:$H$137,$H165,S$7:S$137)+INDEX(Other_Tables!$L$40:$L$45,MATCH($H165,Other_Tables!$B$40:$B$45,0),)*(S$132+S$133)</f>
        <v>0</v>
      </c>
      <c r="T165" s="6">
        <f>SUMIF($H$7:$H$137,$H165,T$7:T$137)+INDEX(Other_Tables!$L$40:$L$45,MATCH($H165,Other_Tables!$B$40:$B$45,0),)*(T$132+T$133)</f>
        <v>0</v>
      </c>
      <c r="U165" s="6">
        <f>SUMIF($H$7:$H$137,$H165,U$7:U$137)+INDEX(Other_Tables!$L$40:$L$45,MATCH($H165,Other_Tables!$B$40:$B$45,0),)*(U$132+U$133)</f>
        <v>0</v>
      </c>
      <c r="V165" s="6"/>
      <c r="W165" s="6">
        <f>SUMIF($H$7:$H$137,$H165,W$7:W$137)+INDEX(Other_Tables!$L$40:$L$45,MATCH($H165,Other_Tables!$B$40:$B$45,0),)*(W$132+W$133)</f>
        <v>0</v>
      </c>
      <c r="X165" s="6">
        <f>SUMIF($H$7:$H$137,$H165,X$7:X$137)+INDEX(Other_Tables!$L$40:$L$45,MATCH($H165,Other_Tables!$B$40:$B$45,0),)*(X$132+X$133)</f>
        <v>0</v>
      </c>
      <c r="Y165" s="6">
        <f>SUMIF($H$7:$H$137,$H165,Y$7:Y$137)+INDEX(Other_Tables!$L$40:$L$45,MATCH($H165,Other_Tables!$B$40:$B$45,0),)*(Y$132+Y$133)</f>
        <v>0</v>
      </c>
      <c r="Z165" s="6">
        <f>SUMIF($H$7:$H$137,$H165,Z$7:Z$137)+INDEX(Other_Tables!$L$40:$L$45,MATCH($H165,Other_Tables!$B$40:$B$45,0),)*(Z$132+Z$133)</f>
        <v>0</v>
      </c>
      <c r="AA165" s="6">
        <f>SUMIF($H$7:$H$137,$H165,AA$7:AA$137)+INDEX(Other_Tables!$L$40:$L$45,MATCH($H165,Other_Tables!$B$40:$B$45,0),)*(AA$132+AA$133)</f>
        <v>0</v>
      </c>
      <c r="AB165" s="6">
        <f>SUMIF($H$7:$H$137,$H165,AB$7:AB$137)+INDEX(Other_Tables!$L$40:$L$45,MATCH($H165,Other_Tables!$B$40:$B$45,0),)*(AB$132+AB$133)</f>
        <v>0</v>
      </c>
      <c r="AC165" s="6">
        <f>SUMIF($H$7:$H$137,$H165,AC$7:AC$137)+INDEX(Other_Tables!$L$40:$L$45,MATCH($H165,Other_Tables!$B$40:$B$45,0),)*(AC$132+AC$133)</f>
        <v>0</v>
      </c>
      <c r="AD165" s="6">
        <f>SUMIF($H$7:$H$137,$H165,AD$7:AD$137)+INDEX(Other_Tables!$L$40:$L$45,MATCH($H165,Other_Tables!$B$40:$B$45,0),)*(AD$132+AD$133)</f>
        <v>0</v>
      </c>
      <c r="AE165" s="6"/>
      <c r="AF165" s="6">
        <f>SUMIF($H$7:$H$137,$H165,AF$7:AF$137)+INDEX(Other_Tables!$L$40:$L$45,MATCH($H165,Other_Tables!$B$40:$B$45,0),)*(AF$132+AF$133)</f>
        <v>0</v>
      </c>
      <c r="AG165" s="6">
        <f>SUMIF($H$7:$H$137,$H165,AG$7:AG$137)+INDEX(Other_Tables!$L$40:$L$45,MATCH($H165,Other_Tables!$B$40:$B$45,0),)*(AG$132+AG$133)</f>
        <v>0</v>
      </c>
      <c r="AH165" s="6">
        <f>SUMIF($H$7:$H$137,$H165,AH$7:AH$137)+INDEX(Other_Tables!$L$40:$L$45,MATCH($H165,Other_Tables!$B$40:$B$45,0),)*(AH$132+AH$133)</f>
        <v>0</v>
      </c>
      <c r="AI165" s="6">
        <f>SUMIF($H$7:$H$137,$H165,AI$7:AI$137)+INDEX(Other_Tables!$L$40:$L$45,MATCH($H165,Other_Tables!$B$40:$B$45,0),)*(AI$132+AI$133)</f>
        <v>194.78405315614614</v>
      </c>
      <c r="AJ165" s="6">
        <f>SUMIF($H$7:$H$137,$H165,AJ$7:AJ$137)+INDEX(Other_Tables!$L$40:$L$45,MATCH($H165,Other_Tables!$B$40:$B$45,0),)*(AJ$132+AJ$133)</f>
        <v>316.52408637873748</v>
      </c>
      <c r="AK165" s="6">
        <f>SUMIF($H$7:$H$137,$H165,AK$7:AK$137)+INDEX(Other_Tables!$L$40:$L$45,MATCH($H165,Other_Tables!$B$40:$B$45,0),)*(AK$132+AK$133)</f>
        <v>0</v>
      </c>
      <c r="AL165" s="6">
        <f>SUMIF($H$7:$H$137,$H165,AL$7:AL$137)+INDEX(Other_Tables!$L$40:$L$45,MATCH($H165,Other_Tables!$B$40:$B$45,0),)*(AL$132+AL$133)</f>
        <v>0</v>
      </c>
      <c r="AM165" s="6">
        <f>SUMIF($H$7:$H$137,$H165,AM$7:AM$137)+INDEX(Other_Tables!$L$40:$L$45,MATCH($H165,Other_Tables!$B$40:$B$45,0),)*(AM$132+AM$133)</f>
        <v>0</v>
      </c>
      <c r="AN165" s="6"/>
      <c r="AO165" s="6">
        <f>SUMIF($H$7:$H$137,$H165,AO$7:AO$137)+INDEX(Other_Tables!$L$40:$L$45,MATCH($H165,Other_Tables!$B$40:$B$45,0),)*(AO$132+AO$133)</f>
        <v>0</v>
      </c>
      <c r="AP165" s="6">
        <f>SUMIF($H$7:$H$137,$H165,AP$7:AP$137)+INDEX(Other_Tables!$L$40:$L$45,MATCH($H165,Other_Tables!$B$40:$B$45,0),)*(AP$132+AP$133)</f>
        <v>0</v>
      </c>
      <c r="AQ165" s="6">
        <f>SUMIF($H$7:$H$137,$H165,AQ$7:AQ$137)+INDEX(Other_Tables!$L$40:$L$45,MATCH($H165,Other_Tables!$B$40:$B$45,0),)*(AQ$132+AQ$133)</f>
        <v>0</v>
      </c>
      <c r="AR165" s="6">
        <f>SUMIF($H$7:$H$137,$H165,AR$7:AR$137)+INDEX(Other_Tables!$L$40:$L$45,MATCH($H165,Other_Tables!$B$40:$B$45,0),)*(AR$132+AR$133)</f>
        <v>0</v>
      </c>
      <c r="AS165" s="6">
        <f>SUMIF($H$7:$H$137,$H165,AS$7:AS$137)+INDEX(Other_Tables!$L$40:$L$45,MATCH($H165,Other_Tables!$B$40:$B$45,0),)*(AS$132+AS$133)</f>
        <v>0</v>
      </c>
      <c r="AT165" s="6">
        <f>SUMIF($H$7:$H$137,$H165,AT$7:AT$137)+INDEX(Other_Tables!$L$40:$L$45,MATCH($H165,Other_Tables!$B$40:$B$45,0),)*(AT$132+AT$133)</f>
        <v>0</v>
      </c>
      <c r="AU165" s="6">
        <f>SUMIF($H$7:$H$137,$H165,AU$7:AU$137)+INDEX(Other_Tables!$L$40:$L$45,MATCH($H165,Other_Tables!$B$40:$B$45,0),)*(AU$132+AU$133)</f>
        <v>0</v>
      </c>
      <c r="AV165" s="6">
        <f>SUMIF($H$7:$H$137,$H165,AV$7:AV$137)+INDEX(Other_Tables!$L$40:$L$45,MATCH($H165,Other_Tables!$B$40:$B$45,0),)*(AV$132+AV$133)</f>
        <v>0</v>
      </c>
      <c r="AW165" s="6"/>
      <c r="AX165" s="6">
        <f t="shared" ref="AX165" si="295">N165+W165+AF165+AO165</f>
        <v>0</v>
      </c>
      <c r="AY165" s="6">
        <f t="shared" ref="AY165" si="296">O165+X165+AG165+AP165</f>
        <v>0</v>
      </c>
      <c r="AZ165" s="6">
        <f t="shared" ref="AZ165" si="297">P165+Y165+AH165+AQ165</f>
        <v>0</v>
      </c>
      <c r="BA165" s="6">
        <f t="shared" ref="BA165" si="298">Q165+Z165+AI165+AR165</f>
        <v>194.78405315614614</v>
      </c>
      <c r="BB165" s="6">
        <f t="shared" ref="BB165" si="299">R165+AA165+AJ165+AS165</f>
        <v>316.52408637873748</v>
      </c>
      <c r="BC165" s="6">
        <f t="shared" si="291"/>
        <v>0</v>
      </c>
      <c r="BD165" s="6">
        <f t="shared" si="292"/>
        <v>0</v>
      </c>
      <c r="BE165" s="6">
        <f t="shared" si="293"/>
        <v>0</v>
      </c>
      <c r="BG165" s="14">
        <f t="shared" si="294"/>
        <v>511.30813953488359</v>
      </c>
    </row>
    <row r="166" spans="2:59" x14ac:dyDescent="0.3">
      <c r="B166" s="156" t="s">
        <v>102</v>
      </c>
      <c r="E166" s="8"/>
      <c r="F166" s="156"/>
      <c r="G166" s="8"/>
      <c r="H166" s="8"/>
      <c r="I166" s="8"/>
      <c r="J166" s="8"/>
      <c r="K166" s="8"/>
      <c r="L166" s="8"/>
      <c r="M166" s="8"/>
      <c r="N166" s="24">
        <f>SUM(N164:N165)</f>
        <v>0</v>
      </c>
      <c r="O166" s="24">
        <f>SUM(O164:O165)</f>
        <v>0</v>
      </c>
      <c r="P166" s="24">
        <f>SUM(P164:P165)</f>
        <v>1333.627926593002</v>
      </c>
      <c r="Q166" s="24">
        <f>SUM(Q164:Q165)</f>
        <v>15081.617005942298</v>
      </c>
      <c r="R166" s="24">
        <f>SUM(R164:R165)</f>
        <v>4003.1187304481282</v>
      </c>
      <c r="S166" s="24">
        <f t="shared" ref="S166:U166" si="300">SUM(S164:S165)</f>
        <v>0</v>
      </c>
      <c r="T166" s="24">
        <f t="shared" si="300"/>
        <v>0</v>
      </c>
      <c r="U166" s="24">
        <f t="shared" si="300"/>
        <v>0</v>
      </c>
      <c r="V166" s="6"/>
      <c r="W166" s="24">
        <f>SUM(W164:W165)</f>
        <v>0</v>
      </c>
      <c r="X166" s="24">
        <f>SUM(X164:X165)</f>
        <v>0</v>
      </c>
      <c r="Y166" s="24">
        <f>SUM(Y164:Y165)</f>
        <v>618.0623975630939</v>
      </c>
      <c r="Z166" s="24">
        <f>SUM(Z164:Z165)</f>
        <v>2043.0723113481426</v>
      </c>
      <c r="AA166" s="24">
        <f>SUM(AA164:AA165)</f>
        <v>614.58396100835432</v>
      </c>
      <c r="AB166" s="24">
        <f t="shared" ref="AB166:AD166" si="301">SUM(AB164:AB165)</f>
        <v>40.153267197443775</v>
      </c>
      <c r="AC166" s="24">
        <f t="shared" si="301"/>
        <v>0</v>
      </c>
      <c r="AD166" s="24">
        <f t="shared" si="301"/>
        <v>0</v>
      </c>
      <c r="AE166" s="6"/>
      <c r="AF166" s="24">
        <f>SUM(AF164:AF165)</f>
        <v>0</v>
      </c>
      <c r="AG166" s="24">
        <f>SUM(AG164:AG165)</f>
        <v>0</v>
      </c>
      <c r="AH166" s="24">
        <f>SUM(AH164:AH165)</f>
        <v>1120.1498060328267</v>
      </c>
      <c r="AI166" s="24">
        <f>SUM(AI164:AI165)</f>
        <v>3666.5969867261178</v>
      </c>
      <c r="AJ166" s="24">
        <f>SUM(AJ164:AJ165)</f>
        <v>1270.9735706460888</v>
      </c>
      <c r="AK166" s="24">
        <f t="shared" ref="AK166:AM166" si="302">SUM(AK164:AK165)</f>
        <v>60.732167572635007</v>
      </c>
      <c r="AL166" s="24">
        <f t="shared" si="302"/>
        <v>0</v>
      </c>
      <c r="AM166" s="24">
        <f t="shared" si="302"/>
        <v>0</v>
      </c>
      <c r="AN166" s="6"/>
      <c r="AO166" s="24">
        <f>SUM(AO164:AO165)</f>
        <v>0</v>
      </c>
      <c r="AP166" s="24">
        <f>SUM(AP164:AP165)</f>
        <v>0</v>
      </c>
      <c r="AQ166" s="24">
        <f>SUM(AQ164:AQ165)</f>
        <v>0</v>
      </c>
      <c r="AR166" s="24">
        <f>SUM(AR164:AR165)</f>
        <v>24.04191222836095</v>
      </c>
      <c r="AS166" s="24">
        <f>SUM(AS164:AS165)</f>
        <v>15.434541362799264</v>
      </c>
      <c r="AT166" s="24">
        <f t="shared" ref="AT166:AV166" si="303">SUM(AT164:AT165)</f>
        <v>1.218047329650092</v>
      </c>
      <c r="AU166" s="24">
        <f t="shared" si="303"/>
        <v>0</v>
      </c>
      <c r="AV166" s="24">
        <f t="shared" si="303"/>
        <v>0</v>
      </c>
      <c r="AW166" s="6"/>
      <c r="AX166" s="24">
        <f>N166+W166+AF166+AO166</f>
        <v>0</v>
      </c>
      <c r="AY166" s="24">
        <f>O166+X166+AG166+AP166</f>
        <v>0</v>
      </c>
      <c r="AZ166" s="24">
        <f>P166+Y166+AH166+AQ166</f>
        <v>3071.8401301889226</v>
      </c>
      <c r="BA166" s="24">
        <f>Q166+Z166+AI166+AR166</f>
        <v>20815.328216244921</v>
      </c>
      <c r="BB166" s="24">
        <f>R166+AA166+AJ166+AS166</f>
        <v>5904.1108034653698</v>
      </c>
      <c r="BC166" s="24">
        <f t="shared" si="291"/>
        <v>102.10348209972886</v>
      </c>
      <c r="BD166" s="24">
        <f t="shared" si="292"/>
        <v>0</v>
      </c>
      <c r="BE166" s="24">
        <f t="shared" si="293"/>
        <v>0</v>
      </c>
      <c r="BG166" s="21">
        <f>SUM(BG164:BG165)</f>
        <v>29893.382631998946</v>
      </c>
    </row>
    <row r="167" spans="2:59" x14ac:dyDescent="0.3">
      <c r="B167" s="182" t="s">
        <v>66</v>
      </c>
      <c r="E167" s="8"/>
      <c r="F167" s="156"/>
      <c r="G167" s="8"/>
      <c r="H167" s="8"/>
      <c r="I167" s="8"/>
      <c r="J167" s="8"/>
      <c r="K167" s="8"/>
      <c r="L167" s="8"/>
      <c r="M167" s="8"/>
      <c r="N167" s="157"/>
      <c r="O167" s="157"/>
      <c r="P167" s="157"/>
      <c r="Q167" s="157"/>
      <c r="R167" s="157"/>
      <c r="S167" s="157"/>
      <c r="T167" s="157"/>
      <c r="U167" s="157"/>
      <c r="V167" s="6"/>
      <c r="W167" s="183"/>
      <c r="X167" s="183"/>
      <c r="Y167" s="183"/>
      <c r="Z167" s="183"/>
      <c r="AA167" s="183"/>
      <c r="AB167" s="183"/>
      <c r="AC167" s="183"/>
      <c r="AD167" s="183"/>
      <c r="AE167" s="6"/>
      <c r="AF167" s="183"/>
      <c r="AG167" s="183"/>
      <c r="AH167" s="183"/>
      <c r="AI167" s="183"/>
      <c r="AJ167" s="183"/>
      <c r="AK167" s="183"/>
      <c r="AL167" s="183"/>
      <c r="AM167" s="183"/>
      <c r="AN167" s="6"/>
      <c r="AO167" s="183"/>
      <c r="AP167" s="183"/>
      <c r="AQ167" s="183"/>
      <c r="AR167" s="183"/>
      <c r="AS167" s="183"/>
      <c r="AT167" s="183"/>
      <c r="AU167" s="183"/>
      <c r="AV167" s="183"/>
      <c r="AW167" s="6"/>
      <c r="AX167" s="183"/>
      <c r="AY167" s="183"/>
      <c r="AZ167" s="183"/>
      <c r="BA167" s="183"/>
      <c r="BB167" s="183"/>
      <c r="BC167" s="183"/>
      <c r="BD167" s="183"/>
      <c r="BE167" s="183"/>
      <c r="BG167" s="184"/>
    </row>
    <row r="168" spans="2:59" x14ac:dyDescent="0.3">
      <c r="B168" s="156" t="s">
        <v>182</v>
      </c>
      <c r="E168" s="8"/>
      <c r="F168" s="156"/>
      <c r="G168" s="8"/>
      <c r="H168" s="8" t="s">
        <v>197</v>
      </c>
      <c r="I168" s="8"/>
      <c r="J168" s="8"/>
      <c r="K168" s="8"/>
      <c r="L168" s="8"/>
      <c r="M168" s="8"/>
      <c r="N168" s="6">
        <f t="shared" ref="N168:U169" si="304">SUMIF($H$7:$H$137,$H168,N$7:N$137)</f>
        <v>0</v>
      </c>
      <c r="O168" s="6">
        <f t="shared" si="304"/>
        <v>0</v>
      </c>
      <c r="P168" s="6">
        <f t="shared" si="304"/>
        <v>0</v>
      </c>
      <c r="Q168" s="6">
        <f t="shared" si="304"/>
        <v>0</v>
      </c>
      <c r="R168" s="6">
        <f t="shared" si="304"/>
        <v>0</v>
      </c>
      <c r="S168" s="6">
        <f t="shared" si="304"/>
        <v>0</v>
      </c>
      <c r="T168" s="6">
        <f t="shared" si="304"/>
        <v>0</v>
      </c>
      <c r="U168" s="6">
        <f t="shared" si="304"/>
        <v>0</v>
      </c>
      <c r="V168" s="157"/>
      <c r="W168" s="157">
        <f t="shared" ref="W168:AD169" si="305">SUMIF($H$7:$H$137,$H168,W$7:W$137)</f>
        <v>0</v>
      </c>
      <c r="X168" s="157">
        <f t="shared" si="305"/>
        <v>0</v>
      </c>
      <c r="Y168" s="157">
        <f t="shared" si="305"/>
        <v>0</v>
      </c>
      <c r="Z168" s="157">
        <f t="shared" si="305"/>
        <v>0</v>
      </c>
      <c r="AA168" s="157">
        <f t="shared" si="305"/>
        <v>0</v>
      </c>
      <c r="AB168" s="157">
        <f t="shared" si="305"/>
        <v>0</v>
      </c>
      <c r="AC168" s="157">
        <f t="shared" si="305"/>
        <v>0</v>
      </c>
      <c r="AD168" s="157">
        <f t="shared" si="305"/>
        <v>0</v>
      </c>
      <c r="AE168" s="157"/>
      <c r="AF168" s="157">
        <f t="shared" ref="AF168:AM169" si="306">SUMIF($H$7:$H$137,$H168,AF$7:AF$137)</f>
        <v>0</v>
      </c>
      <c r="AG168" s="157">
        <f t="shared" si="306"/>
        <v>0</v>
      </c>
      <c r="AH168" s="157">
        <f t="shared" si="306"/>
        <v>0</v>
      </c>
      <c r="AI168" s="157">
        <f t="shared" si="306"/>
        <v>0</v>
      </c>
      <c r="AJ168" s="157">
        <f t="shared" si="306"/>
        <v>0</v>
      </c>
      <c r="AK168" s="157">
        <f t="shared" si="306"/>
        <v>0</v>
      </c>
      <c r="AL168" s="157">
        <f t="shared" si="306"/>
        <v>0</v>
      </c>
      <c r="AM168" s="157">
        <f t="shared" si="306"/>
        <v>0</v>
      </c>
      <c r="AN168" s="157"/>
      <c r="AO168" s="157">
        <f t="shared" ref="AO168:AV169" si="307">SUMIF($H$7:$H$137,$H168,AO$7:AO$137)</f>
        <v>0</v>
      </c>
      <c r="AP168" s="157">
        <f t="shared" si="307"/>
        <v>0</v>
      </c>
      <c r="AQ168" s="157">
        <f t="shared" si="307"/>
        <v>0</v>
      </c>
      <c r="AR168" s="157">
        <f t="shared" si="307"/>
        <v>0</v>
      </c>
      <c r="AS168" s="157">
        <f t="shared" si="307"/>
        <v>0</v>
      </c>
      <c r="AT168" s="157">
        <f t="shared" si="307"/>
        <v>0</v>
      </c>
      <c r="AU168" s="157">
        <f t="shared" si="307"/>
        <v>0</v>
      </c>
      <c r="AV168" s="157">
        <f t="shared" si="307"/>
        <v>0</v>
      </c>
      <c r="AW168" s="157"/>
      <c r="AX168" s="6">
        <f t="shared" ref="AX168" si="308">N168+W168+AF168+AO168</f>
        <v>0</v>
      </c>
      <c r="AY168" s="6">
        <f t="shared" ref="AY168" si="309">O168+X168+AG168+AP168</f>
        <v>0</v>
      </c>
      <c r="AZ168" s="6">
        <f t="shared" ref="AZ168" si="310">P168+Y168+AH168+AQ168</f>
        <v>0</v>
      </c>
      <c r="BA168" s="6">
        <f t="shared" ref="BA168" si="311">Q168+Z168+AI168+AR168</f>
        <v>0</v>
      </c>
      <c r="BB168" s="6">
        <f t="shared" ref="BB168" si="312">R168+AA168+AJ168+AS168</f>
        <v>0</v>
      </c>
      <c r="BC168" s="6">
        <f t="shared" ref="BC168:BC170" si="313">S168+AB168+AK168+AT168</f>
        <v>0</v>
      </c>
      <c r="BD168" s="6">
        <f t="shared" ref="BD168:BD170" si="314">T168+AC168+AL168+AU168</f>
        <v>0</v>
      </c>
      <c r="BE168" s="6">
        <f t="shared" ref="BE168:BE170" si="315">U168+AD168+AM168+AV168</f>
        <v>0</v>
      </c>
      <c r="BF168" s="171"/>
      <c r="BG168" s="170">
        <f t="shared" ref="BG168:BG170" si="316">SUM(AX168:BE168)</f>
        <v>0</v>
      </c>
    </row>
    <row r="169" spans="2:59" x14ac:dyDescent="0.3">
      <c r="B169" s="156" t="s">
        <v>60</v>
      </c>
      <c r="E169" s="8"/>
      <c r="F169" s="156"/>
      <c r="G169" s="8"/>
      <c r="H169" s="20" t="s">
        <v>196</v>
      </c>
      <c r="I169" s="20"/>
      <c r="J169" s="20"/>
      <c r="K169" s="20"/>
      <c r="L169" s="20"/>
      <c r="M169" s="20"/>
      <c r="N169" s="6">
        <f t="shared" si="304"/>
        <v>0</v>
      </c>
      <c r="O169" s="6">
        <f t="shared" si="304"/>
        <v>0</v>
      </c>
      <c r="P169" s="6">
        <f t="shared" si="304"/>
        <v>0</v>
      </c>
      <c r="Q169" s="6">
        <f t="shared" si="304"/>
        <v>510.75778604651157</v>
      </c>
      <c r="R169" s="6">
        <f t="shared" si="304"/>
        <v>1532.2733581395346</v>
      </c>
      <c r="S169" s="6">
        <f t="shared" si="304"/>
        <v>0</v>
      </c>
      <c r="T169" s="6">
        <f t="shared" si="304"/>
        <v>0</v>
      </c>
      <c r="U169" s="6">
        <f t="shared" si="304"/>
        <v>0</v>
      </c>
      <c r="V169" s="6"/>
      <c r="W169" s="157">
        <f t="shared" si="305"/>
        <v>0</v>
      </c>
      <c r="X169" s="157">
        <f t="shared" si="305"/>
        <v>0</v>
      </c>
      <c r="Y169" s="157">
        <f t="shared" si="305"/>
        <v>0</v>
      </c>
      <c r="Z169" s="157">
        <f t="shared" si="305"/>
        <v>0</v>
      </c>
      <c r="AA169" s="157">
        <f t="shared" si="305"/>
        <v>0</v>
      </c>
      <c r="AB169" s="157">
        <f t="shared" si="305"/>
        <v>0</v>
      </c>
      <c r="AC169" s="157">
        <f t="shared" si="305"/>
        <v>0</v>
      </c>
      <c r="AD169" s="157">
        <f t="shared" si="305"/>
        <v>0</v>
      </c>
      <c r="AE169" s="6"/>
      <c r="AF169" s="157">
        <f t="shared" si="306"/>
        <v>0</v>
      </c>
      <c r="AG169" s="157">
        <f t="shared" si="306"/>
        <v>0</v>
      </c>
      <c r="AH169" s="157">
        <f t="shared" si="306"/>
        <v>0</v>
      </c>
      <c r="AI169" s="157">
        <f t="shared" si="306"/>
        <v>0</v>
      </c>
      <c r="AJ169" s="157">
        <f t="shared" si="306"/>
        <v>0</v>
      </c>
      <c r="AK169" s="157">
        <f t="shared" si="306"/>
        <v>0</v>
      </c>
      <c r="AL169" s="157">
        <f t="shared" si="306"/>
        <v>0</v>
      </c>
      <c r="AM169" s="157">
        <f t="shared" si="306"/>
        <v>0</v>
      </c>
      <c r="AN169" s="6"/>
      <c r="AO169" s="157">
        <f t="shared" si="307"/>
        <v>0</v>
      </c>
      <c r="AP169" s="157">
        <f t="shared" si="307"/>
        <v>0</v>
      </c>
      <c r="AQ169" s="157">
        <f t="shared" si="307"/>
        <v>0</v>
      </c>
      <c r="AR169" s="157">
        <f t="shared" si="307"/>
        <v>0</v>
      </c>
      <c r="AS169" s="157">
        <f t="shared" si="307"/>
        <v>0</v>
      </c>
      <c r="AT169" s="157">
        <f t="shared" si="307"/>
        <v>0</v>
      </c>
      <c r="AU169" s="157">
        <f t="shared" si="307"/>
        <v>0</v>
      </c>
      <c r="AV169" s="157">
        <f t="shared" si="307"/>
        <v>0</v>
      </c>
      <c r="AW169" s="6"/>
      <c r="AX169" s="6">
        <f t="shared" ref="AX169" si="317">N169+W169+AF169+AO169</f>
        <v>0</v>
      </c>
      <c r="AY169" s="6">
        <f t="shared" ref="AY169" si="318">O169+X169+AG169+AP169</f>
        <v>0</v>
      </c>
      <c r="AZ169" s="6">
        <f t="shared" ref="AZ169" si="319">P169+Y169+AH169+AQ169</f>
        <v>0</v>
      </c>
      <c r="BA169" s="6">
        <f t="shared" ref="BA169" si="320">Q169+Z169+AI169+AR169</f>
        <v>510.75778604651157</v>
      </c>
      <c r="BB169" s="6">
        <f t="shared" ref="BB169" si="321">R169+AA169+AJ169+AS169</f>
        <v>1532.2733581395346</v>
      </c>
      <c r="BC169" s="6">
        <f t="shared" si="313"/>
        <v>0</v>
      </c>
      <c r="BD169" s="6">
        <f t="shared" si="314"/>
        <v>0</v>
      </c>
      <c r="BE169" s="6">
        <f t="shared" si="315"/>
        <v>0</v>
      </c>
      <c r="BG169" s="14">
        <f t="shared" si="316"/>
        <v>2043.0311441860463</v>
      </c>
    </row>
    <row r="170" spans="2:59" x14ac:dyDescent="0.3">
      <c r="B170" s="156" t="s">
        <v>195</v>
      </c>
      <c r="E170" s="8"/>
      <c r="F170" s="156"/>
      <c r="G170" s="8"/>
      <c r="H170" s="20" t="s">
        <v>198</v>
      </c>
      <c r="I170" s="20"/>
      <c r="J170" s="20"/>
      <c r="K170" s="20"/>
      <c r="L170" s="20"/>
      <c r="M170" s="20"/>
      <c r="N170" s="157">
        <f>SUMIF($H$7:$H$137,$H170,N$7:N$137)+INDEX(Other_Tables!$L$40:$L$46,MATCH($H170,Other_Tables!$B$40:$B$46,0),)*(N$132+N$133)</f>
        <v>0</v>
      </c>
      <c r="O170" s="157">
        <f>SUMIF($H$7:$H$137,$H170,O$7:O$137)+INDEX(Other_Tables!$L$40:$L$46,MATCH($H170,Other_Tables!$B$40:$B$46,0),)*(O$132+O$133)</f>
        <v>0</v>
      </c>
      <c r="P170" s="157">
        <f>SUMIF($H$7:$H$137,$H170,P$7:P$137)+INDEX(Other_Tables!$L$40:$L$46,MATCH($H170,Other_Tables!$B$40:$B$46,0),)*(P$132+P$133)</f>
        <v>0</v>
      </c>
      <c r="Q170" s="157">
        <f>SUMIF($H$7:$H$137,$H170,Q$7:Q$137)+INDEX(Other_Tables!$L$40:$L$46,MATCH($H170,Other_Tables!$B$40:$B$46,0),)*(Q$132+Q$133)</f>
        <v>0</v>
      </c>
      <c r="R170" s="157">
        <f>SUMIF($H$7:$H$137,$H170,R$7:R$137)+INDEX(Other_Tables!$L$40:$L$46,MATCH($H170,Other_Tables!$B$40:$B$46,0),)*(R$132+R$133)</f>
        <v>0</v>
      </c>
      <c r="S170" s="157">
        <f>SUMIF($H$7:$H$137,$H170,S$7:S$137)+INDEX(Other_Tables!$L$40:$L$46,MATCH($H170,Other_Tables!$B$40:$B$46,0),)*(S$132+S$133)</f>
        <v>0</v>
      </c>
      <c r="T170" s="157">
        <f>SUMIF($H$7:$H$137,$H170,T$7:T$137)+INDEX(Other_Tables!$L$40:$L$46,MATCH($H170,Other_Tables!$B$40:$B$46,0),)*(T$132+T$133)</f>
        <v>0</v>
      </c>
      <c r="U170" s="157">
        <f>SUMIF($H$7:$H$137,$H170,U$7:U$137)+INDEX(Other_Tables!$L$40:$L$46,MATCH($H170,Other_Tables!$B$40:$B$46,0),)*(U$132+U$133)</f>
        <v>0</v>
      </c>
      <c r="V170" s="6"/>
      <c r="W170" s="157">
        <f>SUMIF($H$7:$H$137,$H170,W$7:W$137)+INDEX(Other_Tables!$L$40:$L$46,MATCH($H170,Other_Tables!$B$40:$B$46,0),)*(W$132+W$133)</f>
        <v>0</v>
      </c>
      <c r="X170" s="157">
        <f>SUMIF($H$7:$H$137,$H170,X$7:X$137)+INDEX(Other_Tables!$L$40:$L$46,MATCH($H170,Other_Tables!$B$40:$B$46,0),)*(X$132+X$133)</f>
        <v>0</v>
      </c>
      <c r="Y170" s="157">
        <f>SUMIF($H$7:$H$137,$H170,Y$7:Y$137)+INDEX(Other_Tables!$L$40:$L$46,MATCH($H170,Other_Tables!$B$40:$B$46,0),)*(Y$132+Y$133)</f>
        <v>0</v>
      </c>
      <c r="Z170" s="157">
        <f>SUMIF($H$7:$H$137,$H170,Z$7:Z$137)+INDEX(Other_Tables!$L$40:$L$46,MATCH($H170,Other_Tables!$B$40:$B$46,0),)*(Z$132+Z$133)</f>
        <v>0</v>
      </c>
      <c r="AA170" s="157">
        <f>SUMIF($H$7:$H$137,$H170,AA$7:AA$137)+INDEX(Other_Tables!$L$40:$L$46,MATCH($H170,Other_Tables!$B$40:$B$46,0),)*(AA$132+AA$133)</f>
        <v>0</v>
      </c>
      <c r="AB170" s="157">
        <f>SUMIF($H$7:$H$137,$H170,AB$7:AB$137)+INDEX(Other_Tables!$L$40:$L$46,MATCH($H170,Other_Tables!$B$40:$B$46,0),)*(AB$132+AB$133)</f>
        <v>0</v>
      </c>
      <c r="AC170" s="157">
        <f>SUMIF($H$7:$H$137,$H170,AC$7:AC$137)+INDEX(Other_Tables!$L$40:$L$46,MATCH($H170,Other_Tables!$B$40:$B$46,0),)*(AC$132+AC$133)</f>
        <v>0</v>
      </c>
      <c r="AD170" s="157">
        <f>SUMIF($H$7:$H$137,$H170,AD$7:AD$137)+INDEX(Other_Tables!$L$40:$L$46,MATCH($H170,Other_Tables!$B$40:$B$46,0),)*(AD$132+AD$133)</f>
        <v>0</v>
      </c>
      <c r="AE170" s="6"/>
      <c r="AF170" s="157">
        <f>SUMIF($H$7:$H$137,$H170,AF$7:AF$137)+INDEX(Other_Tables!$L$40:$L$46,MATCH($H170,Other_Tables!$B$40:$B$46,0),)*(AF$132+AF$133)</f>
        <v>0</v>
      </c>
      <c r="AG170" s="157">
        <f>SUMIF($H$7:$H$137,$H170,AG$7:AG$137)+INDEX(Other_Tables!$L$40:$L$46,MATCH($H170,Other_Tables!$B$40:$B$46,0),)*(AG$132+AG$133)</f>
        <v>0</v>
      </c>
      <c r="AH170" s="157">
        <f>SUMIF($H$7:$H$137,$H170,AH$7:AH$137)+INDEX(Other_Tables!$L$40:$L$46,MATCH($H170,Other_Tables!$B$40:$B$46,0),)*(AH$132+AH$133)</f>
        <v>0</v>
      </c>
      <c r="AI170" s="157">
        <f>SUMIF($H$7:$H$137,$H170,AI$7:AI$137)+INDEX(Other_Tables!$L$40:$L$46,MATCH($H170,Other_Tables!$B$40:$B$46,0),)*(AI$132+AI$133)</f>
        <v>0</v>
      </c>
      <c r="AJ170" s="157">
        <f>SUMIF($H$7:$H$137,$H170,AJ$7:AJ$137)+INDEX(Other_Tables!$L$40:$L$46,MATCH($H170,Other_Tables!$B$40:$B$46,0),)*(AJ$132+AJ$133)</f>
        <v>0</v>
      </c>
      <c r="AK170" s="157">
        <f>SUMIF($H$7:$H$137,$H170,AK$7:AK$137)+INDEX(Other_Tables!$L$40:$L$46,MATCH($H170,Other_Tables!$B$40:$B$46,0),)*(AK$132+AK$133)</f>
        <v>0</v>
      </c>
      <c r="AL170" s="157">
        <f>SUMIF($H$7:$H$137,$H170,AL$7:AL$137)+INDEX(Other_Tables!$L$40:$L$46,MATCH($H170,Other_Tables!$B$40:$B$46,0),)*(AL$132+AL$133)</f>
        <v>0</v>
      </c>
      <c r="AM170" s="157">
        <f>SUMIF($H$7:$H$137,$H170,AM$7:AM$137)+INDEX(Other_Tables!$L$40:$L$46,MATCH($H170,Other_Tables!$B$40:$B$46,0),)*(AM$132+AM$133)</f>
        <v>0</v>
      </c>
      <c r="AN170" s="6"/>
      <c r="AO170" s="157">
        <f>SUMIF($H$7:$H$137,$H170,AO$7:AO$137)+INDEX(Other_Tables!$L$40:$L$46,MATCH($H170,Other_Tables!$B$40:$B$46,0),)*(AO$132+AO$133)</f>
        <v>0</v>
      </c>
      <c r="AP170" s="157">
        <f>SUMIF($H$7:$H$137,$H170,AP$7:AP$137)+INDEX(Other_Tables!$L$40:$L$46,MATCH($H170,Other_Tables!$B$40:$B$46,0),)*(AP$132+AP$133)</f>
        <v>0</v>
      </c>
      <c r="AQ170" s="157">
        <f>SUMIF($H$7:$H$137,$H170,AQ$7:AQ$137)+INDEX(Other_Tables!$L$40:$L$46,MATCH($H170,Other_Tables!$B$40:$B$46,0),)*(AQ$132+AQ$133)</f>
        <v>0</v>
      </c>
      <c r="AR170" s="157">
        <f>SUMIF($H$7:$H$137,$H170,AR$7:AR$137)+INDEX(Other_Tables!$L$40:$L$46,MATCH($H170,Other_Tables!$B$40:$B$46,0),)*(AR$132+AR$133)</f>
        <v>0</v>
      </c>
      <c r="AS170" s="157">
        <f>SUMIF($H$7:$H$137,$H170,AS$7:AS$137)+INDEX(Other_Tables!$L$40:$L$46,MATCH($H170,Other_Tables!$B$40:$B$46,0),)*(AS$132+AS$133)</f>
        <v>0</v>
      </c>
      <c r="AT170" s="157">
        <f>SUMIF($H$7:$H$137,$H170,AT$7:AT$137)+INDEX(Other_Tables!$L$40:$L$46,MATCH($H170,Other_Tables!$B$40:$B$46,0),)*(AT$132+AT$133)</f>
        <v>0</v>
      </c>
      <c r="AU170" s="157">
        <f>SUMIF($H$7:$H$137,$H170,AU$7:AU$137)+INDEX(Other_Tables!$L$40:$L$46,MATCH($H170,Other_Tables!$B$40:$B$46,0),)*(AU$132+AU$133)</f>
        <v>0</v>
      </c>
      <c r="AV170" s="157">
        <f>SUMIF($H$7:$H$137,$H170,AV$7:AV$137)+INDEX(Other_Tables!$L$40:$L$46,MATCH($H170,Other_Tables!$B$40:$B$46,0),)*(AV$132+AV$133)</f>
        <v>0</v>
      </c>
      <c r="AW170" s="6"/>
      <c r="AX170" s="6">
        <f t="shared" ref="AX170" si="322">N170+W170+AF170+AO170</f>
        <v>0</v>
      </c>
      <c r="AY170" s="6">
        <f t="shared" ref="AY170" si="323">O170+X170+AG170+AP170</f>
        <v>0</v>
      </c>
      <c r="AZ170" s="6">
        <f t="shared" ref="AZ170" si="324">P170+Y170+AH170+AQ170</f>
        <v>0</v>
      </c>
      <c r="BA170" s="6">
        <f t="shared" ref="BA170" si="325">Q170+Z170+AI170+AR170</f>
        <v>0</v>
      </c>
      <c r="BB170" s="6">
        <f t="shared" ref="BB170" si="326">R170+AA170+AJ170+AS170</f>
        <v>0</v>
      </c>
      <c r="BC170" s="6">
        <f t="shared" si="313"/>
        <v>0</v>
      </c>
      <c r="BD170" s="6">
        <f t="shared" si="314"/>
        <v>0</v>
      </c>
      <c r="BE170" s="6">
        <f t="shared" si="315"/>
        <v>0</v>
      </c>
      <c r="BG170" s="14">
        <f t="shared" si="316"/>
        <v>0</v>
      </c>
    </row>
    <row r="171" spans="2:59" x14ac:dyDescent="0.3">
      <c r="B171" s="156" t="s">
        <v>102</v>
      </c>
      <c r="E171" s="8"/>
      <c r="F171" s="156"/>
      <c r="G171" s="8"/>
      <c r="H171" s="8"/>
      <c r="I171" s="8"/>
      <c r="J171" s="8"/>
      <c r="K171" s="8"/>
      <c r="L171" s="8"/>
      <c r="M171" s="8"/>
      <c r="N171" s="24">
        <f>SUM(N168:N170)</f>
        <v>0</v>
      </c>
      <c r="O171" s="24">
        <f t="shared" ref="O171:R171" si="327">SUM(O168:O170)</f>
        <v>0</v>
      </c>
      <c r="P171" s="24">
        <f t="shared" si="327"/>
        <v>0</v>
      </c>
      <c r="Q171" s="24">
        <f t="shared" si="327"/>
        <v>510.75778604651157</v>
      </c>
      <c r="R171" s="24">
        <f t="shared" si="327"/>
        <v>1532.2733581395346</v>
      </c>
      <c r="S171" s="24">
        <f t="shared" ref="S171:U171" si="328">SUM(S168:S170)</f>
        <v>0</v>
      </c>
      <c r="T171" s="24">
        <f t="shared" si="328"/>
        <v>0</v>
      </c>
      <c r="U171" s="24">
        <f t="shared" si="328"/>
        <v>0</v>
      </c>
      <c r="V171" s="6"/>
      <c r="W171" s="24">
        <f t="shared" ref="W171:AA171" si="329">SUM(W168:W170)</f>
        <v>0</v>
      </c>
      <c r="X171" s="24">
        <f t="shared" si="329"/>
        <v>0</v>
      </c>
      <c r="Y171" s="24">
        <f t="shared" si="329"/>
        <v>0</v>
      </c>
      <c r="Z171" s="24">
        <f t="shared" si="329"/>
        <v>0</v>
      </c>
      <c r="AA171" s="24">
        <f t="shared" si="329"/>
        <v>0</v>
      </c>
      <c r="AB171" s="24">
        <f t="shared" ref="AB171:AD171" si="330">SUM(AB168:AB170)</f>
        <v>0</v>
      </c>
      <c r="AC171" s="24">
        <f t="shared" si="330"/>
        <v>0</v>
      </c>
      <c r="AD171" s="24">
        <f t="shared" si="330"/>
        <v>0</v>
      </c>
      <c r="AE171" s="6"/>
      <c r="AF171" s="24">
        <f t="shared" ref="AF171:AJ171" si="331">SUM(AF168:AF170)</f>
        <v>0</v>
      </c>
      <c r="AG171" s="24">
        <f t="shared" si="331"/>
        <v>0</v>
      </c>
      <c r="AH171" s="24">
        <f t="shared" si="331"/>
        <v>0</v>
      </c>
      <c r="AI171" s="24">
        <f t="shared" si="331"/>
        <v>0</v>
      </c>
      <c r="AJ171" s="24">
        <f t="shared" si="331"/>
        <v>0</v>
      </c>
      <c r="AK171" s="24">
        <f t="shared" ref="AK171:AM171" si="332">SUM(AK168:AK170)</f>
        <v>0</v>
      </c>
      <c r="AL171" s="24">
        <f t="shared" si="332"/>
        <v>0</v>
      </c>
      <c r="AM171" s="24">
        <f t="shared" si="332"/>
        <v>0</v>
      </c>
      <c r="AN171" s="6"/>
      <c r="AO171" s="24">
        <f t="shared" ref="AO171:AS171" si="333">SUM(AO168:AO170)</f>
        <v>0</v>
      </c>
      <c r="AP171" s="24">
        <f t="shared" si="333"/>
        <v>0</v>
      </c>
      <c r="AQ171" s="24">
        <f t="shared" si="333"/>
        <v>0</v>
      </c>
      <c r="AR171" s="24">
        <f t="shared" si="333"/>
        <v>0</v>
      </c>
      <c r="AS171" s="24">
        <f t="shared" si="333"/>
        <v>0</v>
      </c>
      <c r="AT171" s="24">
        <f t="shared" ref="AT171:AV171" si="334">SUM(AT168:AT170)</f>
        <v>0</v>
      </c>
      <c r="AU171" s="24">
        <f t="shared" si="334"/>
        <v>0</v>
      </c>
      <c r="AV171" s="24">
        <f t="shared" si="334"/>
        <v>0</v>
      </c>
      <c r="AW171" s="6"/>
      <c r="AX171" s="24">
        <f t="shared" ref="AX171:BB171" si="335">SUM(AX168:AX170)</f>
        <v>0</v>
      </c>
      <c r="AY171" s="24">
        <f t="shared" si="335"/>
        <v>0</v>
      </c>
      <c r="AZ171" s="24">
        <f t="shared" si="335"/>
        <v>0</v>
      </c>
      <c r="BA171" s="24">
        <f t="shared" si="335"/>
        <v>510.75778604651157</v>
      </c>
      <c r="BB171" s="24">
        <f t="shared" si="335"/>
        <v>1532.2733581395346</v>
      </c>
      <c r="BC171" s="24">
        <f t="shared" ref="BC171:BE171" si="336">SUM(BC168:BC170)</f>
        <v>0</v>
      </c>
      <c r="BD171" s="24">
        <f t="shared" si="336"/>
        <v>0</v>
      </c>
      <c r="BE171" s="24">
        <f t="shared" si="336"/>
        <v>0</v>
      </c>
      <c r="BG171" s="24">
        <f>SUM(BG168:BG170)</f>
        <v>2043.0311441860463</v>
      </c>
    </row>
    <row r="172" spans="2:59" x14ac:dyDescent="0.3">
      <c r="B172" s="41" t="s">
        <v>64</v>
      </c>
      <c r="E172" s="8"/>
      <c r="F172" s="8"/>
      <c r="N172" s="39">
        <f>N158+N162+N166+N171</f>
        <v>0</v>
      </c>
      <c r="O172" s="39">
        <f t="shared" ref="O172:R172" si="337">O158+O162+O166+O171</f>
        <v>0</v>
      </c>
      <c r="P172" s="39">
        <f t="shared" si="337"/>
        <v>11263.875152416811</v>
      </c>
      <c r="Q172" s="39">
        <f t="shared" si="337"/>
        <v>34844.236490241194</v>
      </c>
      <c r="R172" s="39">
        <f t="shared" si="337"/>
        <v>13680.169227781105</v>
      </c>
      <c r="S172" s="39">
        <f t="shared" ref="S172:U172" si="338">S158+S162+S166+S171</f>
        <v>434.57168508287293</v>
      </c>
      <c r="T172" s="39">
        <f t="shared" si="338"/>
        <v>434.57168508287293</v>
      </c>
      <c r="U172" s="39">
        <f t="shared" si="338"/>
        <v>434.57168508287293</v>
      </c>
      <c r="V172" s="6"/>
      <c r="W172" s="39">
        <f t="shared" ref="W172:AA172" si="339">W158+W162+W166+W171</f>
        <v>0</v>
      </c>
      <c r="X172" s="39">
        <f t="shared" si="339"/>
        <v>0</v>
      </c>
      <c r="Y172" s="39">
        <f t="shared" si="339"/>
        <v>1333.9402369377881</v>
      </c>
      <c r="Z172" s="39">
        <f t="shared" si="339"/>
        <v>9574.6247348202323</v>
      </c>
      <c r="AA172" s="39">
        <f t="shared" si="339"/>
        <v>7095.5562991475854</v>
      </c>
      <c r="AB172" s="39">
        <f t="shared" ref="AB172:AD172" si="340">AB158+AB162+AB166+AB171</f>
        <v>456.69080110497237</v>
      </c>
      <c r="AC172" s="39">
        <f t="shared" si="340"/>
        <v>375.45580110497235</v>
      </c>
      <c r="AD172" s="39">
        <f t="shared" si="340"/>
        <v>375.45580110497235</v>
      </c>
      <c r="AE172" s="6"/>
      <c r="AF172" s="39">
        <f t="shared" ref="AF172:AJ172" si="341">AF158+AF162+AF166+AF171</f>
        <v>0</v>
      </c>
      <c r="AG172" s="39">
        <f t="shared" si="341"/>
        <v>0</v>
      </c>
      <c r="AH172" s="39">
        <f t="shared" si="341"/>
        <v>6304.2789689888541</v>
      </c>
      <c r="AI172" s="39">
        <f t="shared" si="341"/>
        <v>26338.838937818375</v>
      </c>
      <c r="AJ172" s="39">
        <f t="shared" si="341"/>
        <v>18297.509488855478</v>
      </c>
      <c r="AK172" s="39">
        <f t="shared" ref="AK172:AM172" si="342">AK158+AK162+AK166+AK171</f>
        <v>1130.3770625827658</v>
      </c>
      <c r="AL172" s="39">
        <f t="shared" si="342"/>
        <v>899.1748625322283</v>
      </c>
      <c r="AM172" s="39">
        <f t="shared" si="342"/>
        <v>899.1748625322283</v>
      </c>
      <c r="AN172" s="6"/>
      <c r="AO172" s="39">
        <f t="shared" ref="AO172:AS172" si="343">AO158+AO162+AO166+AO171</f>
        <v>0</v>
      </c>
      <c r="AP172" s="39">
        <f t="shared" si="343"/>
        <v>0</v>
      </c>
      <c r="AQ172" s="39">
        <f t="shared" si="343"/>
        <v>0</v>
      </c>
      <c r="AR172" s="39">
        <f t="shared" si="343"/>
        <v>3054.9376524051731</v>
      </c>
      <c r="AS172" s="39">
        <f t="shared" si="343"/>
        <v>2585.0959425802794</v>
      </c>
      <c r="AT172" s="39">
        <f t="shared" ref="AT172:AV172" si="344">AT158+AT162+AT166+AT171</f>
        <v>71.992811840421439</v>
      </c>
      <c r="AU172" s="39">
        <f t="shared" si="344"/>
        <v>0</v>
      </c>
      <c r="AV172" s="39">
        <f t="shared" si="344"/>
        <v>0</v>
      </c>
      <c r="AW172" s="6"/>
      <c r="AX172" s="39">
        <f t="shared" ref="AX172:BB172" si="345">AX158+AX162+AX166+AX171</f>
        <v>0</v>
      </c>
      <c r="AY172" s="39">
        <f t="shared" si="345"/>
        <v>0</v>
      </c>
      <c r="AZ172" s="39">
        <f t="shared" si="345"/>
        <v>18902.094358343453</v>
      </c>
      <c r="BA172" s="39">
        <f t="shared" si="345"/>
        <v>73812.637815284965</v>
      </c>
      <c r="BB172" s="39">
        <f t="shared" si="345"/>
        <v>41658.330958364451</v>
      </c>
      <c r="BC172" s="39">
        <f t="shared" ref="BC172:BE172" si="346">BC158+BC162+BC166+BC171</f>
        <v>2093.6323606110327</v>
      </c>
      <c r="BD172" s="39">
        <f t="shared" si="346"/>
        <v>1709.2023487200736</v>
      </c>
      <c r="BE172" s="39">
        <f t="shared" si="346"/>
        <v>1709.2023487200736</v>
      </c>
      <c r="BG172" s="39">
        <f>BG158+BG162+BG166+BG171</f>
        <v>139885.10019004403</v>
      </c>
    </row>
    <row r="173" spans="2:59" x14ac:dyDescent="0.3">
      <c r="B173" s="210" t="s">
        <v>55</v>
      </c>
      <c r="E173" s="8"/>
      <c r="F173" s="8"/>
      <c r="N173" s="207">
        <f t="shared" ref="N173:U173" si="347">N172-N150</f>
        <v>0</v>
      </c>
      <c r="O173" s="207">
        <f t="shared" si="347"/>
        <v>0</v>
      </c>
      <c r="P173" s="207">
        <f t="shared" si="347"/>
        <v>0</v>
      </c>
      <c r="Q173" s="207">
        <f t="shared" si="347"/>
        <v>0</v>
      </c>
      <c r="R173" s="207">
        <f t="shared" si="347"/>
        <v>0</v>
      </c>
      <c r="S173" s="207">
        <f t="shared" si="347"/>
        <v>0</v>
      </c>
      <c r="T173" s="207">
        <f t="shared" si="347"/>
        <v>0</v>
      </c>
      <c r="U173" s="207">
        <f t="shared" si="347"/>
        <v>0</v>
      </c>
      <c r="V173" s="211"/>
      <c r="W173" s="207">
        <f t="shared" ref="W173:AA173" si="348">W172-W150</f>
        <v>0</v>
      </c>
      <c r="X173" s="207">
        <f t="shared" si="348"/>
        <v>0</v>
      </c>
      <c r="Y173" s="207">
        <f t="shared" si="348"/>
        <v>0</v>
      </c>
      <c r="Z173" s="207">
        <f t="shared" si="348"/>
        <v>0</v>
      </c>
      <c r="AA173" s="207">
        <f t="shared" si="348"/>
        <v>0</v>
      </c>
      <c r="AB173" s="207">
        <f t="shared" ref="AB173:AD173" si="349">AB172-AB150</f>
        <v>0</v>
      </c>
      <c r="AC173" s="207">
        <f t="shared" si="349"/>
        <v>0</v>
      </c>
      <c r="AD173" s="207">
        <f t="shared" si="349"/>
        <v>0</v>
      </c>
      <c r="AE173" s="211"/>
      <c r="AF173" s="207">
        <f t="shared" ref="AF173:AJ173" si="350">AF172-AF150</f>
        <v>0</v>
      </c>
      <c r="AG173" s="207">
        <f t="shared" si="350"/>
        <v>0</v>
      </c>
      <c r="AH173" s="207">
        <f t="shared" si="350"/>
        <v>0</v>
      </c>
      <c r="AI173" s="207">
        <f t="shared" si="350"/>
        <v>0</v>
      </c>
      <c r="AJ173" s="207">
        <f t="shared" si="350"/>
        <v>0</v>
      </c>
      <c r="AK173" s="207">
        <f t="shared" ref="AK173:AM173" si="351">AK172-AK150</f>
        <v>0</v>
      </c>
      <c r="AL173" s="207">
        <f t="shared" si="351"/>
        <v>0</v>
      </c>
      <c r="AM173" s="207">
        <f t="shared" si="351"/>
        <v>0</v>
      </c>
      <c r="AN173" s="211"/>
      <c r="AO173" s="207">
        <f t="shared" ref="AO173:AS173" si="352">AO172-AO150</f>
        <v>0</v>
      </c>
      <c r="AP173" s="207">
        <f t="shared" si="352"/>
        <v>0</v>
      </c>
      <c r="AQ173" s="207">
        <f t="shared" si="352"/>
        <v>0</v>
      </c>
      <c r="AR173" s="207">
        <f t="shared" si="352"/>
        <v>0</v>
      </c>
      <c r="AS173" s="207">
        <f t="shared" si="352"/>
        <v>0</v>
      </c>
      <c r="AT173" s="207">
        <f t="shared" ref="AT173:AV173" si="353">AT172-AT150</f>
        <v>0</v>
      </c>
      <c r="AU173" s="207">
        <f t="shared" si="353"/>
        <v>0</v>
      </c>
      <c r="AV173" s="207">
        <f t="shared" si="353"/>
        <v>0</v>
      </c>
      <c r="AW173" s="211"/>
      <c r="AX173" s="207">
        <f>AX172-AX150</f>
        <v>0</v>
      </c>
      <c r="AY173" s="207">
        <f t="shared" ref="AY173:BB173" si="354">AY172-AY150</f>
        <v>0</v>
      </c>
      <c r="AZ173" s="207">
        <f t="shared" si="354"/>
        <v>0</v>
      </c>
      <c r="BA173" s="207">
        <f t="shared" si="354"/>
        <v>0</v>
      </c>
      <c r="BB173" s="207">
        <f t="shared" si="354"/>
        <v>0</v>
      </c>
      <c r="BC173" s="207">
        <f t="shared" ref="BC173:BE173" si="355">BC172-BC150</f>
        <v>0</v>
      </c>
      <c r="BD173" s="207">
        <f t="shared" si="355"/>
        <v>0</v>
      </c>
      <c r="BE173" s="207">
        <f t="shared" si="355"/>
        <v>0</v>
      </c>
      <c r="BF173" s="52"/>
      <c r="BG173" s="478">
        <f>BG172-BG150</f>
        <v>0</v>
      </c>
    </row>
    <row r="174" spans="2:59" x14ac:dyDescent="0.3">
      <c r="B174" s="172"/>
      <c r="E174" s="8"/>
      <c r="F174" s="8"/>
      <c r="N174" s="157"/>
      <c r="O174" s="157"/>
      <c r="P174" s="157"/>
      <c r="Q174" s="157"/>
      <c r="R174" s="157"/>
      <c r="S174" s="157"/>
      <c r="T174" s="157"/>
      <c r="U174" s="157"/>
      <c r="V174" s="6"/>
      <c r="W174" s="157"/>
      <c r="X174" s="157"/>
      <c r="Y174" s="157"/>
      <c r="Z174" s="157"/>
      <c r="AA174" s="157"/>
      <c r="AB174" s="157"/>
      <c r="AC174" s="157"/>
      <c r="AD174" s="157"/>
      <c r="AE174" s="6"/>
      <c r="AF174" s="157"/>
      <c r="AG174" s="157"/>
      <c r="AH174" s="157"/>
      <c r="AI174" s="157"/>
      <c r="AJ174" s="157"/>
      <c r="AK174" s="157"/>
      <c r="AL174" s="157"/>
      <c r="AM174" s="157"/>
      <c r="AN174" s="6"/>
      <c r="AO174" s="157"/>
      <c r="AP174" s="157"/>
      <c r="AQ174" s="157"/>
      <c r="AR174" s="157"/>
      <c r="AS174" s="157"/>
      <c r="AT174" s="157"/>
      <c r="AU174" s="157"/>
      <c r="AV174" s="157"/>
      <c r="AW174" s="6"/>
      <c r="AX174" s="157"/>
      <c r="AY174" s="157"/>
      <c r="AZ174" s="157"/>
      <c r="BA174" s="157"/>
      <c r="BB174" s="157"/>
      <c r="BC174" s="157"/>
      <c r="BD174" s="157"/>
      <c r="BE174" s="157"/>
      <c r="BG174" s="157"/>
    </row>
    <row r="175" spans="2:59" x14ac:dyDescent="0.3">
      <c r="E175" s="8"/>
      <c r="F175" s="8"/>
      <c r="G175" s="8"/>
      <c r="H175" s="8"/>
      <c r="I175" s="8"/>
      <c r="J175" s="8"/>
      <c r="K175" s="8"/>
      <c r="L175" s="8"/>
      <c r="M175" s="8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</row>
    <row r="176" spans="2:59" x14ac:dyDescent="0.3">
      <c r="E176" s="8"/>
      <c r="F176" s="8"/>
      <c r="G176" s="8"/>
      <c r="H176" s="8"/>
      <c r="I176" s="8"/>
      <c r="J176" s="8"/>
      <c r="K176" s="8"/>
      <c r="L176" s="8"/>
      <c r="M176" s="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6"/>
      <c r="AX176" s="6"/>
      <c r="AY176" s="6"/>
      <c r="AZ176" s="6"/>
      <c r="BA176" s="6"/>
      <c r="BB176" s="6"/>
      <c r="BC176" s="6"/>
      <c r="BD176" s="6"/>
      <c r="BE176" s="6"/>
    </row>
    <row r="177" spans="5:57" x14ac:dyDescent="0.3">
      <c r="E177" s="8"/>
      <c r="F177" s="8"/>
      <c r="G177" s="8"/>
      <c r="H177" s="8"/>
      <c r="I177" s="8"/>
      <c r="J177" s="8"/>
      <c r="K177" s="8"/>
      <c r="L177" s="8"/>
      <c r="M177" s="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6"/>
      <c r="AX177" s="6"/>
      <c r="AY177" s="6"/>
      <c r="AZ177" s="6"/>
      <c r="BA177" s="6"/>
      <c r="BB177" s="6"/>
      <c r="BC177" s="6"/>
      <c r="BD177" s="6"/>
      <c r="BE177" s="6"/>
    </row>
    <row r="178" spans="5:57" x14ac:dyDescent="0.3">
      <c r="E178" s="8"/>
      <c r="F178" s="8"/>
      <c r="G178" s="8"/>
      <c r="H178" s="8"/>
      <c r="I178" s="8"/>
      <c r="J178" s="8"/>
      <c r="K178" s="8"/>
      <c r="L178" s="8"/>
      <c r="M178" s="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6"/>
      <c r="AX178" s="6"/>
      <c r="AY178" s="6"/>
      <c r="AZ178" s="6"/>
      <c r="BA178" s="6"/>
      <c r="BB178" s="6"/>
      <c r="BC178" s="6"/>
      <c r="BD178" s="6"/>
      <c r="BE178" s="6"/>
    </row>
    <row r="179" spans="5:57" x14ac:dyDescent="0.3">
      <c r="E179" s="8"/>
      <c r="F179" s="8"/>
      <c r="G179" s="8"/>
      <c r="H179" s="8"/>
      <c r="I179" s="8"/>
      <c r="J179" s="8"/>
      <c r="K179" s="8"/>
      <c r="L179" s="8"/>
      <c r="M179" s="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6"/>
      <c r="AX179" s="6"/>
      <c r="AY179" s="6"/>
      <c r="AZ179" s="6"/>
      <c r="BA179" s="6"/>
      <c r="BB179" s="6"/>
      <c r="BC179" s="6"/>
      <c r="BD179" s="6"/>
      <c r="BE179" s="6"/>
    </row>
    <row r="180" spans="5:57" x14ac:dyDescent="0.3">
      <c r="E180" s="8"/>
      <c r="F180" s="8"/>
      <c r="G180" s="8"/>
      <c r="H180" s="8"/>
      <c r="I180" s="8"/>
      <c r="J180" s="8"/>
      <c r="K180" s="8"/>
      <c r="L180" s="8"/>
      <c r="M180" s="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6"/>
      <c r="AX180" s="6"/>
      <c r="AY180" s="6"/>
      <c r="AZ180" s="6"/>
      <c r="BA180" s="6"/>
      <c r="BB180" s="6"/>
      <c r="BC180" s="6"/>
      <c r="BD180" s="6"/>
      <c r="BE180" s="6"/>
    </row>
    <row r="181" spans="5:57" x14ac:dyDescent="0.3">
      <c r="E181" s="8"/>
      <c r="F181" s="8"/>
      <c r="G181" s="8"/>
      <c r="H181" s="8"/>
      <c r="I181" s="8"/>
      <c r="J181" s="8"/>
      <c r="K181" s="8"/>
      <c r="L181" s="8"/>
      <c r="M181" s="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6"/>
      <c r="AX181" s="6"/>
      <c r="AY181" s="6"/>
      <c r="AZ181" s="6"/>
      <c r="BA181" s="6"/>
      <c r="BB181" s="6"/>
      <c r="BC181" s="6"/>
      <c r="BD181" s="6"/>
      <c r="BE181" s="6"/>
    </row>
    <row r="182" spans="5:57" x14ac:dyDescent="0.3">
      <c r="E182" s="8"/>
      <c r="F182" s="8"/>
      <c r="G182" s="8"/>
      <c r="H182" s="8"/>
      <c r="I182" s="8"/>
      <c r="J182" s="8"/>
      <c r="K182" s="8"/>
      <c r="L182" s="8"/>
      <c r="M182" s="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6"/>
      <c r="AX182" s="6"/>
      <c r="AY182" s="6"/>
      <c r="AZ182" s="6"/>
      <c r="BA182" s="6"/>
      <c r="BB182" s="6"/>
      <c r="BC182" s="6"/>
      <c r="BD182" s="6"/>
      <c r="BE182" s="6"/>
    </row>
    <row r="183" spans="5:57" x14ac:dyDescent="0.3">
      <c r="E183" s="8"/>
      <c r="F183" s="8"/>
      <c r="G183" s="8"/>
      <c r="H183" s="20"/>
      <c r="I183" s="20"/>
      <c r="J183" s="20"/>
      <c r="K183" s="20"/>
      <c r="L183" s="20"/>
      <c r="M183" s="20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6"/>
      <c r="AX183" s="6"/>
      <c r="AY183" s="6"/>
      <c r="AZ183" s="6"/>
      <c r="BA183" s="6"/>
      <c r="BB183" s="6"/>
      <c r="BC183" s="6"/>
      <c r="BD183" s="6"/>
      <c r="BE183" s="6"/>
    </row>
    <row r="184" spans="5:57" x14ac:dyDescent="0.3">
      <c r="E184" s="8"/>
      <c r="F184" s="8"/>
      <c r="G184" s="8"/>
      <c r="H184" s="8"/>
      <c r="I184" s="8"/>
      <c r="J184" s="8"/>
      <c r="K184" s="8"/>
      <c r="L184" s="8"/>
      <c r="M184" s="8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</row>
    <row r="185" spans="5:57" x14ac:dyDescent="0.3">
      <c r="E185" s="8"/>
      <c r="F185" s="8"/>
      <c r="G185" s="8"/>
      <c r="H185" s="8"/>
      <c r="I185" s="8"/>
      <c r="J185" s="8"/>
      <c r="K185" s="8"/>
      <c r="L185" s="8"/>
      <c r="M185" s="8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</row>
    <row r="186" spans="5:57" x14ac:dyDescent="0.3">
      <c r="E186" s="8"/>
      <c r="F186" s="8"/>
      <c r="G186" s="8"/>
      <c r="H186" s="8"/>
      <c r="I186" s="8"/>
      <c r="J186" s="8"/>
      <c r="K186" s="8"/>
      <c r="L186" s="8"/>
      <c r="M186" s="8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</row>
    <row r="187" spans="5:57" x14ac:dyDescent="0.3">
      <c r="E187" s="8"/>
      <c r="F187" s="8"/>
      <c r="G187" s="8"/>
      <c r="H187" s="8"/>
      <c r="I187" s="8"/>
      <c r="J187" s="8"/>
      <c r="K187" s="8"/>
      <c r="L187" s="8"/>
      <c r="M187" s="8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</row>
    <row r="188" spans="5:57" x14ac:dyDescent="0.3">
      <c r="E188" s="8"/>
      <c r="F188" s="8"/>
      <c r="G188" s="8"/>
      <c r="H188" s="8"/>
      <c r="I188" s="8"/>
      <c r="J188" s="8"/>
      <c r="K188" s="8"/>
      <c r="L188" s="8"/>
      <c r="M188" s="8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</row>
    <row r="189" spans="5:57" x14ac:dyDescent="0.3">
      <c r="E189" s="8"/>
      <c r="F189" s="8"/>
      <c r="G189" s="8"/>
      <c r="H189" s="8"/>
      <c r="I189" s="8"/>
      <c r="J189" s="8"/>
      <c r="K189" s="8"/>
      <c r="L189" s="8"/>
      <c r="M189" s="8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</row>
    <row r="190" spans="5:57" x14ac:dyDescent="0.3">
      <c r="E190" s="8"/>
      <c r="F190" s="8"/>
      <c r="G190" s="8"/>
      <c r="H190" s="8"/>
      <c r="I190" s="8"/>
      <c r="J190" s="8"/>
      <c r="K190" s="8"/>
      <c r="L190" s="8"/>
      <c r="M190" s="8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</row>
    <row r="191" spans="5:57" x14ac:dyDescent="0.3">
      <c r="E191" s="8"/>
      <c r="F191" s="8"/>
      <c r="G191" s="8"/>
      <c r="H191" s="8"/>
      <c r="I191" s="8"/>
      <c r="J191" s="8"/>
      <c r="K191" s="8"/>
      <c r="L191" s="8"/>
      <c r="M191" s="8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</row>
    <row r="192" spans="5:57" x14ac:dyDescent="0.3">
      <c r="E192" s="8"/>
      <c r="F192" s="8"/>
      <c r="G192" s="8"/>
      <c r="H192" s="8"/>
      <c r="I192" s="8"/>
      <c r="J192" s="8"/>
      <c r="K192" s="8"/>
      <c r="L192" s="8"/>
      <c r="M192" s="8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</row>
    <row r="193" spans="5:57" x14ac:dyDescent="0.3">
      <c r="E193" s="8"/>
      <c r="F193" s="8"/>
      <c r="G193" s="8"/>
      <c r="H193" s="8"/>
      <c r="I193" s="8"/>
      <c r="J193" s="8"/>
      <c r="K193" s="8"/>
      <c r="L193" s="8"/>
      <c r="M193" s="8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</row>
    <row r="194" spans="5:57" x14ac:dyDescent="0.3">
      <c r="E194" s="8"/>
      <c r="F194" s="8"/>
      <c r="G194" s="8"/>
      <c r="H194" s="8"/>
      <c r="I194" s="8"/>
      <c r="J194" s="8"/>
      <c r="K194" s="8"/>
      <c r="L194" s="8"/>
      <c r="M194" s="8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</row>
    <row r="195" spans="5:57" x14ac:dyDescent="0.3">
      <c r="E195" s="8"/>
      <c r="F195" s="8"/>
      <c r="G195" s="8"/>
      <c r="H195" s="8"/>
      <c r="I195" s="8"/>
      <c r="J195" s="8"/>
      <c r="K195" s="8"/>
      <c r="L195" s="8"/>
      <c r="M195" s="8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</row>
    <row r="196" spans="5:57" x14ac:dyDescent="0.3">
      <c r="E196" s="8"/>
      <c r="F196" s="8"/>
      <c r="G196" s="8"/>
      <c r="H196" s="8"/>
      <c r="I196" s="8"/>
      <c r="J196" s="8"/>
      <c r="K196" s="8"/>
      <c r="L196" s="8"/>
      <c r="M196" s="8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</row>
    <row r="197" spans="5:57" x14ac:dyDescent="0.3">
      <c r="E197" s="8"/>
      <c r="F197" s="8"/>
      <c r="G197" s="8"/>
      <c r="H197" s="8"/>
      <c r="I197" s="8"/>
      <c r="J197" s="8"/>
      <c r="K197" s="8"/>
      <c r="L197" s="8"/>
      <c r="M197" s="8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</row>
    <row r="198" spans="5:57" x14ac:dyDescent="0.3">
      <c r="E198" s="8"/>
      <c r="F198" s="8"/>
      <c r="G198" s="8"/>
      <c r="H198" s="8"/>
      <c r="I198" s="8"/>
      <c r="J198" s="8"/>
      <c r="K198" s="8"/>
      <c r="L198" s="8"/>
      <c r="M198" s="8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</row>
    <row r="199" spans="5:57" x14ac:dyDescent="0.3">
      <c r="E199" s="8"/>
      <c r="F199" s="8"/>
      <c r="G199" s="8"/>
      <c r="H199" s="8"/>
      <c r="I199" s="8"/>
      <c r="J199" s="8"/>
      <c r="K199" s="8"/>
      <c r="L199" s="8"/>
      <c r="M199" s="8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</row>
    <row r="200" spans="5:57" x14ac:dyDescent="0.3">
      <c r="E200" s="8"/>
      <c r="F200" s="8"/>
      <c r="G200" s="8"/>
      <c r="H200" s="8"/>
      <c r="I200" s="8"/>
      <c r="J200" s="8"/>
      <c r="K200" s="8"/>
      <c r="L200" s="8"/>
      <c r="M200" s="8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</row>
    <row r="201" spans="5:57" x14ac:dyDescent="0.3">
      <c r="E201" s="8"/>
      <c r="F201" s="8"/>
      <c r="G201" s="8"/>
      <c r="H201" s="8"/>
      <c r="I201" s="8"/>
      <c r="J201" s="8"/>
      <c r="K201" s="8"/>
      <c r="L201" s="8"/>
      <c r="M201" s="8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</row>
    <row r="202" spans="5:57" x14ac:dyDescent="0.3">
      <c r="E202" s="8"/>
      <c r="F202" s="8"/>
      <c r="G202" s="8"/>
      <c r="H202" s="8"/>
      <c r="I202" s="8"/>
      <c r="J202" s="8"/>
      <c r="K202" s="8"/>
      <c r="L202" s="8"/>
      <c r="M202" s="8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</row>
    <row r="203" spans="5:57" x14ac:dyDescent="0.3">
      <c r="E203" s="8"/>
      <c r="F203" s="8"/>
      <c r="G203" s="8"/>
      <c r="H203" s="8"/>
      <c r="I203" s="8"/>
      <c r="J203" s="8"/>
      <c r="K203" s="8"/>
      <c r="L203" s="8"/>
      <c r="M203" s="8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</row>
    <row r="204" spans="5:57" x14ac:dyDescent="0.3"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</row>
    <row r="205" spans="5:57" x14ac:dyDescent="0.3"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</row>
    <row r="206" spans="5:57" x14ac:dyDescent="0.3"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</row>
    <row r="207" spans="5:57" x14ac:dyDescent="0.3"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</row>
    <row r="208" spans="5:57" x14ac:dyDescent="0.3"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</row>
    <row r="209" spans="5:57" x14ac:dyDescent="0.3"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</row>
    <row r="210" spans="5:57" x14ac:dyDescent="0.3"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</row>
    <row r="211" spans="5:57" x14ac:dyDescent="0.3"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</row>
    <row r="212" spans="5:57" x14ac:dyDescent="0.3"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</row>
    <row r="213" spans="5:57" x14ac:dyDescent="0.3"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</row>
    <row r="214" spans="5:57" x14ac:dyDescent="0.3"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</row>
    <row r="215" spans="5:57" x14ac:dyDescent="0.3"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</row>
    <row r="216" spans="5:57" x14ac:dyDescent="0.3"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</row>
    <row r="217" spans="5:57" x14ac:dyDescent="0.3"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</row>
    <row r="218" spans="5:57" x14ac:dyDescent="0.3"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</row>
    <row r="219" spans="5:57" x14ac:dyDescent="0.3"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</row>
    <row r="220" spans="5:57" x14ac:dyDescent="0.3"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</row>
    <row r="221" spans="5:57" x14ac:dyDescent="0.3"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</row>
    <row r="222" spans="5:57" x14ac:dyDescent="0.3"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</row>
    <row r="223" spans="5:57" x14ac:dyDescent="0.3"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</row>
    <row r="224" spans="5:57" x14ac:dyDescent="0.3"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</row>
    <row r="225" spans="5:57" x14ac:dyDescent="0.3"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</row>
    <row r="226" spans="5:57" x14ac:dyDescent="0.3"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</row>
    <row r="227" spans="5:57" x14ac:dyDescent="0.3"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</row>
    <row r="228" spans="5:57" x14ac:dyDescent="0.3"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</row>
    <row r="229" spans="5:57" x14ac:dyDescent="0.3"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</row>
    <row r="230" spans="5:57" x14ac:dyDescent="0.3"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</row>
    <row r="231" spans="5:57" x14ac:dyDescent="0.3"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</row>
    <row r="232" spans="5:57" x14ac:dyDescent="0.3"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</row>
    <row r="233" spans="5:57" x14ac:dyDescent="0.3"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</row>
    <row r="234" spans="5:57" x14ac:dyDescent="0.3"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</row>
    <row r="235" spans="5:57" x14ac:dyDescent="0.3"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</row>
    <row r="236" spans="5:57" x14ac:dyDescent="0.3"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</row>
    <row r="237" spans="5:57" x14ac:dyDescent="0.3"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</row>
    <row r="238" spans="5:57" x14ac:dyDescent="0.3"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</row>
    <row r="239" spans="5:57" x14ac:dyDescent="0.3"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</row>
    <row r="240" spans="5:57" x14ac:dyDescent="0.3"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</row>
    <row r="241" spans="5:57" x14ac:dyDescent="0.3"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</row>
    <row r="242" spans="5:57" x14ac:dyDescent="0.3"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</row>
    <row r="243" spans="5:57" x14ac:dyDescent="0.3"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</row>
    <row r="244" spans="5:57" x14ac:dyDescent="0.3"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</row>
    <row r="245" spans="5:57" x14ac:dyDescent="0.3"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</row>
    <row r="246" spans="5:57" x14ac:dyDescent="0.3"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</row>
    <row r="247" spans="5:57" x14ac:dyDescent="0.3"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</row>
    <row r="248" spans="5:57" x14ac:dyDescent="0.3"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</row>
    <row r="249" spans="5:57" x14ac:dyDescent="0.3"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</row>
    <row r="250" spans="5:57" x14ac:dyDescent="0.3"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</row>
    <row r="251" spans="5:57" x14ac:dyDescent="0.3"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</row>
    <row r="252" spans="5:57" x14ac:dyDescent="0.3"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</row>
    <row r="253" spans="5:57" x14ac:dyDescent="0.3"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</row>
    <row r="254" spans="5:57" x14ac:dyDescent="0.3"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</row>
    <row r="255" spans="5:57" x14ac:dyDescent="0.3"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</row>
    <row r="256" spans="5:57" x14ac:dyDescent="0.3"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</row>
    <row r="257" spans="5:57" x14ac:dyDescent="0.3"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</row>
    <row r="258" spans="5:57" x14ac:dyDescent="0.3"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</row>
    <row r="259" spans="5:57" x14ac:dyDescent="0.3"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</row>
    <row r="260" spans="5:57" x14ac:dyDescent="0.3"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</row>
    <row r="261" spans="5:57" x14ac:dyDescent="0.3"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</row>
    <row r="262" spans="5:57" x14ac:dyDescent="0.3"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</row>
    <row r="263" spans="5:57" x14ac:dyDescent="0.3"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</row>
    <row r="264" spans="5:57" x14ac:dyDescent="0.3"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</row>
    <row r="265" spans="5:57" x14ac:dyDescent="0.3"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</row>
    <row r="266" spans="5:57" x14ac:dyDescent="0.3"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</row>
    <row r="267" spans="5:57" x14ac:dyDescent="0.3"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</row>
    <row r="268" spans="5:57" x14ac:dyDescent="0.3"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</row>
    <row r="269" spans="5:57" x14ac:dyDescent="0.3"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</row>
    <row r="270" spans="5:57" x14ac:dyDescent="0.3"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</row>
    <row r="271" spans="5:57" x14ac:dyDescent="0.3"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</row>
    <row r="272" spans="5:57" x14ac:dyDescent="0.3"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</row>
    <row r="273" spans="5:57" x14ac:dyDescent="0.3"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</row>
    <row r="274" spans="5:57" x14ac:dyDescent="0.3"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</row>
    <row r="275" spans="5:57" x14ac:dyDescent="0.3"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</row>
    <row r="276" spans="5:57" x14ac:dyDescent="0.3"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</row>
    <row r="277" spans="5:57" x14ac:dyDescent="0.3"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</row>
    <row r="278" spans="5:57" x14ac:dyDescent="0.3"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</row>
    <row r="279" spans="5:57" x14ac:dyDescent="0.3"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</row>
    <row r="280" spans="5:57" x14ac:dyDescent="0.3"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</row>
    <row r="281" spans="5:57" x14ac:dyDescent="0.3"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</row>
    <row r="282" spans="5:57" x14ac:dyDescent="0.3"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</row>
    <row r="283" spans="5:57" x14ac:dyDescent="0.3"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</row>
    <row r="284" spans="5:57" x14ac:dyDescent="0.3"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</row>
    <row r="285" spans="5:57" x14ac:dyDescent="0.3"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</row>
    <row r="286" spans="5:57" x14ac:dyDescent="0.3"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</row>
    <row r="287" spans="5:57" x14ac:dyDescent="0.3"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</row>
    <row r="288" spans="5:57" x14ac:dyDescent="0.3"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</row>
    <row r="289" spans="5:57" x14ac:dyDescent="0.3"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</row>
    <row r="290" spans="5:57" x14ac:dyDescent="0.3"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</row>
    <row r="291" spans="5:57" x14ac:dyDescent="0.3"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</row>
    <row r="292" spans="5:57" x14ac:dyDescent="0.3"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</row>
    <row r="293" spans="5:57" x14ac:dyDescent="0.3"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</row>
    <row r="294" spans="5:57" x14ac:dyDescent="0.3"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</row>
    <row r="295" spans="5:57" x14ac:dyDescent="0.3"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</row>
    <row r="296" spans="5:57" x14ac:dyDescent="0.3"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</row>
    <row r="297" spans="5:57" x14ac:dyDescent="0.3"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</row>
    <row r="298" spans="5:57" x14ac:dyDescent="0.3"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</row>
    <row r="299" spans="5:57" x14ac:dyDescent="0.3"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</row>
    <row r="300" spans="5:57" x14ac:dyDescent="0.3"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</row>
    <row r="301" spans="5:57" x14ac:dyDescent="0.3"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</row>
    <row r="302" spans="5:57" x14ac:dyDescent="0.3"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</row>
    <row r="303" spans="5:57" x14ac:dyDescent="0.3"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</row>
    <row r="304" spans="5:57" x14ac:dyDescent="0.3"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</row>
    <row r="305" spans="5:57" x14ac:dyDescent="0.3"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</row>
    <row r="306" spans="5:57" x14ac:dyDescent="0.3"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</row>
    <row r="307" spans="5:57" x14ac:dyDescent="0.3"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</row>
    <row r="308" spans="5:57" x14ac:dyDescent="0.3"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</row>
    <row r="309" spans="5:57" x14ac:dyDescent="0.3"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</row>
    <row r="310" spans="5:57" x14ac:dyDescent="0.3"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</row>
    <row r="311" spans="5:57" x14ac:dyDescent="0.3"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</row>
    <row r="312" spans="5:57" x14ac:dyDescent="0.3"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</row>
    <row r="313" spans="5:57" x14ac:dyDescent="0.3"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</row>
    <row r="314" spans="5:57" x14ac:dyDescent="0.3"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</row>
    <row r="315" spans="5:57" x14ac:dyDescent="0.3"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</row>
    <row r="316" spans="5:57" x14ac:dyDescent="0.3"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</row>
    <row r="317" spans="5:57" x14ac:dyDescent="0.3"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</row>
    <row r="318" spans="5:57" x14ac:dyDescent="0.3"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</row>
    <row r="319" spans="5:57" x14ac:dyDescent="0.3"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</row>
    <row r="320" spans="5:57" x14ac:dyDescent="0.3"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</row>
    <row r="321" spans="5:57" x14ac:dyDescent="0.3"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</row>
    <row r="322" spans="5:57" x14ac:dyDescent="0.3"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</row>
    <row r="323" spans="5:57" x14ac:dyDescent="0.3"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</row>
    <row r="324" spans="5:57" x14ac:dyDescent="0.3"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</row>
    <row r="325" spans="5:57" x14ac:dyDescent="0.3"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</row>
    <row r="326" spans="5:57" x14ac:dyDescent="0.3"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</row>
    <row r="327" spans="5:57" x14ac:dyDescent="0.3"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</row>
    <row r="328" spans="5:57" x14ac:dyDescent="0.3"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</row>
    <row r="329" spans="5:57" x14ac:dyDescent="0.3"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</row>
    <row r="330" spans="5:57" x14ac:dyDescent="0.3"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</row>
    <row r="331" spans="5:57" x14ac:dyDescent="0.3"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</row>
    <row r="332" spans="5:57" x14ac:dyDescent="0.3"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</row>
    <row r="333" spans="5:57" x14ac:dyDescent="0.3"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</row>
    <row r="334" spans="5:57" x14ac:dyDescent="0.3"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</row>
    <row r="335" spans="5:57" x14ac:dyDescent="0.3"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</row>
    <row r="336" spans="5:57" x14ac:dyDescent="0.3"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</row>
    <row r="337" spans="5:57" x14ac:dyDescent="0.3"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</row>
    <row r="338" spans="5:57" x14ac:dyDescent="0.3"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</row>
    <row r="339" spans="5:57" x14ac:dyDescent="0.3"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</row>
    <row r="340" spans="5:57" x14ac:dyDescent="0.3"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</row>
    <row r="341" spans="5:57" x14ac:dyDescent="0.3"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</row>
    <row r="342" spans="5:57" x14ac:dyDescent="0.3"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</row>
    <row r="343" spans="5:57" x14ac:dyDescent="0.3"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</row>
    <row r="344" spans="5:57" x14ac:dyDescent="0.3"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</row>
    <row r="345" spans="5:57" x14ac:dyDescent="0.3"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</row>
    <row r="346" spans="5:57" x14ac:dyDescent="0.3"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</row>
    <row r="347" spans="5:57" x14ac:dyDescent="0.3"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</row>
    <row r="348" spans="5:57" x14ac:dyDescent="0.3"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</row>
    <row r="349" spans="5:57" x14ac:dyDescent="0.3"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</row>
    <row r="350" spans="5:57" x14ac:dyDescent="0.3"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</row>
    <row r="351" spans="5:57" x14ac:dyDescent="0.3"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</row>
    <row r="352" spans="5:57" x14ac:dyDescent="0.3"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</row>
    <row r="353" spans="5:57" x14ac:dyDescent="0.3"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</row>
    <row r="354" spans="5:57" x14ac:dyDescent="0.3"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</row>
    <row r="355" spans="5:57" x14ac:dyDescent="0.3"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</row>
    <row r="356" spans="5:57" x14ac:dyDescent="0.3"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</row>
    <row r="357" spans="5:57" x14ac:dyDescent="0.3"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</row>
    <row r="358" spans="5:57" x14ac:dyDescent="0.3"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</row>
    <row r="359" spans="5:57" x14ac:dyDescent="0.3"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</row>
    <row r="360" spans="5:57" x14ac:dyDescent="0.3"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</row>
    <row r="361" spans="5:57" x14ac:dyDescent="0.3"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</row>
    <row r="362" spans="5:57" x14ac:dyDescent="0.3"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</row>
    <row r="363" spans="5:57" x14ac:dyDescent="0.3"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</row>
    <row r="364" spans="5:57" x14ac:dyDescent="0.3"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</row>
    <row r="365" spans="5:57" x14ac:dyDescent="0.3"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</row>
    <row r="366" spans="5:57" x14ac:dyDescent="0.3"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</row>
    <row r="367" spans="5:57" x14ac:dyDescent="0.3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</row>
    <row r="368" spans="5:57" x14ac:dyDescent="0.3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</row>
    <row r="369" spans="5:57" x14ac:dyDescent="0.3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</row>
    <row r="370" spans="5:57" x14ac:dyDescent="0.3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</row>
    <row r="371" spans="5:57" x14ac:dyDescent="0.3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</row>
    <row r="372" spans="5:57" x14ac:dyDescent="0.3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</row>
    <row r="373" spans="5:57" x14ac:dyDescent="0.3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</row>
    <row r="374" spans="5:57" x14ac:dyDescent="0.3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</row>
    <row r="375" spans="5:57" x14ac:dyDescent="0.3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</row>
    <row r="376" spans="5:57" x14ac:dyDescent="0.3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</row>
    <row r="377" spans="5:57" x14ac:dyDescent="0.3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</row>
    <row r="378" spans="5:57" x14ac:dyDescent="0.3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</row>
    <row r="379" spans="5:57" x14ac:dyDescent="0.3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</row>
    <row r="380" spans="5:57" x14ac:dyDescent="0.3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</row>
    <row r="381" spans="5:57" x14ac:dyDescent="0.3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</row>
    <row r="382" spans="5:57" x14ac:dyDescent="0.3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</row>
    <row r="383" spans="5:57" x14ac:dyDescent="0.3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</row>
    <row r="384" spans="5:57" x14ac:dyDescent="0.3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</row>
    <row r="385" spans="5:57" x14ac:dyDescent="0.3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</row>
    <row r="386" spans="5:57" x14ac:dyDescent="0.3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</row>
    <row r="387" spans="5:57" x14ac:dyDescent="0.3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</row>
    <row r="388" spans="5:57" x14ac:dyDescent="0.3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</row>
    <row r="389" spans="5:57" x14ac:dyDescent="0.3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</row>
    <row r="390" spans="5:57" x14ac:dyDescent="0.3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</row>
    <row r="391" spans="5:57" x14ac:dyDescent="0.3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</row>
    <row r="392" spans="5:57" x14ac:dyDescent="0.3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</row>
    <row r="393" spans="5:57" x14ac:dyDescent="0.3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</row>
    <row r="394" spans="5:57" x14ac:dyDescent="0.3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</row>
    <row r="395" spans="5:57" x14ac:dyDescent="0.3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</row>
    <row r="396" spans="5:57" x14ac:dyDescent="0.3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</row>
    <row r="397" spans="5:57" x14ac:dyDescent="0.3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</row>
    <row r="398" spans="5:57" x14ac:dyDescent="0.3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</row>
    <row r="399" spans="5:57" x14ac:dyDescent="0.3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</row>
    <row r="400" spans="5:57" x14ac:dyDescent="0.3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</row>
    <row r="401" spans="5:57" x14ac:dyDescent="0.3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</row>
    <row r="402" spans="5:57" x14ac:dyDescent="0.3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</row>
    <row r="403" spans="5:57" x14ac:dyDescent="0.3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</row>
    <row r="404" spans="5:57" x14ac:dyDescent="0.3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</row>
    <row r="405" spans="5:57" x14ac:dyDescent="0.3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</row>
    <row r="406" spans="5:57" x14ac:dyDescent="0.3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</row>
    <row r="407" spans="5:57" x14ac:dyDescent="0.3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</row>
    <row r="408" spans="5:57" x14ac:dyDescent="0.3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</row>
    <row r="409" spans="5:57" x14ac:dyDescent="0.3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</row>
    <row r="410" spans="5:57" x14ac:dyDescent="0.3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</row>
    <row r="411" spans="5:57" x14ac:dyDescent="0.3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</row>
    <row r="412" spans="5:57" x14ac:dyDescent="0.3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</row>
    <row r="413" spans="5:57" x14ac:dyDescent="0.3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</row>
    <row r="414" spans="5:57" x14ac:dyDescent="0.3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</row>
    <row r="415" spans="5:57" x14ac:dyDescent="0.3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</row>
    <row r="416" spans="5:57" x14ac:dyDescent="0.3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</row>
    <row r="417" spans="5:57" x14ac:dyDescent="0.3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</row>
    <row r="418" spans="5:57" x14ac:dyDescent="0.3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</row>
    <row r="419" spans="5:57" x14ac:dyDescent="0.3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</row>
    <row r="420" spans="5:57" x14ac:dyDescent="0.3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</row>
    <row r="421" spans="5:57" x14ac:dyDescent="0.3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</row>
    <row r="422" spans="5:57" x14ac:dyDescent="0.3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</row>
    <row r="423" spans="5:57" x14ac:dyDescent="0.3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</row>
    <row r="424" spans="5:57" x14ac:dyDescent="0.3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</row>
    <row r="425" spans="5:57" x14ac:dyDescent="0.3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</row>
    <row r="426" spans="5:57" x14ac:dyDescent="0.3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</row>
    <row r="427" spans="5:57" x14ac:dyDescent="0.3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</row>
    <row r="428" spans="5:57" x14ac:dyDescent="0.3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</row>
    <row r="429" spans="5:57" x14ac:dyDescent="0.3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</row>
  </sheetData>
  <mergeCells count="5">
    <mergeCell ref="AX3:BE3"/>
    <mergeCell ref="N3:U3"/>
    <mergeCell ref="W3:AD3"/>
    <mergeCell ref="AF3:AM3"/>
    <mergeCell ref="AO3:AV3"/>
  </mergeCells>
  <pageMargins left="0.7" right="0.7" top="0.75" bottom="0.75" header="0.3" footer="0.3"/>
  <pageSetup paperSize="9" orientation="portrait" verticalDpi="0" r:id="rId1"/>
  <ignoredErrors>
    <ignoredError sqref="Q64:Q65 Q75:Q76 Q86:Q87 Q97:Q98 Q119" formula="1"/>
    <ignoredError sqref="N134:U134 W134:AD134 AF134:AM134 AO134:AV134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V70"/>
  <sheetViews>
    <sheetView zoomScale="85" zoomScaleNormal="85" workbookViewId="0">
      <selection activeCell="H5" sqref="H5"/>
    </sheetView>
  </sheetViews>
  <sheetFormatPr defaultRowHeight="14.4" x14ac:dyDescent="0.3"/>
  <cols>
    <col min="1" max="1" width="4" customWidth="1"/>
    <col min="2" max="2" width="3.33203125" customWidth="1"/>
    <col min="3" max="3" width="25.44140625" customWidth="1"/>
    <col min="4" max="4" width="9.33203125" bestFit="1" customWidth="1"/>
    <col min="5" max="5" width="10.33203125" customWidth="1"/>
    <col min="6" max="6" width="9.44140625" customWidth="1"/>
    <col min="7" max="8" width="9" bestFit="1" customWidth="1"/>
    <col min="9" max="12" width="9" customWidth="1"/>
  </cols>
  <sheetData>
    <row r="1" spans="2:13" x14ac:dyDescent="0.3">
      <c r="B1" s="22" t="s">
        <v>200</v>
      </c>
    </row>
    <row r="3" spans="2:13" x14ac:dyDescent="0.3">
      <c r="B3" s="25" t="s">
        <v>613</v>
      </c>
    </row>
    <row r="4" spans="2:13" x14ac:dyDescent="0.3">
      <c r="I4" s="475" t="s">
        <v>541</v>
      </c>
      <c r="M4" s="475" t="s">
        <v>542</v>
      </c>
    </row>
    <row r="5" spans="2:13" x14ac:dyDescent="0.3">
      <c r="B5" t="s">
        <v>101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75" t="s">
        <v>6</v>
      </c>
      <c r="J5" s="433">
        <v>2021</v>
      </c>
      <c r="K5" s="433">
        <v>2022</v>
      </c>
      <c r="L5" s="433">
        <v>2023</v>
      </c>
      <c r="M5" s="4" t="s">
        <v>6</v>
      </c>
    </row>
    <row r="6" spans="2:13" x14ac:dyDescent="0.3">
      <c r="B6" t="s">
        <v>18</v>
      </c>
    </row>
    <row r="7" spans="2:13" x14ac:dyDescent="0.3">
      <c r="C7" t="s">
        <v>42</v>
      </c>
      <c r="D7" s="27">
        <f>Direct_Capex_Composition!AX156</f>
        <v>0</v>
      </c>
      <c r="E7" s="27">
        <f>Direct_Capex_Composition!AY156</f>
        <v>0</v>
      </c>
      <c r="F7" s="27">
        <f>Direct_Capex_Composition!AZ156</f>
        <v>4077.0138472805152</v>
      </c>
      <c r="G7" s="27">
        <f>Direct_Capex_Composition!BA156</f>
        <v>18608.867027064651</v>
      </c>
      <c r="H7" s="27">
        <f>Direct_Capex_Composition!BB156</f>
        <v>5864.1926216616448</v>
      </c>
      <c r="I7" s="27">
        <f>SUM(D7:H7)</f>
        <v>28550.073496006811</v>
      </c>
      <c r="J7" s="27">
        <f>Direct_Capex_Composition!BC156</f>
        <v>282.32652979123009</v>
      </c>
      <c r="K7" s="27">
        <f>Direct_Capex_Composition!BD156</f>
        <v>0</v>
      </c>
      <c r="L7" s="27">
        <f>Direct_Capex_Composition!BE156</f>
        <v>0</v>
      </c>
      <c r="M7" s="28">
        <f>SUM(J7:L7)</f>
        <v>282.32652979123009</v>
      </c>
    </row>
    <row r="8" spans="2:13" x14ac:dyDescent="0.3">
      <c r="C8" t="s">
        <v>44</v>
      </c>
      <c r="D8" s="27">
        <f>Direct_Capex_Composition!AX157</f>
        <v>0</v>
      </c>
      <c r="E8" s="27">
        <f>Direct_Capex_Composition!AY157</f>
        <v>0</v>
      </c>
      <c r="F8" s="27">
        <f>Direct_Capex_Composition!AZ157</f>
        <v>0</v>
      </c>
      <c r="G8" s="27">
        <f>Direct_Capex_Composition!BA157</f>
        <v>0</v>
      </c>
      <c r="H8" s="27">
        <f>Direct_Capex_Composition!BB157</f>
        <v>0</v>
      </c>
      <c r="I8" s="27">
        <f>SUM(D8:H8)</f>
        <v>0</v>
      </c>
      <c r="J8" s="27">
        <f>Direct_Capex_Composition!BC157</f>
        <v>0</v>
      </c>
      <c r="K8" s="27">
        <f>Direct_Capex_Composition!BD157</f>
        <v>0</v>
      </c>
      <c r="L8" s="27">
        <f>Direct_Capex_Composition!BE157</f>
        <v>0</v>
      </c>
      <c r="M8" s="28">
        <f>SUM(J8:L8)</f>
        <v>0</v>
      </c>
    </row>
    <row r="9" spans="2:13" x14ac:dyDescent="0.3">
      <c r="C9" t="s">
        <v>102</v>
      </c>
      <c r="D9" s="125">
        <f>SUM(D7:D8)</f>
        <v>0</v>
      </c>
      <c r="E9" s="125">
        <f t="shared" ref="E9:M9" si="0">SUM(E7:E8)</f>
        <v>0</v>
      </c>
      <c r="F9" s="125">
        <f t="shared" si="0"/>
        <v>4077.0138472805152</v>
      </c>
      <c r="G9" s="125">
        <f t="shared" si="0"/>
        <v>18608.867027064651</v>
      </c>
      <c r="H9" s="125">
        <f t="shared" si="0"/>
        <v>5864.1926216616448</v>
      </c>
      <c r="I9" s="125">
        <f t="shared" si="0"/>
        <v>28550.073496006811</v>
      </c>
      <c r="J9" s="125">
        <f t="shared" ref="J9:L9" si="1">SUM(J7:J8)</f>
        <v>282.32652979123009</v>
      </c>
      <c r="K9" s="125">
        <f t="shared" si="1"/>
        <v>0</v>
      </c>
      <c r="L9" s="125">
        <f t="shared" si="1"/>
        <v>0</v>
      </c>
      <c r="M9" s="125">
        <f t="shared" si="0"/>
        <v>282.32652979123009</v>
      </c>
    </row>
    <row r="10" spans="2:13" x14ac:dyDescent="0.3">
      <c r="B10" s="8" t="s">
        <v>19</v>
      </c>
      <c r="D10" s="27"/>
      <c r="E10" s="27"/>
      <c r="F10" s="27"/>
      <c r="G10" s="27"/>
      <c r="H10" s="27"/>
      <c r="I10" s="27"/>
      <c r="J10" s="27"/>
      <c r="K10" s="27"/>
      <c r="L10" s="27"/>
    </row>
    <row r="11" spans="2:13" x14ac:dyDescent="0.3">
      <c r="C11" t="s">
        <v>42</v>
      </c>
      <c r="D11" s="27">
        <f>Direct_Capex_Composition!AX160</f>
        <v>0</v>
      </c>
      <c r="E11" s="27">
        <f>Direct_Capex_Composition!AY160</f>
        <v>0</v>
      </c>
      <c r="F11" s="27">
        <f>Direct_Capex_Composition!AZ160</f>
        <v>7575.691205049332</v>
      </c>
      <c r="G11" s="27">
        <f>Direct_Capex_Composition!BA160</f>
        <v>15236.278215166929</v>
      </c>
      <c r="H11" s="27">
        <f>Direct_Capex_Composition!BB160</f>
        <v>8639.9291752750451</v>
      </c>
      <c r="I11" s="27">
        <f t="shared" ref="I11:I12" si="2">SUM(D11:H11)</f>
        <v>31451.898595491308</v>
      </c>
      <c r="J11" s="27">
        <f>Direct_Capex_Composition!BC160</f>
        <v>0</v>
      </c>
      <c r="K11" s="27">
        <f>Direct_Capex_Composition!BD160</f>
        <v>0</v>
      </c>
      <c r="L11" s="27">
        <f>Direct_Capex_Composition!BE160</f>
        <v>0</v>
      </c>
      <c r="M11" s="28">
        <f t="shared" ref="M11:M12" si="3">SUM(J11:L11)</f>
        <v>0</v>
      </c>
    </row>
    <row r="12" spans="2:13" x14ac:dyDescent="0.3">
      <c r="C12" t="s">
        <v>44</v>
      </c>
      <c r="D12" s="27">
        <f>Direct_Capex_Composition!AX161</f>
        <v>0</v>
      </c>
      <c r="E12" s="27">
        <f>Direct_Capex_Composition!AY161</f>
        <v>0</v>
      </c>
      <c r="F12" s="27">
        <f>Direct_Capex_Composition!AZ161</f>
        <v>4177.5491758246826</v>
      </c>
      <c r="G12" s="27">
        <f>Direct_Capex_Composition!BA161</f>
        <v>18641.406570761959</v>
      </c>
      <c r="H12" s="27">
        <f>Direct_Capex_Composition!BB161</f>
        <v>19717.824999822853</v>
      </c>
      <c r="I12" s="27">
        <f t="shared" si="2"/>
        <v>42536.780746409495</v>
      </c>
      <c r="J12" s="27">
        <f>Direct_Capex_Composition!BC161</f>
        <v>1709.2023487200736</v>
      </c>
      <c r="K12" s="27">
        <f>Direct_Capex_Composition!BD161</f>
        <v>1709.2023487200736</v>
      </c>
      <c r="L12" s="27">
        <f>Direct_Capex_Composition!BE161</f>
        <v>1709.2023487200736</v>
      </c>
      <c r="M12" s="28">
        <f t="shared" si="3"/>
        <v>5127.6070461602212</v>
      </c>
    </row>
    <row r="13" spans="2:13" x14ac:dyDescent="0.3">
      <c r="C13" t="s">
        <v>102</v>
      </c>
      <c r="D13" s="125">
        <f>SUM(D11:D12)</f>
        <v>0</v>
      </c>
      <c r="E13" s="125">
        <f t="shared" ref="E13" si="4">SUM(E11:E12)</f>
        <v>0</v>
      </c>
      <c r="F13" s="125">
        <f t="shared" ref="F13" si="5">SUM(F11:F12)</f>
        <v>11753.240380874015</v>
      </c>
      <c r="G13" s="125">
        <f t="shared" ref="G13" si="6">SUM(G11:G12)</f>
        <v>33877.68478592889</v>
      </c>
      <c r="H13" s="125">
        <f t="shared" ref="H13:L13" si="7">SUM(H11:H12)</f>
        <v>28357.7541750979</v>
      </c>
      <c r="I13" s="125">
        <f t="shared" si="7"/>
        <v>73988.679341900803</v>
      </c>
      <c r="J13" s="125">
        <f t="shared" si="7"/>
        <v>1709.2023487200736</v>
      </c>
      <c r="K13" s="125">
        <f t="shared" si="7"/>
        <v>1709.2023487200736</v>
      </c>
      <c r="L13" s="125">
        <f t="shared" si="7"/>
        <v>1709.2023487200736</v>
      </c>
      <c r="M13" s="125">
        <f t="shared" ref="M13" si="8">SUM(M11:M12)</f>
        <v>5127.6070461602212</v>
      </c>
    </row>
    <row r="14" spans="2:13" x14ac:dyDescent="0.3">
      <c r="B14" s="8" t="s">
        <v>22</v>
      </c>
      <c r="D14" s="27"/>
      <c r="E14" s="27"/>
      <c r="F14" s="27"/>
      <c r="G14" s="27"/>
      <c r="H14" s="27"/>
      <c r="I14" s="27"/>
      <c r="J14" s="27"/>
      <c r="K14" s="27"/>
      <c r="L14" s="27"/>
    </row>
    <row r="15" spans="2:13" x14ac:dyDescent="0.3">
      <c r="C15" t="s">
        <v>42</v>
      </c>
      <c r="D15" s="27">
        <f>Direct_Capex_Composition!AX164</f>
        <v>0</v>
      </c>
      <c r="E15" s="27">
        <f>Direct_Capex_Composition!AY164</f>
        <v>0</v>
      </c>
      <c r="F15" s="27">
        <f>Direct_Capex_Composition!AZ164</f>
        <v>3071.8401301889226</v>
      </c>
      <c r="G15" s="27">
        <f>Direct_Capex_Composition!BA164</f>
        <v>20620.544163088773</v>
      </c>
      <c r="H15" s="27">
        <f>Direct_Capex_Composition!BB164</f>
        <v>5587.5867170866322</v>
      </c>
      <c r="I15" s="27">
        <f t="shared" ref="I15:I16" si="9">SUM(D15:H15)</f>
        <v>29279.97101036433</v>
      </c>
      <c r="J15" s="27">
        <f>Direct_Capex_Composition!BC164</f>
        <v>102.10348209972886</v>
      </c>
      <c r="K15" s="27">
        <f>Direct_Capex_Composition!BD164</f>
        <v>0</v>
      </c>
      <c r="L15" s="27">
        <f>Direct_Capex_Composition!BE164</f>
        <v>0</v>
      </c>
      <c r="M15" s="28">
        <f t="shared" ref="M15:M16" si="10">SUM(J15:L15)</f>
        <v>102.10348209972886</v>
      </c>
    </row>
    <row r="16" spans="2:13" x14ac:dyDescent="0.3">
      <c r="C16" t="s">
        <v>44</v>
      </c>
      <c r="D16" s="27">
        <f>Direct_Capex_Composition!AX165</f>
        <v>0</v>
      </c>
      <c r="E16" s="27">
        <f>Direct_Capex_Composition!AY165</f>
        <v>0</v>
      </c>
      <c r="F16" s="27">
        <f>Direct_Capex_Composition!AZ165</f>
        <v>0</v>
      </c>
      <c r="G16" s="27">
        <f>Direct_Capex_Composition!BA165</f>
        <v>194.78405315614614</v>
      </c>
      <c r="H16" s="27">
        <f>Direct_Capex_Composition!BB165</f>
        <v>316.52408637873748</v>
      </c>
      <c r="I16" s="27">
        <f t="shared" si="9"/>
        <v>511.30813953488359</v>
      </c>
      <c r="J16" s="27">
        <f>Direct_Capex_Composition!BC165</f>
        <v>0</v>
      </c>
      <c r="K16" s="27">
        <f>Direct_Capex_Composition!BD165</f>
        <v>0</v>
      </c>
      <c r="L16" s="27">
        <f>Direct_Capex_Composition!BE165</f>
        <v>0</v>
      </c>
      <c r="M16" s="28">
        <f t="shared" si="10"/>
        <v>0</v>
      </c>
    </row>
    <row r="17" spans="2:22" x14ac:dyDescent="0.3">
      <c r="C17" t="s">
        <v>102</v>
      </c>
      <c r="D17" s="125">
        <f>SUM(D15:D16)</f>
        <v>0</v>
      </c>
      <c r="E17" s="125">
        <f t="shared" ref="E17" si="11">SUM(E15:E16)</f>
        <v>0</v>
      </c>
      <c r="F17" s="125">
        <f t="shared" ref="F17" si="12">SUM(F15:F16)</f>
        <v>3071.8401301889226</v>
      </c>
      <c r="G17" s="125">
        <f t="shared" ref="G17" si="13">SUM(G15:G16)</f>
        <v>20815.328216244918</v>
      </c>
      <c r="H17" s="125">
        <f t="shared" ref="H17:L17" si="14">SUM(H15:H16)</f>
        <v>5904.1108034653698</v>
      </c>
      <c r="I17" s="125">
        <f t="shared" si="14"/>
        <v>29791.279149899216</v>
      </c>
      <c r="J17" s="125">
        <f t="shared" si="14"/>
        <v>102.10348209972886</v>
      </c>
      <c r="K17" s="125">
        <f t="shared" si="14"/>
        <v>0</v>
      </c>
      <c r="L17" s="125">
        <f t="shared" si="14"/>
        <v>0</v>
      </c>
      <c r="M17" s="125">
        <f t="shared" ref="M17" si="15">SUM(M15:M16)</f>
        <v>102.10348209972886</v>
      </c>
    </row>
    <row r="18" spans="2:22" x14ac:dyDescent="0.3">
      <c r="B18" s="182" t="s">
        <v>66</v>
      </c>
      <c r="D18" s="185"/>
      <c r="E18" s="185"/>
      <c r="F18" s="185"/>
      <c r="G18" s="185"/>
      <c r="H18" s="185"/>
      <c r="I18" s="483"/>
      <c r="J18" s="185"/>
      <c r="K18" s="185"/>
      <c r="L18" s="185"/>
      <c r="M18" s="185"/>
    </row>
    <row r="19" spans="2:22" x14ac:dyDescent="0.3">
      <c r="C19" s="182" t="s">
        <v>143</v>
      </c>
      <c r="D19" s="160">
        <f>Direct_Capex_Composition!AX168</f>
        <v>0</v>
      </c>
      <c r="E19" s="160">
        <f>Direct_Capex_Composition!AY168</f>
        <v>0</v>
      </c>
      <c r="F19" s="160">
        <f>Direct_Capex_Composition!AZ168</f>
        <v>0</v>
      </c>
      <c r="G19" s="160">
        <f>Direct_Capex_Composition!BA168</f>
        <v>0</v>
      </c>
      <c r="H19" s="160">
        <f>Direct_Capex_Composition!BB168</f>
        <v>0</v>
      </c>
      <c r="I19" s="160">
        <f t="shared" ref="I19:I21" si="16">SUM(D19:H19)</f>
        <v>0</v>
      </c>
      <c r="J19" s="160">
        <f>Direct_Capex_Composition!BC168</f>
        <v>0</v>
      </c>
      <c r="K19" s="160">
        <f>Direct_Capex_Composition!BD168</f>
        <v>0</v>
      </c>
      <c r="L19" s="160">
        <f>Direct_Capex_Composition!BE168</f>
        <v>0</v>
      </c>
      <c r="M19" s="28">
        <f t="shared" ref="M19:M21" si="17">SUM(J19:L19)</f>
        <v>0</v>
      </c>
    </row>
    <row r="20" spans="2:22" x14ac:dyDescent="0.3">
      <c r="C20" s="182" t="s">
        <v>142</v>
      </c>
      <c r="D20" s="160">
        <f>Direct_Capex_Composition!AX169</f>
        <v>0</v>
      </c>
      <c r="E20" s="160">
        <f>Direct_Capex_Composition!AY169</f>
        <v>0</v>
      </c>
      <c r="F20" s="160">
        <f>Direct_Capex_Composition!AZ169</f>
        <v>0</v>
      </c>
      <c r="G20" s="160">
        <f>Direct_Capex_Composition!BA169</f>
        <v>510.75778604651157</v>
      </c>
      <c r="H20" s="160">
        <f>Direct_Capex_Composition!BB169</f>
        <v>1532.2733581395346</v>
      </c>
      <c r="I20" s="160">
        <f t="shared" si="16"/>
        <v>2043.0311441860463</v>
      </c>
      <c r="J20" s="160">
        <f>Direct_Capex_Composition!BC169</f>
        <v>0</v>
      </c>
      <c r="K20" s="160">
        <f>Direct_Capex_Composition!BD169</f>
        <v>0</v>
      </c>
      <c r="L20" s="160">
        <f>Direct_Capex_Composition!BE169</f>
        <v>0</v>
      </c>
      <c r="M20" s="28">
        <f t="shared" si="17"/>
        <v>0</v>
      </c>
    </row>
    <row r="21" spans="2:22" x14ac:dyDescent="0.3">
      <c r="C21" s="182" t="s">
        <v>195</v>
      </c>
      <c r="D21" s="160">
        <f>Direct_Capex_Composition!AX170</f>
        <v>0</v>
      </c>
      <c r="E21" s="160">
        <f>Direct_Capex_Composition!AY170</f>
        <v>0</v>
      </c>
      <c r="F21" s="160">
        <f>Direct_Capex_Composition!AZ170</f>
        <v>0</v>
      </c>
      <c r="G21" s="160">
        <f>Direct_Capex_Composition!BA170</f>
        <v>0</v>
      </c>
      <c r="H21" s="160">
        <f>Direct_Capex_Composition!BB170</f>
        <v>0</v>
      </c>
      <c r="I21" s="160">
        <f t="shared" si="16"/>
        <v>0</v>
      </c>
      <c r="J21" s="160">
        <f>Direct_Capex_Composition!BC170</f>
        <v>0</v>
      </c>
      <c r="K21" s="160">
        <f>Direct_Capex_Composition!BD170</f>
        <v>0</v>
      </c>
      <c r="L21" s="160">
        <f>Direct_Capex_Composition!BE170</f>
        <v>0</v>
      </c>
      <c r="M21" s="28">
        <f t="shared" si="17"/>
        <v>0</v>
      </c>
    </row>
    <row r="22" spans="2:22" x14ac:dyDescent="0.3">
      <c r="C22" s="182" t="s">
        <v>102</v>
      </c>
      <c r="D22" s="185">
        <f t="shared" ref="D22" si="18">SUM(D19:D21)</f>
        <v>0</v>
      </c>
      <c r="E22" s="185">
        <f>SUM(E19:E21)</f>
        <v>0</v>
      </c>
      <c r="F22" s="185">
        <f t="shared" ref="F22:M22" si="19">SUM(F19:F21)</f>
        <v>0</v>
      </c>
      <c r="G22" s="185">
        <f t="shared" si="19"/>
        <v>510.75778604651157</v>
      </c>
      <c r="H22" s="185">
        <f t="shared" si="19"/>
        <v>1532.2733581395346</v>
      </c>
      <c r="I22" s="185">
        <f t="shared" ref="I22" si="20">SUM(I19:I21)</f>
        <v>2043.0311441860463</v>
      </c>
      <c r="J22" s="185">
        <f t="shared" ref="J22:L22" si="21">SUM(J19:J21)</f>
        <v>0</v>
      </c>
      <c r="K22" s="185">
        <f t="shared" si="21"/>
        <v>0</v>
      </c>
      <c r="L22" s="185">
        <f t="shared" si="21"/>
        <v>0</v>
      </c>
      <c r="M22" s="185">
        <f t="shared" si="19"/>
        <v>0</v>
      </c>
    </row>
    <row r="23" spans="2:22" ht="15" thickBot="1" x14ac:dyDescent="0.35">
      <c r="B23" s="25" t="s">
        <v>103</v>
      </c>
      <c r="D23" s="158">
        <f>D9+D13+D17+D22</f>
        <v>0</v>
      </c>
      <c r="E23" s="158">
        <f t="shared" ref="E23:M23" si="22">E9+E13+E17+E22</f>
        <v>0</v>
      </c>
      <c r="F23" s="158">
        <f t="shared" si="22"/>
        <v>18902.094358343453</v>
      </c>
      <c r="G23" s="158">
        <f t="shared" si="22"/>
        <v>73812.637815284965</v>
      </c>
      <c r="H23" s="158">
        <f t="shared" si="22"/>
        <v>41658.330958364451</v>
      </c>
      <c r="I23" s="158">
        <f t="shared" ref="I23" si="23">I9+I13+I17+I22</f>
        <v>134373.06313199288</v>
      </c>
      <c r="J23" s="158">
        <f t="shared" ref="J23:L23" si="24">J9+J13+J17+J22</f>
        <v>2093.6323606110327</v>
      </c>
      <c r="K23" s="158">
        <f t="shared" si="24"/>
        <v>1709.2023487200736</v>
      </c>
      <c r="L23" s="158">
        <f t="shared" si="24"/>
        <v>1709.2023487200736</v>
      </c>
      <c r="M23" s="158">
        <f t="shared" si="22"/>
        <v>5512.0370580511808</v>
      </c>
      <c r="Q23" s="396"/>
      <c r="R23" s="396"/>
      <c r="S23" s="396"/>
      <c r="T23" s="396"/>
      <c r="U23" s="396"/>
      <c r="V23" s="396"/>
    </row>
    <row r="24" spans="2:22" x14ac:dyDescent="0.3">
      <c r="B24" s="209" t="s">
        <v>55</v>
      </c>
      <c r="D24" s="160">
        <f>D23-Direct_Capex_Composition!AX172</f>
        <v>0</v>
      </c>
      <c r="E24" s="160">
        <f>E23-Direct_Capex_Composition!AY172</f>
        <v>0</v>
      </c>
      <c r="F24" s="160">
        <f>F23-Direct_Capex_Composition!AZ172</f>
        <v>0</v>
      </c>
      <c r="G24" s="160">
        <f>G23-Direct_Capex_Composition!BA172</f>
        <v>0</v>
      </c>
      <c r="H24" s="160">
        <f>H23-Direct_Capex_Composition!BB172</f>
        <v>0</v>
      </c>
      <c r="I24" s="160"/>
      <c r="J24" s="160">
        <f>J23-Direct_Capex_Composition!BC172</f>
        <v>0</v>
      </c>
      <c r="K24" s="160">
        <f>K23-Direct_Capex_Composition!BD172</f>
        <v>0</v>
      </c>
      <c r="L24" s="160">
        <f>L23-Direct_Capex_Composition!BE172</f>
        <v>0</v>
      </c>
      <c r="M24" s="160">
        <f>I23+M23-Direct_Capex_Composition!BG172</f>
        <v>0</v>
      </c>
    </row>
    <row r="25" spans="2:22" x14ac:dyDescent="0.3">
      <c r="B25" s="53"/>
      <c r="D25" s="160"/>
      <c r="E25" s="160"/>
      <c r="F25" s="160"/>
      <c r="G25" s="160"/>
      <c r="H25" s="160"/>
      <c r="I25" s="160"/>
      <c r="J25" s="160"/>
      <c r="K25" s="160"/>
      <c r="L25" s="160"/>
      <c r="M25" s="160"/>
    </row>
    <row r="26" spans="2:22" ht="15" x14ac:dyDescent="0.25">
      <c r="B26" s="25" t="s">
        <v>614</v>
      </c>
      <c r="D26" s="27"/>
      <c r="E26" s="27"/>
      <c r="F26" s="27"/>
      <c r="G26" s="27"/>
      <c r="H26" s="27"/>
      <c r="I26" s="27"/>
      <c r="J26" s="27"/>
      <c r="K26" s="27"/>
      <c r="L26" s="27"/>
    </row>
    <row r="27" spans="2:22" ht="15" x14ac:dyDescent="0.25">
      <c r="B27" s="25"/>
      <c r="D27" s="27"/>
      <c r="E27" s="27"/>
      <c r="F27" s="27"/>
      <c r="G27" s="27"/>
      <c r="H27" s="27"/>
      <c r="I27" s="475" t="s">
        <v>541</v>
      </c>
      <c r="J27" s="27"/>
      <c r="K27" s="27"/>
      <c r="L27" s="27"/>
      <c r="M27" s="475" t="s">
        <v>542</v>
      </c>
    </row>
    <row r="28" spans="2:22" ht="15" x14ac:dyDescent="0.25">
      <c r="B28" t="s">
        <v>101</v>
      </c>
      <c r="D28" s="4">
        <v>2016</v>
      </c>
      <c r="E28" s="4">
        <v>2017</v>
      </c>
      <c r="F28" s="4">
        <v>2018</v>
      </c>
      <c r="G28" s="4">
        <v>2019</v>
      </c>
      <c r="H28" s="4">
        <v>2020</v>
      </c>
      <c r="I28" s="475" t="s">
        <v>6</v>
      </c>
      <c r="J28" s="433">
        <v>2021</v>
      </c>
      <c r="K28" s="433">
        <v>2022</v>
      </c>
      <c r="L28" s="433">
        <v>2023</v>
      </c>
      <c r="M28" s="4" t="s">
        <v>6</v>
      </c>
    </row>
    <row r="29" spans="2:22" ht="15" x14ac:dyDescent="0.25">
      <c r="B29" t="s">
        <v>18</v>
      </c>
    </row>
    <row r="30" spans="2:22" ht="15" x14ac:dyDescent="0.25">
      <c r="C30" t="s">
        <v>42</v>
      </c>
      <c r="D30" s="27">
        <f>Direct_Capex_Composition!W156*(Escalators!D$30-1)+Direct_Capex_Composition!AF156*(Escalators!D$31-1)</f>
        <v>0</v>
      </c>
      <c r="E30" s="27">
        <f>Direct_Capex_Composition!X156*(Escalators!E$30-1)+Direct_Capex_Composition!AG156*(Escalators!E$31-1)</f>
        <v>0</v>
      </c>
      <c r="F30" s="27">
        <f>Direct_Capex_Composition!Y156*(Escalators!F$30-1)+Direct_Capex_Composition!AH156*(Escalators!F$31-1)</f>
        <v>60.533768538070234</v>
      </c>
      <c r="G30" s="27">
        <f>Direct_Capex_Composition!Z156*(Escalators!G$30-1)+Direct_Capex_Composition!AI156*(Escalators!G$31-1)</f>
        <v>307.16260327697995</v>
      </c>
      <c r="H30" s="27">
        <f>Direct_Capex_Composition!AA156*(Escalators!H$30-1)+Direct_Capex_Composition!AJ156*(Escalators!H$31-1)</f>
        <v>128.91201844462955</v>
      </c>
      <c r="I30" s="27">
        <f>SUM(D30:H30)</f>
        <v>496.60839025967971</v>
      </c>
      <c r="J30" s="495"/>
      <c r="K30" s="495"/>
      <c r="L30" s="495"/>
      <c r="M30" s="28">
        <f>SUM(J30:L30)</f>
        <v>0</v>
      </c>
    </row>
    <row r="31" spans="2:22" x14ac:dyDescent="0.3">
      <c r="C31" t="s">
        <v>44</v>
      </c>
      <c r="D31" s="27">
        <f>Direct_Capex_Composition!W157*(Escalators!D$30-1)+Direct_Capex_Composition!AF157*(Escalators!D$31-1)</f>
        <v>0</v>
      </c>
      <c r="E31" s="27">
        <f>Direct_Capex_Composition!X157*(Escalators!E$30-1)+Direct_Capex_Composition!AG157*(Escalators!E$31-1)</f>
        <v>0</v>
      </c>
      <c r="F31" s="27">
        <f>Direct_Capex_Composition!Y157*(Escalators!F$30-1)+Direct_Capex_Composition!AH157*(Escalators!F$31-1)</f>
        <v>0</v>
      </c>
      <c r="G31" s="27">
        <f>Direct_Capex_Composition!Z157*(Escalators!G$30-1)+Direct_Capex_Composition!AI157*(Escalators!G$31-1)</f>
        <v>0</v>
      </c>
      <c r="H31" s="27">
        <f>Direct_Capex_Composition!AA157*(Escalators!H$30-1)+Direct_Capex_Composition!AJ157*(Escalators!H$31-1)</f>
        <v>0</v>
      </c>
      <c r="I31" s="27">
        <f>SUM(D31:H31)</f>
        <v>0</v>
      </c>
      <c r="J31" s="495"/>
      <c r="K31" s="495"/>
      <c r="L31" s="495"/>
      <c r="M31" s="28">
        <f>SUM(J31:L31)</f>
        <v>0</v>
      </c>
    </row>
    <row r="32" spans="2:22" x14ac:dyDescent="0.3">
      <c r="C32" t="s">
        <v>102</v>
      </c>
      <c r="D32" s="125">
        <f>SUM(D30:D31)</f>
        <v>0</v>
      </c>
      <c r="E32" s="125">
        <f t="shared" ref="E32" si="25">SUM(E30:E31)</f>
        <v>0</v>
      </c>
      <c r="F32" s="125">
        <f t="shared" ref="F32" si="26">SUM(F30:F31)</f>
        <v>60.533768538070234</v>
      </c>
      <c r="G32" s="125">
        <f t="shared" ref="G32" si="27">SUM(G30:G31)</f>
        <v>307.16260327697995</v>
      </c>
      <c r="H32" s="125">
        <f t="shared" ref="H32:L32" si="28">SUM(H30:H31)</f>
        <v>128.91201844462955</v>
      </c>
      <c r="I32" s="125">
        <f t="shared" ref="I32" si="29">SUM(I30:I31)</f>
        <v>496.60839025967971</v>
      </c>
      <c r="J32" s="125">
        <f t="shared" si="28"/>
        <v>0</v>
      </c>
      <c r="K32" s="125">
        <f t="shared" si="28"/>
        <v>0</v>
      </c>
      <c r="L32" s="125">
        <f t="shared" si="28"/>
        <v>0</v>
      </c>
      <c r="M32" s="125">
        <f t="shared" ref="M32" si="30">SUM(M30:M31)</f>
        <v>0</v>
      </c>
    </row>
    <row r="33" spans="2:14" x14ac:dyDescent="0.3">
      <c r="B33" s="8" t="s">
        <v>19</v>
      </c>
      <c r="D33" s="27"/>
      <c r="E33" s="27"/>
      <c r="F33" s="27"/>
      <c r="G33" s="27"/>
      <c r="H33" s="27"/>
      <c r="I33" s="27"/>
      <c r="J33" s="27"/>
      <c r="K33" s="27"/>
      <c r="L33" s="27"/>
    </row>
    <row r="34" spans="2:14" x14ac:dyDescent="0.3">
      <c r="C34" t="s">
        <v>42</v>
      </c>
      <c r="D34" s="27">
        <f>Direct_Capex_Composition!W160*(Escalators!D$30-1)+Direct_Capex_Composition!AF160*(Escalators!D$31-1)</f>
        <v>0</v>
      </c>
      <c r="E34" s="27">
        <f>Direct_Capex_Composition!X160*(Escalators!E$30-1)+Direct_Capex_Composition!AG160*(Escalators!E$31-1)</f>
        <v>0</v>
      </c>
      <c r="F34" s="27">
        <f>Direct_Capex_Composition!Y160*(Escalators!F$30-1)+Direct_Capex_Composition!AH160*(Escalators!F$31-1)</f>
        <v>32.436703985813288</v>
      </c>
      <c r="G34" s="27">
        <f>Direct_Capex_Composition!Z160*(Escalators!G$30-1)+Direct_Capex_Composition!AI160*(Escalators!G$31-1)</f>
        <v>218.39317327466546</v>
      </c>
      <c r="H34" s="27">
        <f>Direct_Capex_Composition!AA160*(Escalators!H$30-1)+Direct_Capex_Composition!AJ160*(Escalators!H$31-1)</f>
        <v>301.66506197488991</v>
      </c>
      <c r="I34" s="27">
        <f t="shared" ref="I34:I35" si="31">SUM(D34:H34)</f>
        <v>552.49493923536863</v>
      </c>
      <c r="J34" s="495"/>
      <c r="K34" s="495"/>
      <c r="L34" s="495"/>
      <c r="M34" s="28">
        <f t="shared" ref="M34:M35" si="32">SUM(J34:L34)</f>
        <v>0</v>
      </c>
    </row>
    <row r="35" spans="2:14" x14ac:dyDescent="0.3">
      <c r="C35" t="s">
        <v>44</v>
      </c>
      <c r="D35" s="27">
        <f>Direct_Capex_Composition!W161*(Escalators!D$30-1)+Direct_Capex_Composition!AF161*(Escalators!D$31-1)</f>
        <v>0</v>
      </c>
      <c r="E35" s="27">
        <f>Direct_Capex_Composition!X161*(Escalators!E$30-1)+Direct_Capex_Composition!AG161*(Escalators!E$31-1)</f>
        <v>0</v>
      </c>
      <c r="F35" s="27">
        <f>Direct_Capex_Composition!Y161*(Escalators!F$30-1)+Direct_Capex_Composition!AH161*(Escalators!F$31-1)</f>
        <v>7.8691055008695479</v>
      </c>
      <c r="G35" s="27">
        <f>Direct_Capex_Composition!Z161*(Escalators!G$30-1)+Direct_Capex_Composition!AI161*(Escalators!G$31-1)</f>
        <v>309.27612259088994</v>
      </c>
      <c r="H35" s="27">
        <f>Direct_Capex_Composition!AA161*(Escalators!H$30-1)+Direct_Capex_Composition!AJ161*(Escalators!H$31-1)</f>
        <v>488.24253126172846</v>
      </c>
      <c r="I35" s="27">
        <f t="shared" si="31"/>
        <v>805.38775935348792</v>
      </c>
      <c r="J35" s="495"/>
      <c r="K35" s="495"/>
      <c r="L35" s="495"/>
      <c r="M35" s="28">
        <f t="shared" si="32"/>
        <v>0</v>
      </c>
    </row>
    <row r="36" spans="2:14" x14ac:dyDescent="0.3">
      <c r="C36" t="s">
        <v>102</v>
      </c>
      <c r="D36" s="125">
        <f>SUM(D34:D35)</f>
        <v>0</v>
      </c>
      <c r="E36" s="125">
        <f t="shared" ref="E36" si="33">SUM(E34:E35)</f>
        <v>0</v>
      </c>
      <c r="F36" s="125">
        <f t="shared" ref="F36" si="34">SUM(F34:F35)</f>
        <v>40.305809486682833</v>
      </c>
      <c r="G36" s="125">
        <f t="shared" ref="G36" si="35">SUM(G34:G35)</f>
        <v>527.66929586555534</v>
      </c>
      <c r="H36" s="125">
        <f t="shared" ref="H36:L36" si="36">SUM(H34:H35)</f>
        <v>789.90759323661837</v>
      </c>
      <c r="I36" s="125">
        <f t="shared" ref="I36" si="37">SUM(I34:I35)</f>
        <v>1357.8826985888566</v>
      </c>
      <c r="J36" s="125">
        <f t="shared" si="36"/>
        <v>0</v>
      </c>
      <c r="K36" s="125">
        <f t="shared" si="36"/>
        <v>0</v>
      </c>
      <c r="L36" s="125">
        <f t="shared" si="36"/>
        <v>0</v>
      </c>
      <c r="M36" s="125">
        <f t="shared" ref="M36" si="38">SUM(M34:M35)</f>
        <v>0</v>
      </c>
    </row>
    <row r="37" spans="2:14" x14ac:dyDescent="0.3">
      <c r="B37" s="8" t="s">
        <v>22</v>
      </c>
      <c r="D37" s="27"/>
      <c r="E37" s="27"/>
      <c r="F37" s="27"/>
      <c r="G37" s="27"/>
      <c r="H37" s="27"/>
      <c r="I37" s="27"/>
      <c r="J37" s="27"/>
      <c r="K37" s="27"/>
      <c r="L37" s="27"/>
    </row>
    <row r="38" spans="2:14" x14ac:dyDescent="0.3">
      <c r="C38" t="s">
        <v>42</v>
      </c>
      <c r="D38" s="27">
        <f>Direct_Capex_Composition!W164*(Escalators!D$30-1)+Direct_Capex_Composition!AF164*(Escalators!D$31-1)</f>
        <v>0</v>
      </c>
      <c r="E38" s="27">
        <f>Direct_Capex_Composition!X164*(Escalators!E$30-1)+Direct_Capex_Composition!AG164*(Escalators!E$31-1)</f>
        <v>0</v>
      </c>
      <c r="F38" s="27">
        <f>Direct_Capex_Composition!Y164*(Escalators!F$30-1)+Direct_Capex_Composition!AH164*(Escalators!F$31-1)</f>
        <v>29.052536741359432</v>
      </c>
      <c r="G38" s="27">
        <f>Direct_Capex_Composition!Z164*(Escalators!G$30-1)+Direct_Capex_Composition!AI164*(Escalators!G$31-1)</f>
        <v>150.46155476483867</v>
      </c>
      <c r="H38" s="27">
        <f>Direct_Capex_Composition!AA164*(Escalators!H$30-1)+Direct_Capex_Composition!AJ164*(Escalators!H$31-1)</f>
        <v>60.523319601015089</v>
      </c>
      <c r="I38" s="27">
        <f t="shared" ref="I38:I39" si="39">SUM(D38:H38)</f>
        <v>240.03741110721319</v>
      </c>
      <c r="J38" s="495"/>
      <c r="K38" s="495"/>
      <c r="L38" s="495"/>
      <c r="M38" s="28">
        <f t="shared" ref="M38:M39" si="40">SUM(J38:L38)</f>
        <v>0</v>
      </c>
    </row>
    <row r="39" spans="2:14" x14ac:dyDescent="0.3">
      <c r="C39" t="s">
        <v>44</v>
      </c>
      <c r="D39" s="27">
        <f>Direct_Capex_Composition!W165*(Escalators!D$30-1)+Direct_Capex_Composition!AF165*(Escalators!D$31-1)</f>
        <v>0</v>
      </c>
      <c r="E39" s="27">
        <f>Direct_Capex_Composition!X165*(Escalators!E$30-1)+Direct_Capex_Composition!AG165*(Escalators!E$31-1)</f>
        <v>0</v>
      </c>
      <c r="F39" s="27">
        <f>Direct_Capex_Composition!Y165*(Escalators!F$30-1)+Direct_Capex_Composition!AH165*(Escalators!F$31-1)</f>
        <v>0</v>
      </c>
      <c r="G39" s="27">
        <f>Direct_Capex_Composition!Z165*(Escalators!G$30-1)+Direct_Capex_Composition!AI165*(Escalators!G$31-1)</f>
        <v>5.5270664002013792</v>
      </c>
      <c r="H39" s="27">
        <f>Direct_Capex_Composition!AA165*(Escalators!H$30-1)+Direct_Capex_Composition!AJ165*(Escalators!H$31-1)</f>
        <v>12.757347503964386</v>
      </c>
      <c r="I39" s="27">
        <f t="shared" si="39"/>
        <v>18.284413904165767</v>
      </c>
      <c r="J39" s="495"/>
      <c r="K39" s="495"/>
      <c r="L39" s="495"/>
      <c r="M39" s="28">
        <f t="shared" si="40"/>
        <v>0</v>
      </c>
    </row>
    <row r="40" spans="2:14" x14ac:dyDescent="0.3">
      <c r="C40" t="s">
        <v>102</v>
      </c>
      <c r="D40" s="125">
        <f>SUM(D38:D39)</f>
        <v>0</v>
      </c>
      <c r="E40" s="125">
        <f t="shared" ref="E40" si="41">SUM(E38:E39)</f>
        <v>0</v>
      </c>
      <c r="F40" s="125">
        <f t="shared" ref="F40" si="42">SUM(F38:F39)</f>
        <v>29.052536741359432</v>
      </c>
      <c r="G40" s="125">
        <f t="shared" ref="G40" si="43">SUM(G38:G39)</f>
        <v>155.98862116504006</v>
      </c>
      <c r="H40" s="125">
        <f t="shared" ref="H40:L40" si="44">SUM(H38:H39)</f>
        <v>73.280667104979472</v>
      </c>
      <c r="I40" s="125">
        <f t="shared" ref="I40" si="45">SUM(I38:I39)</f>
        <v>258.32182501137896</v>
      </c>
      <c r="J40" s="125">
        <f t="shared" si="44"/>
        <v>0</v>
      </c>
      <c r="K40" s="125">
        <f t="shared" si="44"/>
        <v>0</v>
      </c>
      <c r="L40" s="125">
        <f t="shared" si="44"/>
        <v>0</v>
      </c>
      <c r="M40" s="125">
        <f t="shared" ref="M40" si="46">SUM(M38:M39)</f>
        <v>0</v>
      </c>
    </row>
    <row r="41" spans="2:14" x14ac:dyDescent="0.3">
      <c r="B41" s="182" t="s">
        <v>66</v>
      </c>
      <c r="D41" s="185"/>
      <c r="E41" s="185"/>
      <c r="F41" s="185"/>
      <c r="G41" s="185"/>
      <c r="H41" s="185"/>
      <c r="I41" s="483"/>
      <c r="J41" s="185"/>
      <c r="K41" s="185"/>
      <c r="L41" s="185"/>
      <c r="M41" s="185"/>
    </row>
    <row r="42" spans="2:14" x14ac:dyDescent="0.3">
      <c r="C42" s="182" t="s">
        <v>143</v>
      </c>
      <c r="D42" s="27">
        <f>Direct_Capex_Composition!W168*(Escalators!D$30-1)+Direct_Capex_Composition!AF168*(Escalators!D$31-1)</f>
        <v>0</v>
      </c>
      <c r="E42" s="27">
        <f>Direct_Capex_Composition!X168*(Escalators!E$30-1)+Direct_Capex_Composition!AG168*(Escalators!E$31-1)</f>
        <v>0</v>
      </c>
      <c r="F42" s="27">
        <f>Direct_Capex_Composition!Y168*(Escalators!F$30-1)+Direct_Capex_Composition!AH168*(Escalators!F$31-1)</f>
        <v>0</v>
      </c>
      <c r="G42" s="27">
        <f>Direct_Capex_Composition!Z168*(Escalators!G$30-1)+Direct_Capex_Composition!AI168*(Escalators!G$31-1)</f>
        <v>0</v>
      </c>
      <c r="H42" s="27">
        <f>Direct_Capex_Composition!AA168*(Escalators!H$30-1)+Direct_Capex_Composition!AJ168*(Escalators!H$31-1)</f>
        <v>0</v>
      </c>
      <c r="I42" s="160">
        <f t="shared" ref="I42:I44" si="47">SUM(D42:H42)</f>
        <v>0</v>
      </c>
      <c r="J42" s="495"/>
      <c r="K42" s="495"/>
      <c r="L42" s="495"/>
      <c r="M42" s="28">
        <f t="shared" ref="M42:M44" si="48">SUM(J42:L42)</f>
        <v>0</v>
      </c>
    </row>
    <row r="43" spans="2:14" x14ac:dyDescent="0.3">
      <c r="C43" s="182" t="s">
        <v>142</v>
      </c>
      <c r="D43" s="27">
        <f>Direct_Capex_Composition!W169*(Escalators!D$30-1)+Direct_Capex_Composition!AF169*(Escalators!D$31-1)</f>
        <v>0</v>
      </c>
      <c r="E43" s="27">
        <f>Direct_Capex_Composition!X169*(Escalators!E$30-1)+Direct_Capex_Composition!AG169*(Escalators!E$31-1)</f>
        <v>0</v>
      </c>
      <c r="F43" s="27">
        <f>Direct_Capex_Composition!Y169*(Escalators!F$30-1)+Direct_Capex_Composition!AH169*(Escalators!F$31-1)</f>
        <v>0</v>
      </c>
      <c r="G43" s="27">
        <f>Direct_Capex_Composition!Z169*(Escalators!G$30-1)+Direct_Capex_Composition!AI169*(Escalators!G$31-1)</f>
        <v>0</v>
      </c>
      <c r="H43" s="27">
        <f>Direct_Capex_Composition!AA169*(Escalators!H$30-1)+Direct_Capex_Composition!AJ169*(Escalators!H$31-1)</f>
        <v>0</v>
      </c>
      <c r="I43" s="160">
        <f t="shared" si="47"/>
        <v>0</v>
      </c>
      <c r="J43" s="495"/>
      <c r="K43" s="495"/>
      <c r="L43" s="495"/>
      <c r="M43" s="28">
        <f t="shared" si="48"/>
        <v>0</v>
      </c>
    </row>
    <row r="44" spans="2:14" x14ac:dyDescent="0.3">
      <c r="C44" s="182" t="s">
        <v>195</v>
      </c>
      <c r="D44" s="27">
        <f>Direct_Capex_Composition!W170*(Escalators!D$30-1)+Direct_Capex_Composition!AF170*(Escalators!D$31-1)</f>
        <v>0</v>
      </c>
      <c r="E44" s="27">
        <f>Direct_Capex_Composition!X170*(Escalators!E$30-1)+Direct_Capex_Composition!AG170*(Escalators!E$31-1)</f>
        <v>0</v>
      </c>
      <c r="F44" s="27">
        <f>Direct_Capex_Composition!Y170*(Escalators!F$30-1)+Direct_Capex_Composition!AH170*(Escalators!F$31-1)</f>
        <v>0</v>
      </c>
      <c r="G44" s="27">
        <f>Direct_Capex_Composition!Z170*(Escalators!G$30-1)+Direct_Capex_Composition!AI170*(Escalators!G$31-1)</f>
        <v>0</v>
      </c>
      <c r="H44" s="27">
        <f>Direct_Capex_Composition!AA170*(Escalators!H$30-1)+Direct_Capex_Composition!AJ170*(Escalators!H$31-1)</f>
        <v>0</v>
      </c>
      <c r="I44" s="160">
        <f t="shared" si="47"/>
        <v>0</v>
      </c>
      <c r="J44" s="495"/>
      <c r="K44" s="495"/>
      <c r="L44" s="495"/>
      <c r="M44" s="28">
        <f t="shared" si="48"/>
        <v>0</v>
      </c>
    </row>
    <row r="45" spans="2:14" x14ac:dyDescent="0.3">
      <c r="C45" s="182" t="s">
        <v>102</v>
      </c>
      <c r="D45" s="185">
        <f t="shared" ref="D45" si="49">SUM(D42:D44)</f>
        <v>0</v>
      </c>
      <c r="E45" s="185">
        <f>SUM(E42:E44)</f>
        <v>0</v>
      </c>
      <c r="F45" s="185">
        <f t="shared" ref="F45:H45" si="50">SUM(F42:F44)</f>
        <v>0</v>
      </c>
      <c r="G45" s="185">
        <f t="shared" si="50"/>
        <v>0</v>
      </c>
      <c r="H45" s="185">
        <f t="shared" si="50"/>
        <v>0</v>
      </c>
      <c r="I45" s="185">
        <f t="shared" ref="I45" si="51">SUM(I42:I44)</f>
        <v>0</v>
      </c>
      <c r="J45" s="185">
        <f t="shared" ref="J45:L45" si="52">SUM(J42:J44)</f>
        <v>0</v>
      </c>
      <c r="K45" s="185">
        <f t="shared" si="52"/>
        <v>0</v>
      </c>
      <c r="L45" s="185">
        <f t="shared" si="52"/>
        <v>0</v>
      </c>
      <c r="M45" s="185">
        <f t="shared" ref="M45" si="53">SUM(M42:M44)</f>
        <v>0</v>
      </c>
    </row>
    <row r="46" spans="2:14" ht="15" thickBot="1" x14ac:dyDescent="0.35">
      <c r="B46" s="25" t="s">
        <v>103</v>
      </c>
      <c r="D46" s="158">
        <f>D32+D36+D40+D45</f>
        <v>0</v>
      </c>
      <c r="E46" s="158">
        <f t="shared" ref="E46:I46" si="54">E32+E36+E40+E45</f>
        <v>0</v>
      </c>
      <c r="F46" s="158">
        <f t="shared" si="54"/>
        <v>129.89211476611251</v>
      </c>
      <c r="G46" s="158">
        <f t="shared" si="54"/>
        <v>990.82052030757541</v>
      </c>
      <c r="H46" s="158">
        <f t="shared" si="54"/>
        <v>992.10027878622736</v>
      </c>
      <c r="I46" s="158">
        <f t="shared" si="54"/>
        <v>2112.8129138599152</v>
      </c>
      <c r="J46" s="158">
        <f t="shared" ref="J46:M46" si="55">J32+J36+J40+J45</f>
        <v>0</v>
      </c>
      <c r="K46" s="158">
        <f t="shared" si="55"/>
        <v>0</v>
      </c>
      <c r="L46" s="158">
        <f t="shared" si="55"/>
        <v>0</v>
      </c>
      <c r="M46" s="158">
        <f t="shared" si="55"/>
        <v>0</v>
      </c>
    </row>
    <row r="47" spans="2:14" x14ac:dyDescent="0.3">
      <c r="B47" s="209" t="s">
        <v>55</v>
      </c>
      <c r="D47" s="160">
        <f>D46-(Direct_Capex_Composition!W172*(Escalators!D30-1)+Direct_Capex_Composition!AF172*(Escalators!D31-1))</f>
        <v>0</v>
      </c>
      <c r="E47" s="160">
        <f>E46-(Direct_Capex_Composition!X172*(Escalators!E30-1)+Direct_Capex_Composition!AG172*(Escalators!E31-1))</f>
        <v>0</v>
      </c>
      <c r="F47" s="160">
        <f>F46-(Direct_Capex_Composition!Y172*(Escalators!F30-1)+Direct_Capex_Composition!AH172*(Escalators!F31-1))</f>
        <v>0</v>
      </c>
      <c r="G47" s="160">
        <f>G46-(Direct_Capex_Composition!Z172*(Escalators!G30-1)+Direct_Capex_Composition!AI172*(Escalators!G31-1))</f>
        <v>0</v>
      </c>
      <c r="H47" s="160">
        <f>H46-(Direct_Capex_Composition!AA172*(Escalators!H30-1)+Direct_Capex_Composition!AJ172*(Escalators!H31-1))</f>
        <v>0</v>
      </c>
      <c r="I47" s="160">
        <f>SUM(D47:H47)</f>
        <v>0</v>
      </c>
      <c r="J47" s="160"/>
      <c r="K47" s="160"/>
      <c r="L47" s="160"/>
      <c r="M47" s="160">
        <f>SUM(J47:L47)</f>
        <v>0</v>
      </c>
      <c r="N47" s="159"/>
    </row>
    <row r="48" spans="2:14" x14ac:dyDescent="0.3">
      <c r="I48" s="159">
        <f>I46/I23</f>
        <v>1.5723485530612091E-2</v>
      </c>
    </row>
    <row r="49" spans="2:13" x14ac:dyDescent="0.3">
      <c r="B49" s="25" t="s">
        <v>615</v>
      </c>
    </row>
    <row r="50" spans="2:13" x14ac:dyDescent="0.3">
      <c r="I50" s="475" t="s">
        <v>541</v>
      </c>
      <c r="M50" s="475" t="s">
        <v>542</v>
      </c>
    </row>
    <row r="51" spans="2:13" x14ac:dyDescent="0.3">
      <c r="B51" t="s">
        <v>101</v>
      </c>
      <c r="D51" s="4">
        <v>2016</v>
      </c>
      <c r="E51" s="4">
        <v>2017</v>
      </c>
      <c r="F51" s="4">
        <v>2018</v>
      </c>
      <c r="G51" s="4">
        <v>2019</v>
      </c>
      <c r="H51" s="4">
        <v>2020</v>
      </c>
      <c r="I51" s="475" t="s">
        <v>6</v>
      </c>
      <c r="J51" s="433">
        <v>2021</v>
      </c>
      <c r="K51" s="433">
        <v>2022</v>
      </c>
      <c r="L51" s="433">
        <v>2023</v>
      </c>
      <c r="M51" s="475" t="s">
        <v>6</v>
      </c>
    </row>
    <row r="52" spans="2:13" x14ac:dyDescent="0.3">
      <c r="B52" t="s">
        <v>18</v>
      </c>
    </row>
    <row r="53" spans="2:13" x14ac:dyDescent="0.3">
      <c r="C53" t="s">
        <v>42</v>
      </c>
      <c r="D53" s="28">
        <f>D7+D30</f>
        <v>0</v>
      </c>
      <c r="E53" s="28">
        <f t="shared" ref="E53:H53" si="56">E7+E30</f>
        <v>0</v>
      </c>
      <c r="F53" s="28">
        <f t="shared" si="56"/>
        <v>4137.5476158185857</v>
      </c>
      <c r="G53" s="28">
        <f t="shared" si="56"/>
        <v>18916.029630341629</v>
      </c>
      <c r="H53" s="28">
        <f t="shared" si="56"/>
        <v>5993.104640106274</v>
      </c>
      <c r="I53" s="27">
        <f>SUM(D53:H53)</f>
        <v>29046.681886266488</v>
      </c>
      <c r="J53" s="28">
        <f t="shared" ref="J53:L53" si="57">J7+J30</f>
        <v>282.32652979123009</v>
      </c>
      <c r="K53" s="28">
        <f t="shared" si="57"/>
        <v>0</v>
      </c>
      <c r="L53" s="28">
        <f t="shared" si="57"/>
        <v>0</v>
      </c>
      <c r="M53" s="28">
        <f>SUM(J53:L53)</f>
        <v>282.32652979123009</v>
      </c>
    </row>
    <row r="54" spans="2:13" x14ac:dyDescent="0.3">
      <c r="C54" t="s">
        <v>44</v>
      </c>
      <c r="D54" s="28">
        <f t="shared" ref="D54:H54" si="58">D8+D31</f>
        <v>0</v>
      </c>
      <c r="E54" s="28">
        <f t="shared" si="58"/>
        <v>0</v>
      </c>
      <c r="F54" s="28">
        <f t="shared" si="58"/>
        <v>0</v>
      </c>
      <c r="G54" s="28">
        <f t="shared" si="58"/>
        <v>0</v>
      </c>
      <c r="H54" s="28">
        <f t="shared" si="58"/>
        <v>0</v>
      </c>
      <c r="I54" s="27">
        <f>SUM(D54:H54)</f>
        <v>0</v>
      </c>
      <c r="J54" s="28">
        <f t="shared" ref="J54:L54" si="59">J8+J31</f>
        <v>0</v>
      </c>
      <c r="K54" s="28">
        <f t="shared" si="59"/>
        <v>0</v>
      </c>
      <c r="L54" s="28">
        <f t="shared" si="59"/>
        <v>0</v>
      </c>
      <c r="M54" s="28">
        <f>SUM(J54:L54)</f>
        <v>0</v>
      </c>
    </row>
    <row r="55" spans="2:13" x14ac:dyDescent="0.3">
      <c r="C55" t="s">
        <v>102</v>
      </c>
      <c r="D55" s="125">
        <f>SUM(D53:D54)</f>
        <v>0</v>
      </c>
      <c r="E55" s="125">
        <f t="shared" ref="E55" si="60">SUM(E53:E54)</f>
        <v>0</v>
      </c>
      <c r="F55" s="125">
        <f t="shared" ref="F55" si="61">SUM(F53:F54)</f>
        <v>4137.5476158185857</v>
      </c>
      <c r="G55" s="125">
        <f t="shared" ref="G55" si="62">SUM(G53:G54)</f>
        <v>18916.029630341629</v>
      </c>
      <c r="H55" s="125">
        <f t="shared" ref="H55:L55" si="63">SUM(H53:H54)</f>
        <v>5993.104640106274</v>
      </c>
      <c r="I55" s="125">
        <f t="shared" ref="I55" si="64">SUM(I53:I54)</f>
        <v>29046.681886266488</v>
      </c>
      <c r="J55" s="125">
        <f t="shared" si="63"/>
        <v>282.32652979123009</v>
      </c>
      <c r="K55" s="125">
        <f t="shared" si="63"/>
        <v>0</v>
      </c>
      <c r="L55" s="125">
        <f t="shared" si="63"/>
        <v>0</v>
      </c>
      <c r="M55" s="125">
        <f t="shared" ref="M55" si="65">SUM(M53:M54)</f>
        <v>282.32652979123009</v>
      </c>
    </row>
    <row r="56" spans="2:13" x14ac:dyDescent="0.3">
      <c r="B56" s="8" t="s">
        <v>19</v>
      </c>
      <c r="I56" s="27"/>
    </row>
    <row r="57" spans="2:13" x14ac:dyDescent="0.3">
      <c r="C57" t="s">
        <v>42</v>
      </c>
      <c r="D57" s="28">
        <f t="shared" ref="D57:H57" si="66">D11+D34</f>
        <v>0</v>
      </c>
      <c r="E57" s="28">
        <f t="shared" si="66"/>
        <v>0</v>
      </c>
      <c r="F57" s="28">
        <f t="shared" si="66"/>
        <v>7608.1279090351454</v>
      </c>
      <c r="G57" s="28">
        <f t="shared" si="66"/>
        <v>15454.671388441595</v>
      </c>
      <c r="H57" s="28">
        <f t="shared" si="66"/>
        <v>8941.5942372499358</v>
      </c>
      <c r="I57" s="27">
        <f t="shared" ref="I57:I58" si="67">SUM(D57:H57)</f>
        <v>32004.393534726674</v>
      </c>
      <c r="J57" s="28">
        <f t="shared" ref="J57:L57" si="68">J11+J34</f>
        <v>0</v>
      </c>
      <c r="K57" s="28">
        <f t="shared" si="68"/>
        <v>0</v>
      </c>
      <c r="L57" s="28">
        <f t="shared" si="68"/>
        <v>0</v>
      </c>
      <c r="M57" s="28">
        <f t="shared" ref="M57:M58" si="69">SUM(J57:L57)</f>
        <v>0</v>
      </c>
    </row>
    <row r="58" spans="2:13" x14ac:dyDescent="0.3">
      <c r="C58" t="s">
        <v>44</v>
      </c>
      <c r="D58" s="28">
        <f t="shared" ref="D58:H58" si="70">D12+D35</f>
        <v>0</v>
      </c>
      <c r="E58" s="28">
        <f t="shared" si="70"/>
        <v>0</v>
      </c>
      <c r="F58" s="28">
        <f t="shared" si="70"/>
        <v>4185.418281325552</v>
      </c>
      <c r="G58" s="28">
        <f t="shared" si="70"/>
        <v>18950.68269335285</v>
      </c>
      <c r="H58" s="28">
        <f t="shared" si="70"/>
        <v>20206.06753108458</v>
      </c>
      <c r="I58" s="27">
        <f t="shared" si="67"/>
        <v>43342.16850576298</v>
      </c>
      <c r="J58" s="28">
        <f t="shared" ref="J58:L58" si="71">J12+J35</f>
        <v>1709.2023487200736</v>
      </c>
      <c r="K58" s="28">
        <f t="shared" si="71"/>
        <v>1709.2023487200736</v>
      </c>
      <c r="L58" s="28">
        <f t="shared" si="71"/>
        <v>1709.2023487200736</v>
      </c>
      <c r="M58" s="28">
        <f t="shared" si="69"/>
        <v>5127.6070461602212</v>
      </c>
    </row>
    <row r="59" spans="2:13" x14ac:dyDescent="0.3">
      <c r="C59" t="s">
        <v>102</v>
      </c>
      <c r="D59" s="125">
        <f>SUM(D57:D58)</f>
        <v>0</v>
      </c>
      <c r="E59" s="125">
        <f t="shared" ref="E59" si="72">SUM(E57:E58)</f>
        <v>0</v>
      </c>
      <c r="F59" s="125">
        <f t="shared" ref="F59" si="73">SUM(F57:F58)</f>
        <v>11793.546190360697</v>
      </c>
      <c r="G59" s="125">
        <f t="shared" ref="G59" si="74">SUM(G57:G58)</f>
        <v>34405.354081794445</v>
      </c>
      <c r="H59" s="125">
        <f t="shared" ref="H59:L59" si="75">SUM(H57:H58)</f>
        <v>29147.661768334518</v>
      </c>
      <c r="I59" s="125">
        <f t="shared" ref="I59" si="76">SUM(I57:I58)</f>
        <v>75346.562040489662</v>
      </c>
      <c r="J59" s="125">
        <f t="shared" si="75"/>
        <v>1709.2023487200736</v>
      </c>
      <c r="K59" s="125">
        <f t="shared" si="75"/>
        <v>1709.2023487200736</v>
      </c>
      <c r="L59" s="125">
        <f t="shared" si="75"/>
        <v>1709.2023487200736</v>
      </c>
      <c r="M59" s="125">
        <f t="shared" ref="M59" si="77">SUM(M57:M58)</f>
        <v>5127.6070461602212</v>
      </c>
    </row>
    <row r="60" spans="2:13" x14ac:dyDescent="0.3">
      <c r="B60" s="8" t="s">
        <v>22</v>
      </c>
      <c r="I60" s="27"/>
    </row>
    <row r="61" spans="2:13" x14ac:dyDescent="0.3">
      <c r="C61" t="s">
        <v>42</v>
      </c>
      <c r="D61" s="28">
        <f t="shared" ref="D61:H61" si="78">D15+D38</f>
        <v>0</v>
      </c>
      <c r="E61" s="28">
        <f t="shared" si="78"/>
        <v>0</v>
      </c>
      <c r="F61" s="28">
        <f t="shared" si="78"/>
        <v>3100.8926669302818</v>
      </c>
      <c r="G61" s="28">
        <f t="shared" si="78"/>
        <v>20771.005717853612</v>
      </c>
      <c r="H61" s="28">
        <f t="shared" si="78"/>
        <v>5648.1100366876472</v>
      </c>
      <c r="I61" s="27">
        <f t="shared" ref="I61:I62" si="79">SUM(D61:H61)</f>
        <v>29520.008421471539</v>
      </c>
      <c r="J61" s="28">
        <f t="shared" ref="J61:L61" si="80">J15+J38</f>
        <v>102.10348209972886</v>
      </c>
      <c r="K61" s="28">
        <f t="shared" si="80"/>
        <v>0</v>
      </c>
      <c r="L61" s="28">
        <f t="shared" si="80"/>
        <v>0</v>
      </c>
      <c r="M61" s="28">
        <f t="shared" ref="M61:M62" si="81">SUM(J61:L61)</f>
        <v>102.10348209972886</v>
      </c>
    </row>
    <row r="62" spans="2:13" x14ac:dyDescent="0.3">
      <c r="C62" t="s">
        <v>44</v>
      </c>
      <c r="D62" s="28">
        <f t="shared" ref="D62:H62" si="82">D16+D39</f>
        <v>0</v>
      </c>
      <c r="E62" s="28">
        <f t="shared" si="82"/>
        <v>0</v>
      </c>
      <c r="F62" s="28">
        <f t="shared" si="82"/>
        <v>0</v>
      </c>
      <c r="G62" s="28">
        <f t="shared" si="82"/>
        <v>200.31111955634753</v>
      </c>
      <c r="H62" s="28">
        <f t="shared" si="82"/>
        <v>329.28143388270189</v>
      </c>
      <c r="I62" s="27">
        <f t="shared" si="79"/>
        <v>529.59255343904942</v>
      </c>
      <c r="J62" s="28">
        <f t="shared" ref="J62:L62" si="83">J16+J39</f>
        <v>0</v>
      </c>
      <c r="K62" s="28">
        <f t="shared" si="83"/>
        <v>0</v>
      </c>
      <c r="L62" s="28">
        <f t="shared" si="83"/>
        <v>0</v>
      </c>
      <c r="M62" s="28">
        <f t="shared" si="81"/>
        <v>0</v>
      </c>
    </row>
    <row r="63" spans="2:13" x14ac:dyDescent="0.3">
      <c r="C63" t="s">
        <v>102</v>
      </c>
      <c r="D63" s="125">
        <f>SUM(D61:D62)</f>
        <v>0</v>
      </c>
      <c r="E63" s="125">
        <f t="shared" ref="E63" si="84">SUM(E61:E62)</f>
        <v>0</v>
      </c>
      <c r="F63" s="125">
        <f t="shared" ref="F63" si="85">SUM(F61:F62)</f>
        <v>3100.8926669302818</v>
      </c>
      <c r="G63" s="125">
        <f t="shared" ref="G63" si="86">SUM(G61:G62)</f>
        <v>20971.316837409959</v>
      </c>
      <c r="H63" s="125">
        <f t="shared" ref="H63:L63" si="87">SUM(H61:H62)</f>
        <v>5977.3914705703492</v>
      </c>
      <c r="I63" s="125">
        <f t="shared" ref="I63" si="88">SUM(I61:I62)</f>
        <v>30049.600974910587</v>
      </c>
      <c r="J63" s="125">
        <f t="shared" si="87"/>
        <v>102.10348209972886</v>
      </c>
      <c r="K63" s="125">
        <f t="shared" si="87"/>
        <v>0</v>
      </c>
      <c r="L63" s="125">
        <f t="shared" si="87"/>
        <v>0</v>
      </c>
      <c r="M63" s="125">
        <f t="shared" ref="M63" si="89">SUM(M61:M62)</f>
        <v>102.10348209972886</v>
      </c>
    </row>
    <row r="64" spans="2:13" x14ac:dyDescent="0.3">
      <c r="B64" s="182" t="s">
        <v>66</v>
      </c>
      <c r="D64" s="185"/>
      <c r="E64" s="185"/>
      <c r="F64" s="185"/>
      <c r="G64" s="185"/>
      <c r="H64" s="185"/>
      <c r="I64" s="483"/>
      <c r="J64" s="185"/>
      <c r="K64" s="185"/>
      <c r="L64" s="185"/>
      <c r="M64" s="185"/>
    </row>
    <row r="65" spans="2:13" x14ac:dyDescent="0.3">
      <c r="C65" s="182" t="s">
        <v>143</v>
      </c>
      <c r="D65" s="28">
        <f t="shared" ref="D65:H65" si="90">D19+D42</f>
        <v>0</v>
      </c>
      <c r="E65" s="28">
        <f t="shared" si="90"/>
        <v>0</v>
      </c>
      <c r="F65" s="28">
        <f t="shared" si="90"/>
        <v>0</v>
      </c>
      <c r="G65" s="28">
        <f t="shared" si="90"/>
        <v>0</v>
      </c>
      <c r="H65" s="28">
        <f t="shared" si="90"/>
        <v>0</v>
      </c>
      <c r="I65" s="160">
        <f t="shared" ref="I65:I67" si="91">SUM(D65:H65)</f>
        <v>0</v>
      </c>
      <c r="J65" s="28">
        <f t="shared" ref="J65:L65" si="92">J19+J42</f>
        <v>0</v>
      </c>
      <c r="K65" s="28">
        <f t="shared" si="92"/>
        <v>0</v>
      </c>
      <c r="L65" s="28">
        <f t="shared" si="92"/>
        <v>0</v>
      </c>
      <c r="M65" s="28">
        <f t="shared" ref="M65:M67" si="93">SUM(J65:L65)</f>
        <v>0</v>
      </c>
    </row>
    <row r="66" spans="2:13" x14ac:dyDescent="0.3">
      <c r="C66" s="182" t="s">
        <v>142</v>
      </c>
      <c r="D66" s="28">
        <f t="shared" ref="D66:H67" si="94">D20+D43</f>
        <v>0</v>
      </c>
      <c r="E66" s="28">
        <f t="shared" si="94"/>
        <v>0</v>
      </c>
      <c r="F66" s="28">
        <f t="shared" si="94"/>
        <v>0</v>
      </c>
      <c r="G66" s="28">
        <f t="shared" si="94"/>
        <v>510.75778604651157</v>
      </c>
      <c r="H66" s="28">
        <f t="shared" si="94"/>
        <v>1532.2733581395346</v>
      </c>
      <c r="I66" s="160">
        <f t="shared" si="91"/>
        <v>2043.0311441860463</v>
      </c>
      <c r="J66" s="28">
        <f t="shared" ref="J66:L66" si="95">J20+J43</f>
        <v>0</v>
      </c>
      <c r="K66" s="28">
        <f t="shared" si="95"/>
        <v>0</v>
      </c>
      <c r="L66" s="28">
        <f t="shared" si="95"/>
        <v>0</v>
      </c>
      <c r="M66" s="28">
        <f t="shared" si="93"/>
        <v>0</v>
      </c>
    </row>
    <row r="67" spans="2:13" x14ac:dyDescent="0.3">
      <c r="C67" s="182" t="s">
        <v>195</v>
      </c>
      <c r="D67" s="28">
        <f t="shared" si="94"/>
        <v>0</v>
      </c>
      <c r="E67" s="28">
        <f t="shared" si="94"/>
        <v>0</v>
      </c>
      <c r="F67" s="28">
        <f t="shared" si="94"/>
        <v>0</v>
      </c>
      <c r="G67" s="28">
        <f t="shared" si="94"/>
        <v>0</v>
      </c>
      <c r="H67" s="28">
        <f t="shared" si="94"/>
        <v>0</v>
      </c>
      <c r="I67" s="160">
        <f t="shared" si="91"/>
        <v>0</v>
      </c>
      <c r="J67" s="28">
        <f t="shared" ref="J67:L67" si="96">J21+J44</f>
        <v>0</v>
      </c>
      <c r="K67" s="28">
        <f t="shared" si="96"/>
        <v>0</v>
      </c>
      <c r="L67" s="28">
        <f t="shared" si="96"/>
        <v>0</v>
      </c>
      <c r="M67" s="28">
        <f t="shared" si="93"/>
        <v>0</v>
      </c>
    </row>
    <row r="68" spans="2:13" x14ac:dyDescent="0.3">
      <c r="C68" s="182" t="s">
        <v>102</v>
      </c>
      <c r="D68" s="185">
        <f t="shared" ref="D68" si="97">SUM(D65:D67)</f>
        <v>0</v>
      </c>
      <c r="E68" s="185">
        <f>SUM(E65:E67)</f>
        <v>0</v>
      </c>
      <c r="F68" s="185">
        <f t="shared" ref="F68:H68" si="98">SUM(F65:F67)</f>
        <v>0</v>
      </c>
      <c r="G68" s="185">
        <f t="shared" si="98"/>
        <v>510.75778604651157</v>
      </c>
      <c r="H68" s="185">
        <f t="shared" si="98"/>
        <v>1532.2733581395346</v>
      </c>
      <c r="I68" s="185">
        <f t="shared" ref="I68" si="99">SUM(I65:I67)</f>
        <v>2043.0311441860463</v>
      </c>
      <c r="J68" s="185">
        <f t="shared" ref="J68:L68" si="100">SUM(J65:J67)</f>
        <v>0</v>
      </c>
      <c r="K68" s="185">
        <f t="shared" si="100"/>
        <v>0</v>
      </c>
      <c r="L68" s="185">
        <f t="shared" si="100"/>
        <v>0</v>
      </c>
      <c r="M68" s="185">
        <f t="shared" ref="M68" si="101">SUM(M65:M67)</f>
        <v>0</v>
      </c>
    </row>
    <row r="69" spans="2:13" ht="15" thickBot="1" x14ac:dyDescent="0.35">
      <c r="B69" s="25" t="s">
        <v>103</v>
      </c>
      <c r="D69" s="158">
        <f>D55+D59+D63+D68</f>
        <v>0</v>
      </c>
      <c r="E69" s="158">
        <f t="shared" ref="E69:I69" si="102">E55+E59+E63+E68</f>
        <v>0</v>
      </c>
      <c r="F69" s="158">
        <f t="shared" si="102"/>
        <v>19031.986473109566</v>
      </c>
      <c r="G69" s="158">
        <f t="shared" si="102"/>
        <v>74803.458335592542</v>
      </c>
      <c r="H69" s="158">
        <f t="shared" si="102"/>
        <v>42650.431237150675</v>
      </c>
      <c r="I69" s="158">
        <f t="shared" si="102"/>
        <v>136485.87604585278</v>
      </c>
      <c r="J69" s="158">
        <f t="shared" ref="J69:M69" si="103">J55+J59+J63+J68</f>
        <v>2093.6323606110327</v>
      </c>
      <c r="K69" s="158">
        <f t="shared" si="103"/>
        <v>1709.2023487200736</v>
      </c>
      <c r="L69" s="158">
        <f t="shared" si="103"/>
        <v>1709.2023487200736</v>
      </c>
      <c r="M69" s="158">
        <f t="shared" si="103"/>
        <v>5512.0370580511808</v>
      </c>
    </row>
    <row r="70" spans="2:13" x14ac:dyDescent="0.3">
      <c r="B70" s="209" t="s">
        <v>55</v>
      </c>
      <c r="D70" s="28">
        <f>D69-D46-D23</f>
        <v>0</v>
      </c>
      <c r="E70" s="28">
        <f t="shared" ref="E70:H70" si="104">E69-E46-E23</f>
        <v>0</v>
      </c>
      <c r="F70" s="28">
        <f t="shared" si="104"/>
        <v>0</v>
      </c>
      <c r="G70" s="28">
        <f t="shared" si="104"/>
        <v>0</v>
      </c>
      <c r="H70" s="28">
        <f t="shared" si="104"/>
        <v>0</v>
      </c>
      <c r="I70" s="160">
        <f>SUM(D70:H70)</f>
        <v>0</v>
      </c>
      <c r="J70" s="28">
        <f t="shared" ref="J70:L70" si="105">J69-J46-J23</f>
        <v>0</v>
      </c>
      <c r="K70" s="28">
        <f t="shared" si="105"/>
        <v>0</v>
      </c>
      <c r="L70" s="28">
        <f t="shared" si="105"/>
        <v>0</v>
      </c>
      <c r="M70" s="160">
        <f>SUM(J70:L70)</f>
        <v>0</v>
      </c>
    </row>
  </sheetData>
  <pageMargins left="0.7" right="0.7" top="0.75" bottom="0.75" header="0.3" footer="0.3"/>
  <ignoredErrors>
    <ignoredError sqref="D32:H32" formulaRange="1"/>
    <ignoredError sqref="I70 I53:I54 I57:I58 I61:I62 I65:I67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N101"/>
  <sheetViews>
    <sheetView zoomScale="85" zoomScaleNormal="85" workbookViewId="0">
      <selection activeCell="E34" sqref="E34"/>
    </sheetView>
  </sheetViews>
  <sheetFormatPr defaultRowHeight="14.4" outlineLevelRow="1" x14ac:dyDescent="0.3"/>
  <cols>
    <col min="1" max="1" width="4" customWidth="1"/>
    <col min="2" max="2" width="55.88671875" customWidth="1"/>
    <col min="3" max="7" width="11.6640625" bestFit="1" customWidth="1"/>
    <col min="8" max="8" width="10.33203125" customWidth="1"/>
  </cols>
  <sheetData>
    <row r="2" spans="2:8" ht="15.6" x14ac:dyDescent="0.3">
      <c r="B2" s="133" t="s">
        <v>53</v>
      </c>
      <c r="C2" s="510"/>
      <c r="D2" s="521" t="s">
        <v>574</v>
      </c>
    </row>
    <row r="3" spans="2:8" ht="15" thickBot="1" x14ac:dyDescent="0.35"/>
    <row r="4" spans="2:8" ht="16.95" thickTop="1" thickBot="1" x14ac:dyDescent="0.35">
      <c r="B4" s="123" t="s">
        <v>34</v>
      </c>
      <c r="C4" s="55"/>
      <c r="D4" s="55"/>
      <c r="E4" s="55"/>
      <c r="F4" s="55"/>
      <c r="G4" s="56"/>
    </row>
    <row r="5" spans="2:8" ht="15.6" thickTop="1" thickBot="1" x14ac:dyDescent="0.35">
      <c r="B5" s="57"/>
      <c r="C5" s="58">
        <v>2016</v>
      </c>
      <c r="D5" s="58">
        <v>2017</v>
      </c>
      <c r="E5" s="59">
        <v>2018</v>
      </c>
      <c r="F5" s="58">
        <v>2019</v>
      </c>
      <c r="G5" s="60">
        <v>2020</v>
      </c>
    </row>
    <row r="6" spans="2:8" ht="15" thickTop="1" x14ac:dyDescent="0.3">
      <c r="B6" s="61" t="s">
        <v>35</v>
      </c>
      <c r="C6" s="62"/>
      <c r="D6" s="62"/>
      <c r="E6" s="63"/>
      <c r="F6" s="62"/>
      <c r="G6" s="64"/>
    </row>
    <row r="7" spans="2:8" x14ac:dyDescent="0.3">
      <c r="B7" s="165" t="s">
        <v>33</v>
      </c>
      <c r="C7" s="65">
        <v>0.75</v>
      </c>
      <c r="D7" s="65">
        <v>0.75</v>
      </c>
      <c r="E7" s="65">
        <v>0.75</v>
      </c>
      <c r="F7" s="65">
        <v>0.75</v>
      </c>
      <c r="G7" s="66">
        <v>0.75</v>
      </c>
    </row>
    <row r="8" spans="2:8" ht="15" thickBot="1" x14ac:dyDescent="0.35">
      <c r="B8" s="166" t="s">
        <v>36</v>
      </c>
      <c r="C8" s="67">
        <v>0.25</v>
      </c>
      <c r="D8" s="67">
        <v>0.25</v>
      </c>
      <c r="E8" s="67">
        <v>0.25</v>
      </c>
      <c r="F8" s="67">
        <v>0.25</v>
      </c>
      <c r="G8" s="68">
        <v>0.25</v>
      </c>
    </row>
    <row r="9" spans="2:8" ht="15" thickTop="1" x14ac:dyDescent="0.3">
      <c r="B9" s="69" t="s">
        <v>37</v>
      </c>
      <c r="C9" s="70"/>
      <c r="D9" s="70"/>
      <c r="E9" s="70"/>
      <c r="F9" s="70"/>
      <c r="G9" s="71"/>
    </row>
    <row r="10" spans="2:8" x14ac:dyDescent="0.3">
      <c r="B10" s="165" t="s">
        <v>38</v>
      </c>
      <c r="C10" s="72">
        <v>25516.319151098403</v>
      </c>
      <c r="D10" s="72">
        <v>26792.925345310952</v>
      </c>
      <c r="E10" s="72">
        <v>26017.930176171962</v>
      </c>
      <c r="F10" s="72">
        <v>26029.327186194743</v>
      </c>
      <c r="G10" s="73">
        <v>26112.198899090159</v>
      </c>
      <c r="H10" s="124"/>
    </row>
    <row r="11" spans="2:8" x14ac:dyDescent="0.3">
      <c r="B11" s="165" t="s">
        <v>39</v>
      </c>
      <c r="C11" s="72">
        <v>8505.4397170328011</v>
      </c>
      <c r="D11" s="72">
        <v>8930.9751151036508</v>
      </c>
      <c r="E11" s="72">
        <v>8672.6433920573199</v>
      </c>
      <c r="F11" s="72">
        <v>8676.4423953982478</v>
      </c>
      <c r="G11" s="73">
        <v>8704.0662996967203</v>
      </c>
    </row>
    <row r="12" spans="2:8" x14ac:dyDescent="0.3">
      <c r="B12" s="165" t="s">
        <v>40</v>
      </c>
      <c r="C12" s="74">
        <v>0.92163991921824151</v>
      </c>
      <c r="D12" s="74">
        <v>0.92663486611572921</v>
      </c>
      <c r="E12" s="74">
        <v>0.93922382705772456</v>
      </c>
      <c r="F12" s="74">
        <v>0.93168307243545245</v>
      </c>
      <c r="G12" s="75">
        <v>0.91597832702227233</v>
      </c>
    </row>
    <row r="13" spans="2:8" ht="15" thickBot="1" x14ac:dyDescent="0.35">
      <c r="B13" s="167" t="s">
        <v>41</v>
      </c>
      <c r="C13" s="76">
        <v>7838.952773721734</v>
      </c>
      <c r="D13" s="76">
        <v>8275.7529300669812</v>
      </c>
      <c r="E13" s="76">
        <v>8145.5533173949616</v>
      </c>
      <c r="F13" s="76">
        <v>8083.6945087538561</v>
      </c>
      <c r="G13" s="77">
        <v>7972.736087487142</v>
      </c>
    </row>
    <row r="14" spans="2:8" ht="15" thickTop="1" x14ac:dyDescent="0.3">
      <c r="B14" s="40" t="s">
        <v>56</v>
      </c>
      <c r="C14" s="129"/>
      <c r="D14" s="129"/>
      <c r="E14" s="129"/>
      <c r="F14" s="129"/>
      <c r="G14" s="129"/>
    </row>
    <row r="15" spans="2:8" hidden="1" outlineLevel="1" x14ac:dyDescent="0.3">
      <c r="C15" s="4">
        <v>2016</v>
      </c>
      <c r="D15" s="4">
        <v>2017</v>
      </c>
      <c r="E15" s="4">
        <v>2018</v>
      </c>
      <c r="F15" s="4">
        <v>2019</v>
      </c>
      <c r="G15" s="4">
        <v>2020</v>
      </c>
      <c r="H15" s="4" t="s">
        <v>6</v>
      </c>
    </row>
    <row r="16" spans="2:8" hidden="1" outlineLevel="1" x14ac:dyDescent="0.3">
      <c r="B16" s="78" t="s">
        <v>78</v>
      </c>
      <c r="C16" s="79">
        <f>C10+C13</f>
        <v>33355.271924820139</v>
      </c>
      <c r="D16" s="79">
        <f t="shared" ref="D16:G16" si="0">D10+D13</f>
        <v>35068.678275377933</v>
      </c>
      <c r="E16" s="79">
        <f t="shared" si="0"/>
        <v>34163.483493566921</v>
      </c>
      <c r="F16" s="79">
        <f t="shared" si="0"/>
        <v>34113.021694948598</v>
      </c>
      <c r="G16" s="79">
        <f t="shared" si="0"/>
        <v>34084.934986577304</v>
      </c>
      <c r="H16" s="124">
        <f>SUM(C16:G16)</f>
        <v>170785.39037529091</v>
      </c>
    </row>
    <row r="17" spans="2:8" hidden="1" outlineLevel="1" x14ac:dyDescent="0.3">
      <c r="B17" s="78" t="s">
        <v>81</v>
      </c>
      <c r="C17" s="79">
        <f>Capex_by_Purpose!C25</f>
        <v>33261.385519051022</v>
      </c>
      <c r="D17" s="79">
        <f>Capex_by_Purpose!D25</f>
        <v>34850.114753332811</v>
      </c>
      <c r="E17" s="79">
        <f>Capex_by_Purpose!E25</f>
        <v>33913.962601280691</v>
      </c>
      <c r="F17" s="79">
        <f>Capex_by_Purpose!F25</f>
        <v>33828.254396902899</v>
      </c>
      <c r="G17" s="79">
        <f>Capex_by_Purpose!G25</f>
        <v>33782.204994937783</v>
      </c>
      <c r="H17" s="124">
        <f>SUM(C17:G17)</f>
        <v>169635.92226550519</v>
      </c>
    </row>
    <row r="18" spans="2:8" hidden="1" outlineLevel="1" x14ac:dyDescent="0.3"/>
    <row r="19" spans="2:8" hidden="1" outlineLevel="1" x14ac:dyDescent="0.3">
      <c r="B19" t="s">
        <v>146</v>
      </c>
      <c r="C19" s="180">
        <v>2016</v>
      </c>
      <c r="D19" s="180">
        <v>2017</v>
      </c>
      <c r="E19" s="180">
        <v>2018</v>
      </c>
      <c r="F19" s="180">
        <v>2019</v>
      </c>
      <c r="G19" s="180">
        <v>2020</v>
      </c>
      <c r="H19" s="180" t="s">
        <v>6</v>
      </c>
    </row>
    <row r="20" spans="2:8" hidden="1" outlineLevel="1" x14ac:dyDescent="0.3">
      <c r="B20" t="s">
        <v>147</v>
      </c>
      <c r="C20" s="27">
        <v>31932.395409158231</v>
      </c>
      <c r="D20" s="27">
        <v>33440.205324465853</v>
      </c>
      <c r="E20" s="27">
        <v>32553.663631276147</v>
      </c>
      <c r="F20" s="27">
        <v>32270.571335254968</v>
      </c>
      <c r="G20" s="27">
        <v>32571.148028795615</v>
      </c>
      <c r="H20" s="27">
        <f>SUM(C20:G20)</f>
        <v>162767.98372895081</v>
      </c>
    </row>
    <row r="21" spans="2:8" hidden="1" outlineLevel="1" x14ac:dyDescent="0.3">
      <c r="B21" t="s">
        <v>148</v>
      </c>
      <c r="C21" s="29">
        <v>1422.8765156619111</v>
      </c>
      <c r="D21" s="29">
        <v>1628.472950912075</v>
      </c>
      <c r="E21" s="29">
        <v>1609.8198622907744</v>
      </c>
      <c r="F21" s="29">
        <v>1842.4503596936281</v>
      </c>
      <c r="G21" s="29">
        <v>1513.7869577816946</v>
      </c>
      <c r="H21" s="29">
        <f>SUM(C21:G21)</f>
        <v>8017.4066463400832</v>
      </c>
    </row>
    <row r="22" spans="2:8" hidden="1" outlineLevel="1" x14ac:dyDescent="0.3">
      <c r="B22" s="140" t="s">
        <v>189</v>
      </c>
      <c r="C22" s="27">
        <f>SUM(C20:C21)</f>
        <v>33355.271924820139</v>
      </c>
      <c r="D22" s="27">
        <f t="shared" ref="D22:H22" si="1">SUM(D20:D21)</f>
        <v>35068.678275377926</v>
      </c>
      <c r="E22" s="27">
        <f t="shared" si="1"/>
        <v>34163.483493566921</v>
      </c>
      <c r="F22" s="27">
        <f t="shared" si="1"/>
        <v>34113.021694948598</v>
      </c>
      <c r="G22" s="27">
        <f t="shared" si="1"/>
        <v>34084.934986577311</v>
      </c>
      <c r="H22" s="27">
        <f t="shared" si="1"/>
        <v>170785.39037529091</v>
      </c>
    </row>
    <row r="23" spans="2:8" hidden="1" outlineLevel="1" x14ac:dyDescent="0.3">
      <c r="B23" s="40" t="s">
        <v>55</v>
      </c>
      <c r="C23" s="193">
        <f t="shared" ref="C23:H23" si="2">C22-C16</f>
        <v>0</v>
      </c>
      <c r="D23" s="193">
        <f t="shared" si="2"/>
        <v>0</v>
      </c>
      <c r="E23" s="193">
        <f t="shared" si="2"/>
        <v>0</v>
      </c>
      <c r="F23" s="193">
        <f t="shared" si="2"/>
        <v>0</v>
      </c>
      <c r="G23" s="193">
        <f t="shared" si="2"/>
        <v>0</v>
      </c>
      <c r="H23" s="193">
        <f t="shared" si="2"/>
        <v>0</v>
      </c>
    </row>
    <row r="24" spans="2:8" hidden="1" outlineLevel="1" x14ac:dyDescent="0.3">
      <c r="B24" s="40" t="s">
        <v>56</v>
      </c>
      <c r="C24" s="193"/>
      <c r="D24" s="193"/>
      <c r="E24" s="193"/>
      <c r="F24" s="193"/>
      <c r="G24" s="193"/>
      <c r="H24" s="193"/>
    </row>
    <row r="25" spans="2:8" hidden="1" outlineLevel="1" x14ac:dyDescent="0.3">
      <c r="B25" s="40"/>
    </row>
    <row r="26" spans="2:8" hidden="1" outlineLevel="1" x14ac:dyDescent="0.3">
      <c r="B26" s="140" t="s">
        <v>185</v>
      </c>
      <c r="C26" s="181">
        <v>2016</v>
      </c>
      <c r="D26" s="181">
        <v>2017</v>
      </c>
      <c r="E26" s="181">
        <v>2018</v>
      </c>
      <c r="F26" s="181">
        <v>2019</v>
      </c>
      <c r="G26" s="181">
        <v>2020</v>
      </c>
      <c r="H26" s="181" t="s">
        <v>6</v>
      </c>
    </row>
    <row r="27" spans="2:8" hidden="1" outlineLevel="1" x14ac:dyDescent="0.3">
      <c r="B27" s="140" t="s">
        <v>18</v>
      </c>
      <c r="C27" s="27">
        <v>4817.6339434336433</v>
      </c>
      <c r="D27" s="27">
        <v>5185.1814411497135</v>
      </c>
      <c r="E27" s="27">
        <v>4837.5196256976678</v>
      </c>
      <c r="F27" s="27">
        <v>5105.1175868297487</v>
      </c>
      <c r="G27" s="27">
        <v>4862.6500470510855</v>
      </c>
      <c r="H27" s="27">
        <f>SUM(C27:G27)</f>
        <v>24808.10264416186</v>
      </c>
    </row>
    <row r="28" spans="2:8" hidden="1" outlineLevel="1" x14ac:dyDescent="0.3">
      <c r="B28" s="140" t="s">
        <v>19</v>
      </c>
      <c r="C28" s="27">
        <v>26365.064802732726</v>
      </c>
      <c r="D28" s="27">
        <v>27536.867428685862</v>
      </c>
      <c r="E28" s="27">
        <v>27210.205072430301</v>
      </c>
      <c r="F28" s="27">
        <v>26660.493118677503</v>
      </c>
      <c r="G28" s="27">
        <v>27240.246429357649</v>
      </c>
      <c r="H28" s="27">
        <f t="shared" ref="H28:H29" si="3">SUM(C28:G28)</f>
        <v>135012.87685188404</v>
      </c>
    </row>
    <row r="29" spans="2:8" hidden="1" outlineLevel="1" x14ac:dyDescent="0.3">
      <c r="B29" s="140" t="s">
        <v>22</v>
      </c>
      <c r="C29" s="29">
        <v>749.69666299186065</v>
      </c>
      <c r="D29" s="29">
        <v>718.15645463027613</v>
      </c>
      <c r="E29" s="29">
        <v>505.93893314817979</v>
      </c>
      <c r="F29" s="29">
        <v>504.96062974771849</v>
      </c>
      <c r="G29" s="29">
        <v>468.25155238687876</v>
      </c>
      <c r="H29" s="29">
        <f t="shared" si="3"/>
        <v>2947.0042329049138</v>
      </c>
    </row>
    <row r="30" spans="2:8" hidden="1" outlineLevel="1" x14ac:dyDescent="0.3">
      <c r="B30" s="25" t="s">
        <v>183</v>
      </c>
      <c r="C30" s="27">
        <f>SUM(C27:C29)</f>
        <v>31932.395409158231</v>
      </c>
      <c r="D30" s="27">
        <f t="shared" ref="D30:H30" si="4">SUM(D27:D29)</f>
        <v>33440.205324465853</v>
      </c>
      <c r="E30" s="27">
        <f t="shared" si="4"/>
        <v>32553.663631276147</v>
      </c>
      <c r="F30" s="27">
        <f t="shared" si="4"/>
        <v>32270.571335254968</v>
      </c>
      <c r="G30" s="27">
        <f t="shared" si="4"/>
        <v>32571.148028795615</v>
      </c>
      <c r="H30" s="27">
        <f t="shared" si="4"/>
        <v>162767.98372895081</v>
      </c>
    </row>
    <row r="31" spans="2:8" hidden="1" outlineLevel="1" x14ac:dyDescent="0.3">
      <c r="B31" s="40" t="s">
        <v>55</v>
      </c>
      <c r="C31" s="193">
        <f t="shared" ref="C31:H31" si="5">C30-C20</f>
        <v>0</v>
      </c>
      <c r="D31" s="193">
        <f t="shared" si="5"/>
        <v>0</v>
      </c>
      <c r="E31" s="193">
        <f t="shared" si="5"/>
        <v>0</v>
      </c>
      <c r="F31" s="193">
        <f t="shared" si="5"/>
        <v>0</v>
      </c>
      <c r="G31" s="193">
        <f t="shared" si="5"/>
        <v>0</v>
      </c>
      <c r="H31" s="193">
        <f t="shared" si="5"/>
        <v>0</v>
      </c>
    </row>
    <row r="32" spans="2:8" hidden="1" outlineLevel="1" x14ac:dyDescent="0.3">
      <c r="B32" s="40" t="s">
        <v>56</v>
      </c>
      <c r="C32" s="193"/>
      <c r="D32" s="193"/>
      <c r="E32" s="193"/>
      <c r="F32" s="193"/>
      <c r="G32" s="193"/>
      <c r="H32" s="193"/>
    </row>
    <row r="33" spans="2:8" collapsed="1" x14ac:dyDescent="0.3">
      <c r="B33" s="40"/>
      <c r="C33" s="193"/>
      <c r="D33" s="193"/>
      <c r="E33" s="193"/>
      <c r="F33" s="193"/>
      <c r="G33" s="193"/>
      <c r="H33" s="193"/>
    </row>
    <row r="34" spans="2:8" x14ac:dyDescent="0.3">
      <c r="B34" t="s">
        <v>186</v>
      </c>
      <c r="C34" s="180">
        <v>2016</v>
      </c>
      <c r="D34" s="180">
        <v>2017</v>
      </c>
      <c r="E34" s="180">
        <v>2018</v>
      </c>
      <c r="F34" s="180">
        <v>2019</v>
      </c>
      <c r="G34" s="180">
        <v>2020</v>
      </c>
      <c r="H34" s="180" t="s">
        <v>6</v>
      </c>
    </row>
    <row r="35" spans="2:8" x14ac:dyDescent="0.3">
      <c r="B35" t="s">
        <v>150</v>
      </c>
      <c r="C35" s="27">
        <f t="shared" ref="C35:G36" si="6">C20/C$22*C$13</f>
        <v>7504.5570046135927</v>
      </c>
      <c r="D35" s="27">
        <f t="shared" si="6"/>
        <v>7891.4544489774435</v>
      </c>
      <c r="E35" s="27">
        <f t="shared" si="6"/>
        <v>7761.7261376473198</v>
      </c>
      <c r="F35" s="27">
        <f t="shared" si="6"/>
        <v>7647.0927327958962</v>
      </c>
      <c r="G35" s="27">
        <f t="shared" si="6"/>
        <v>7618.6493359112246</v>
      </c>
      <c r="H35" s="27">
        <f>SUM(C35:G35)</f>
        <v>38423.479659945478</v>
      </c>
    </row>
    <row r="36" spans="2:8" x14ac:dyDescent="0.3">
      <c r="B36" t="s">
        <v>151</v>
      </c>
      <c r="C36" s="29">
        <f t="shared" si="6"/>
        <v>334.39576910814225</v>
      </c>
      <c r="D36" s="29">
        <f t="shared" si="6"/>
        <v>384.29848108953831</v>
      </c>
      <c r="E36" s="29">
        <f t="shared" si="6"/>
        <v>383.82717974764222</v>
      </c>
      <c r="F36" s="29">
        <f t="shared" si="6"/>
        <v>436.60177595795915</v>
      </c>
      <c r="G36" s="29">
        <f t="shared" si="6"/>
        <v>354.08675157591728</v>
      </c>
      <c r="H36" s="29">
        <f>SUM(C36:G36)</f>
        <v>1893.2099574791991</v>
      </c>
    </row>
    <row r="37" spans="2:8" x14ac:dyDescent="0.3">
      <c r="B37" s="25" t="s">
        <v>145</v>
      </c>
      <c r="C37" s="27">
        <f>SUM(C35:C36)</f>
        <v>7838.952773721735</v>
      </c>
      <c r="D37" s="27">
        <f t="shared" ref="D37:H37" si="7">SUM(D35:D36)</f>
        <v>8275.7529300669812</v>
      </c>
      <c r="E37" s="27">
        <f t="shared" si="7"/>
        <v>8145.5533173949616</v>
      </c>
      <c r="F37" s="27">
        <f t="shared" si="7"/>
        <v>8083.6945087538552</v>
      </c>
      <c r="G37" s="27">
        <f t="shared" si="7"/>
        <v>7972.736087487142</v>
      </c>
      <c r="H37" s="27">
        <f t="shared" si="7"/>
        <v>40316.689617424679</v>
      </c>
    </row>
    <row r="38" spans="2:8" x14ac:dyDescent="0.3">
      <c r="B38" s="40" t="s">
        <v>55</v>
      </c>
      <c r="C38" s="192">
        <f>C37-C13</f>
        <v>0</v>
      </c>
      <c r="D38" s="192">
        <f>D37-D13</f>
        <v>0</v>
      </c>
      <c r="E38" s="192">
        <f>E37-E13</f>
        <v>0</v>
      </c>
      <c r="F38" s="192">
        <f>F37-F13</f>
        <v>0</v>
      </c>
      <c r="G38" s="192">
        <f>G37-G13</f>
        <v>0</v>
      </c>
      <c r="H38" s="27"/>
    </row>
    <row r="40" spans="2:8" x14ac:dyDescent="0.3">
      <c r="B40" s="484" t="s">
        <v>573</v>
      </c>
      <c r="C40" s="484"/>
      <c r="D40" s="484"/>
      <c r="E40" s="484"/>
      <c r="F40" s="484"/>
      <c r="G40" s="484"/>
      <c r="H40" s="484"/>
    </row>
    <row r="41" spans="2:8" x14ac:dyDescent="0.3">
      <c r="B41" s="484"/>
      <c r="C41" s="485">
        <v>2016</v>
      </c>
      <c r="D41" s="485">
        <v>2017</v>
      </c>
      <c r="E41" s="485">
        <v>2018</v>
      </c>
      <c r="F41" s="485">
        <v>2019</v>
      </c>
      <c r="G41" s="485">
        <v>2020</v>
      </c>
      <c r="H41" s="485" t="s">
        <v>6</v>
      </c>
    </row>
    <row r="42" spans="2:8" x14ac:dyDescent="0.3">
      <c r="B42" s="484" t="s">
        <v>150</v>
      </c>
      <c r="C42" s="486">
        <f>T1_Allowance!C67*Thousands/Capex_by_Purpose!C16</f>
        <v>182.50832281387466</v>
      </c>
      <c r="D42" s="486">
        <f>T1_Allowance!D67*Thousands/Capex_by_Purpose!D16</f>
        <v>1370.8220669060513</v>
      </c>
      <c r="E42" s="486">
        <f>T1_Allowance!E67*Thousands/Capex_by_Purpose!E16</f>
        <v>1042.3400938914328</v>
      </c>
      <c r="F42" s="486">
        <f>T1_Allowance!F67*Thousands/Capex_by_Purpose!F16</f>
        <v>3.1949086792674604</v>
      </c>
      <c r="G42" s="486">
        <f>T1_Allowance!G67*Thousands/Capex_by_Purpose!G16</f>
        <v>0</v>
      </c>
      <c r="H42" s="486">
        <f>SUM(C42:G42)</f>
        <v>2598.865392290626</v>
      </c>
    </row>
    <row r="44" spans="2:8" ht="15" x14ac:dyDescent="0.25">
      <c r="B44" s="491" t="s">
        <v>562</v>
      </c>
      <c r="C44" s="493">
        <f>C35+C42</f>
        <v>7687.0653274274673</v>
      </c>
      <c r="D44" s="493">
        <f t="shared" ref="D44:G44" si="8">D35+D42</f>
        <v>9262.2765158834954</v>
      </c>
      <c r="E44" s="493">
        <f t="shared" si="8"/>
        <v>8804.0662315387526</v>
      </c>
      <c r="F44" s="493">
        <f t="shared" si="8"/>
        <v>7650.2876414751636</v>
      </c>
      <c r="G44" s="493">
        <f t="shared" si="8"/>
        <v>7618.6493359112246</v>
      </c>
      <c r="H44" s="493">
        <f>SUM(C44:G44)</f>
        <v>41022.345052236109</v>
      </c>
    </row>
    <row r="46" spans="2:8" ht="22.2" customHeight="1" x14ac:dyDescent="0.25">
      <c r="B46" s="189" t="s">
        <v>190</v>
      </c>
      <c r="C46" s="136"/>
      <c r="D46" s="136"/>
      <c r="E46" s="136"/>
      <c r="F46" s="136"/>
      <c r="G46" s="136"/>
      <c r="H46" s="136"/>
    </row>
    <row r="47" spans="2:8" x14ac:dyDescent="0.3">
      <c r="B47" s="78" t="s">
        <v>557</v>
      </c>
      <c r="C47" s="4">
        <v>2016</v>
      </c>
      <c r="D47" s="4">
        <v>2017</v>
      </c>
      <c r="E47" s="4">
        <v>2018</v>
      </c>
      <c r="F47" s="4">
        <v>2019</v>
      </c>
      <c r="G47" s="4">
        <v>2020</v>
      </c>
      <c r="H47" s="4" t="s">
        <v>6</v>
      </c>
    </row>
    <row r="48" spans="2:8" x14ac:dyDescent="0.3">
      <c r="B48" t="s">
        <v>18</v>
      </c>
      <c r="C48" s="27">
        <v>41164.039126808901</v>
      </c>
      <c r="D48" s="27">
        <v>44845.174911760521</v>
      </c>
      <c r="E48" s="27">
        <v>41260.419691024756</v>
      </c>
      <c r="F48" s="27">
        <v>42850.2636722963</v>
      </c>
      <c r="G48" s="27">
        <v>39025.007672823551</v>
      </c>
      <c r="H48" s="28">
        <f>SUM(C48:G48)</f>
        <v>209144.90507471404</v>
      </c>
    </row>
    <row r="49" spans="2:14" x14ac:dyDescent="0.3">
      <c r="B49" t="s">
        <v>19</v>
      </c>
      <c r="C49" s="27">
        <v>230266.30687380279</v>
      </c>
      <c r="D49" s="27">
        <v>243389.59141651404</v>
      </c>
      <c r="E49" s="27">
        <v>237414.84646490234</v>
      </c>
      <c r="F49" s="27">
        <v>229301.64887918936</v>
      </c>
      <c r="G49" s="27">
        <v>224038.59740528918</v>
      </c>
      <c r="H49" s="28">
        <f>SUM(C49:G49)</f>
        <v>1164410.9910396978</v>
      </c>
    </row>
    <row r="50" spans="2:14" x14ac:dyDescent="0.3">
      <c r="B50" t="s">
        <v>22</v>
      </c>
      <c r="C50" s="29">
        <v>6320.0321485080858</v>
      </c>
      <c r="D50" s="29">
        <v>6136.9343275047768</v>
      </c>
      <c r="E50" s="29">
        <v>4240.8749016524453</v>
      </c>
      <c r="F50" s="29">
        <v>4156.2805150654722</v>
      </c>
      <c r="G50" s="29">
        <v>3696.5553955380069</v>
      </c>
      <c r="H50" s="51">
        <f>SUM(C50:G50)</f>
        <v>24550.677288268784</v>
      </c>
    </row>
    <row r="51" spans="2:14" x14ac:dyDescent="0.3">
      <c r="B51" s="25" t="s">
        <v>556</v>
      </c>
      <c r="C51" s="130">
        <f t="shared" ref="C51:H51" si="9">SUM(C48:C50)</f>
        <v>277750.37814911973</v>
      </c>
      <c r="D51" s="130">
        <f t="shared" si="9"/>
        <v>294371.70065577934</v>
      </c>
      <c r="E51" s="130">
        <f t="shared" si="9"/>
        <v>282916.14105757955</v>
      </c>
      <c r="F51" s="130">
        <f t="shared" si="9"/>
        <v>276308.19306655112</v>
      </c>
      <c r="G51" s="130">
        <f t="shared" si="9"/>
        <v>266760.16047365073</v>
      </c>
      <c r="H51" s="130">
        <f t="shared" si="9"/>
        <v>1398106.5734026805</v>
      </c>
      <c r="J51" s="130"/>
      <c r="K51" s="130"/>
      <c r="L51" s="130"/>
      <c r="M51" s="130"/>
      <c r="N51" s="130"/>
    </row>
    <row r="52" spans="2:14" x14ac:dyDescent="0.3">
      <c r="B52" s="40" t="s">
        <v>55</v>
      </c>
      <c r="C52" s="193">
        <f>C51-SUM(Capex_by_Purpose!C21:C23)</f>
        <v>0</v>
      </c>
      <c r="D52" s="193">
        <f>D51-SUM(Capex_by_Purpose!D21:D23)</f>
        <v>0</v>
      </c>
      <c r="E52" s="193">
        <f>E51-SUM(Capex_by_Purpose!E21:E23)</f>
        <v>0</v>
      </c>
      <c r="F52" s="193">
        <f>F51-SUM(Capex_by_Purpose!F21:F23)</f>
        <v>0</v>
      </c>
      <c r="G52" s="193">
        <f>G51-SUM(Capex_by_Purpose!G21:G23)</f>
        <v>0</v>
      </c>
      <c r="H52" s="193">
        <f>H51-SUM(Capex_by_Purpose!H21:H23)</f>
        <v>0</v>
      </c>
      <c r="J52" s="130"/>
      <c r="K52" s="130"/>
      <c r="L52" s="130"/>
      <c r="M52" s="130"/>
      <c r="N52" s="130"/>
    </row>
    <row r="53" spans="2:14" x14ac:dyDescent="0.3">
      <c r="B53" s="40"/>
      <c r="C53" s="193"/>
      <c r="D53" s="193"/>
      <c r="E53" s="193"/>
      <c r="F53" s="193"/>
      <c r="G53" s="193"/>
      <c r="H53" s="193"/>
      <c r="J53" s="130"/>
      <c r="K53" s="130"/>
      <c r="L53" s="130"/>
      <c r="M53" s="130"/>
      <c r="N53" s="130"/>
    </row>
    <row r="54" spans="2:14" x14ac:dyDescent="0.3">
      <c r="B54" s="491" t="s">
        <v>571</v>
      </c>
      <c r="C54" s="487"/>
      <c r="D54" s="487"/>
      <c r="E54" s="487"/>
      <c r="F54" s="487"/>
      <c r="G54" s="487"/>
      <c r="H54" s="487"/>
    </row>
    <row r="55" spans="2:14" x14ac:dyDescent="0.3">
      <c r="B55" s="488" t="s">
        <v>557</v>
      </c>
      <c r="C55" s="485">
        <v>2016</v>
      </c>
      <c r="D55" s="485">
        <v>2017</v>
      </c>
      <c r="E55" s="485">
        <v>2018</v>
      </c>
      <c r="F55" s="485">
        <v>2019</v>
      </c>
      <c r="G55" s="485">
        <v>2020</v>
      </c>
      <c r="H55" s="485" t="s">
        <v>6</v>
      </c>
    </row>
    <row r="56" spans="2:14" x14ac:dyDescent="0.3">
      <c r="B56" s="484" t="s">
        <v>18</v>
      </c>
      <c r="C56" s="489">
        <f>T1_Allowance!C45*Thousands</f>
        <v>2612.9085153712331</v>
      </c>
      <c r="D56" s="489">
        <f>T1_Allowance!D45*Thousands</f>
        <v>15761.592542065533</v>
      </c>
      <c r="E56" s="489">
        <f>T1_Allowance!E45*Thousands</f>
        <v>8406.6291724371731</v>
      </c>
      <c r="F56" s="489">
        <f>T1_Allowance!F45*Thousands</f>
        <v>64.298763593770744</v>
      </c>
      <c r="G56" s="489">
        <f>T1_Allowance!G45*Thousands</f>
        <v>0</v>
      </c>
      <c r="H56" s="489">
        <f>SUM(C56:G56)</f>
        <v>26845.428993467711</v>
      </c>
    </row>
    <row r="57" spans="2:14" x14ac:dyDescent="0.3">
      <c r="B57" s="484" t="s">
        <v>19</v>
      </c>
      <c r="C57" s="489">
        <f>T1_Allowance!C46*Thousands</f>
        <v>1880.6939536730224</v>
      </c>
      <c r="D57" s="489">
        <f>T1_Allowance!D46*Thousands</f>
        <v>23991.465642208284</v>
      </c>
      <c r="E57" s="489">
        <f>T1_Allowance!E46*Thousands</f>
        <v>23984.575322504304</v>
      </c>
      <c r="F57" s="489">
        <f>T1_Allowance!F46*Thousands</f>
        <v>0</v>
      </c>
      <c r="G57" s="489">
        <f>T1_Allowance!G46*Thousands</f>
        <v>0</v>
      </c>
      <c r="H57" s="489">
        <f t="shared" ref="H57:H58" si="10">SUM(C57:G57)</f>
        <v>49856.734918385613</v>
      </c>
    </row>
    <row r="58" spans="2:14" x14ac:dyDescent="0.3">
      <c r="B58" s="484" t="s">
        <v>22</v>
      </c>
      <c r="C58" s="490">
        <f>T1_Allowance!C49*Thousands</f>
        <v>2261.1940693458432</v>
      </c>
      <c r="D58" s="490">
        <f>T1_Allowance!D49*Thousands</f>
        <v>11784.965580439852</v>
      </c>
      <c r="E58" s="490">
        <f>T1_Allowance!E49*Thousands</f>
        <v>5579.8420720453187</v>
      </c>
      <c r="F58" s="490">
        <f>T1_Allowance!F49*Thousands</f>
        <v>51.141113366910368</v>
      </c>
      <c r="G58" s="490">
        <f>T1_Allowance!G49*Thousands</f>
        <v>0</v>
      </c>
      <c r="H58" s="490">
        <f t="shared" si="10"/>
        <v>19677.142835197923</v>
      </c>
    </row>
    <row r="59" spans="2:14" x14ac:dyDescent="0.3">
      <c r="B59" s="491" t="s">
        <v>555</v>
      </c>
      <c r="C59" s="489">
        <f t="shared" ref="C59:H59" si="11">SUM(C56:C58)</f>
        <v>6754.7965383900992</v>
      </c>
      <c r="D59" s="489">
        <f t="shared" si="11"/>
        <v>51538.023764713667</v>
      </c>
      <c r="E59" s="489">
        <f t="shared" si="11"/>
        <v>37971.046566986799</v>
      </c>
      <c r="F59" s="489">
        <f t="shared" si="11"/>
        <v>115.43987696068112</v>
      </c>
      <c r="G59" s="489">
        <f t="shared" si="11"/>
        <v>0</v>
      </c>
      <c r="H59" s="489">
        <f t="shared" si="11"/>
        <v>96379.306747051247</v>
      </c>
    </row>
    <row r="60" spans="2:14" x14ac:dyDescent="0.3">
      <c r="B60" s="151"/>
      <c r="C60" s="482"/>
      <c r="D60" s="482"/>
      <c r="E60" s="482"/>
      <c r="F60" s="482"/>
      <c r="G60" s="482"/>
      <c r="H60" s="482"/>
    </row>
    <row r="61" spans="2:14" x14ac:dyDescent="0.3">
      <c r="B61" s="484" t="s">
        <v>563</v>
      </c>
      <c r="C61" s="489">
        <f t="shared" ref="C61:D61" si="12">C51+C59</f>
        <v>284505.17468750983</v>
      </c>
      <c r="D61" s="489">
        <f t="shared" si="12"/>
        <v>345909.724420493</v>
      </c>
      <c r="E61" s="489">
        <f>E51+E59</f>
        <v>320887.18762456637</v>
      </c>
      <c r="F61" s="489">
        <f t="shared" ref="F61:G61" si="13">F51+F59</f>
        <v>276423.63294351182</v>
      </c>
      <c r="G61" s="489">
        <f t="shared" si="13"/>
        <v>266760.16047365073</v>
      </c>
      <c r="H61" s="489">
        <f>SUM(C61:G61)</f>
        <v>1494485.8801497319</v>
      </c>
    </row>
    <row r="62" spans="2:14" x14ac:dyDescent="0.3">
      <c r="B62" s="149"/>
      <c r="C62" s="193"/>
      <c r="D62" s="193"/>
      <c r="E62" s="193"/>
      <c r="F62" s="193"/>
      <c r="G62" s="193"/>
      <c r="H62" s="193"/>
    </row>
    <row r="63" spans="2:14" ht="19.95" customHeight="1" x14ac:dyDescent="0.3">
      <c r="B63" s="128" t="s">
        <v>191</v>
      </c>
      <c r="C63" s="188"/>
      <c r="D63" s="188"/>
      <c r="E63" s="188"/>
      <c r="F63" s="188"/>
      <c r="G63" s="188"/>
      <c r="H63" s="188"/>
    </row>
    <row r="64" spans="2:14" x14ac:dyDescent="0.3">
      <c r="B64" s="78" t="s">
        <v>572</v>
      </c>
      <c r="C64" s="4">
        <v>2016</v>
      </c>
      <c r="D64" s="4">
        <v>2017</v>
      </c>
      <c r="E64" s="4">
        <v>2018</v>
      </c>
      <c r="F64" s="4">
        <v>2019</v>
      </c>
      <c r="G64" s="4">
        <v>2020</v>
      </c>
      <c r="H64" s="4" t="s">
        <v>6</v>
      </c>
    </row>
    <row r="65" spans="2:14" x14ac:dyDescent="0.3">
      <c r="B65" t="s">
        <v>18</v>
      </c>
      <c r="C65" s="27">
        <f>Direct_Summary!D55</f>
        <v>0</v>
      </c>
      <c r="D65" s="27">
        <f>Direct_Summary!E55</f>
        <v>0</v>
      </c>
      <c r="E65" s="27">
        <f>Direct_Summary!F55</f>
        <v>4137.5476158185857</v>
      </c>
      <c r="F65" s="27">
        <f>Direct_Summary!G55</f>
        <v>18916.029630341629</v>
      </c>
      <c r="G65" s="27">
        <f>Direct_Summary!H55</f>
        <v>5993.104640106274</v>
      </c>
      <c r="H65" s="28">
        <f t="shared" ref="H65:H67" si="14">SUM(C65:G65)</f>
        <v>29046.681886266488</v>
      </c>
    </row>
    <row r="66" spans="2:14" x14ac:dyDescent="0.3">
      <c r="B66" t="s">
        <v>19</v>
      </c>
      <c r="C66" s="27">
        <f>Direct_Summary!D59</f>
        <v>0</v>
      </c>
      <c r="D66" s="27">
        <f>Direct_Summary!E59</f>
        <v>0</v>
      </c>
      <c r="E66" s="27">
        <f>Direct_Summary!F59</f>
        <v>11793.546190360697</v>
      </c>
      <c r="F66" s="27">
        <f>Direct_Summary!G59</f>
        <v>34405.354081794445</v>
      </c>
      <c r="G66" s="27">
        <f>Direct_Summary!H59</f>
        <v>29147.661768334518</v>
      </c>
      <c r="H66" s="28">
        <f t="shared" si="14"/>
        <v>75346.562040489662</v>
      </c>
    </row>
    <row r="67" spans="2:14" x14ac:dyDescent="0.3">
      <c r="B67" t="s">
        <v>22</v>
      </c>
      <c r="C67" s="29">
        <f>Direct_Summary!D63</f>
        <v>0</v>
      </c>
      <c r="D67" s="29">
        <f>Direct_Summary!E63</f>
        <v>0</v>
      </c>
      <c r="E67" s="29">
        <f>Direct_Summary!F63</f>
        <v>3100.8926669302818</v>
      </c>
      <c r="F67" s="29">
        <f>Direct_Summary!G63</f>
        <v>20971.316837409959</v>
      </c>
      <c r="G67" s="29">
        <f>Direct_Summary!H63</f>
        <v>5977.3914705703492</v>
      </c>
      <c r="H67" s="51">
        <f t="shared" si="14"/>
        <v>30049.600974910591</v>
      </c>
    </row>
    <row r="68" spans="2:14" x14ac:dyDescent="0.3">
      <c r="B68" s="25" t="s">
        <v>154</v>
      </c>
      <c r="C68" s="27">
        <f>SUM(C65:C67)</f>
        <v>0</v>
      </c>
      <c r="D68" s="27">
        <f t="shared" ref="D68:H68" si="15">SUM(D65:D67)</f>
        <v>0</v>
      </c>
      <c r="E68" s="27">
        <f t="shared" si="15"/>
        <v>19031.986473109566</v>
      </c>
      <c r="F68" s="27">
        <f t="shared" si="15"/>
        <v>74292.700549546033</v>
      </c>
      <c r="G68" s="27">
        <f t="shared" si="15"/>
        <v>41118.157879011138</v>
      </c>
      <c r="H68" s="27">
        <f t="shared" si="15"/>
        <v>134442.84490166674</v>
      </c>
      <c r="J68" s="27"/>
      <c r="K68" s="27"/>
      <c r="L68" s="27"/>
      <c r="M68" s="27"/>
      <c r="N68" s="27"/>
    </row>
    <row r="69" spans="2:14" x14ac:dyDescent="0.3">
      <c r="B69" s="40" t="s">
        <v>55</v>
      </c>
      <c r="C69" s="192">
        <f>C68-(Direct_Summary!D69-Direct_Summary!D68)</f>
        <v>0</v>
      </c>
      <c r="D69" s="192">
        <f>D68-(Direct_Summary!E69-Direct_Summary!E68)</f>
        <v>0</v>
      </c>
      <c r="E69" s="192">
        <f>E68-(Direct_Summary!F69-Direct_Summary!F68)</f>
        <v>0</v>
      </c>
      <c r="F69" s="192">
        <f>F68-(Direct_Summary!G69-Direct_Summary!G68)</f>
        <v>0</v>
      </c>
      <c r="G69" s="192">
        <f>G68-(Direct_Summary!H69-Direct_Summary!H68)</f>
        <v>0</v>
      </c>
      <c r="H69" s="192">
        <f>H68-(Direct_Summary!I69-Direct_Summary!I68)</f>
        <v>0</v>
      </c>
    </row>
    <row r="70" spans="2:14" x14ac:dyDescent="0.3">
      <c r="C70" s="27"/>
      <c r="D70" s="27"/>
      <c r="E70" s="27"/>
      <c r="F70" s="27"/>
      <c r="G70" s="27"/>
      <c r="H70" s="27"/>
    </row>
    <row r="71" spans="2:14" x14ac:dyDescent="0.3">
      <c r="B71" s="25" t="s">
        <v>127</v>
      </c>
      <c r="C71" s="486">
        <f>C61+C68</f>
        <v>284505.17468750983</v>
      </c>
      <c r="D71" s="486">
        <f t="shared" ref="D71:G71" si="16">D61+D68</f>
        <v>345909.724420493</v>
      </c>
      <c r="E71" s="486">
        <f t="shared" si="16"/>
        <v>339919.17409767595</v>
      </c>
      <c r="F71" s="486">
        <f t="shared" si="16"/>
        <v>350716.33349305787</v>
      </c>
      <c r="G71" s="486">
        <f t="shared" si="16"/>
        <v>307878.31835266185</v>
      </c>
      <c r="H71" s="28">
        <f>SUM(C71:G71)</f>
        <v>1628928.7250513986</v>
      </c>
      <c r="J71" s="27"/>
      <c r="K71" s="27"/>
      <c r="L71" s="27"/>
      <c r="M71" s="27"/>
      <c r="N71" s="27"/>
    </row>
    <row r="73" spans="2:14" x14ac:dyDescent="0.3">
      <c r="B73" t="s">
        <v>113</v>
      </c>
      <c r="C73" s="163">
        <f>C71/C61</f>
        <v>1</v>
      </c>
      <c r="D73" s="163">
        <f t="shared" ref="D73:H73" si="17">D71/D61</f>
        <v>1</v>
      </c>
      <c r="E73" s="163">
        <f t="shared" si="17"/>
        <v>1.0593105216010579</v>
      </c>
      <c r="F73" s="163">
        <f t="shared" si="17"/>
        <v>1.2687639249887437</v>
      </c>
      <c r="G73" s="163">
        <f t="shared" si="17"/>
        <v>1.1541390506213636</v>
      </c>
      <c r="H73" s="163">
        <f t="shared" si="17"/>
        <v>1.0899592606978641</v>
      </c>
      <c r="J73" s="30"/>
      <c r="K73" s="30"/>
      <c r="L73" s="30"/>
      <c r="M73" s="30"/>
      <c r="N73" s="30"/>
    </row>
    <row r="74" spans="2:14" x14ac:dyDescent="0.3">
      <c r="C74" s="163"/>
      <c r="D74" s="163"/>
      <c r="E74" s="163"/>
      <c r="F74" s="163"/>
      <c r="G74" s="163"/>
      <c r="H74" s="163"/>
      <c r="J74" s="30"/>
      <c r="K74" s="30"/>
      <c r="L74" s="30"/>
      <c r="M74" s="30"/>
      <c r="N74" s="30"/>
    </row>
    <row r="75" spans="2:14" x14ac:dyDescent="0.3">
      <c r="B75" s="25" t="s">
        <v>149</v>
      </c>
      <c r="C75" s="32">
        <f>(C73-1)*C44*Capex_by_Purpose!C$16</f>
        <v>0</v>
      </c>
      <c r="D75" s="33">
        <f>(D73-1)*D44*Capex_by_Purpose!D$16</f>
        <v>0</v>
      </c>
      <c r="E75" s="33">
        <f>(E73-1)*E44*Capex_by_Purpose!E$16</f>
        <v>518.35994373952258</v>
      </c>
      <c r="F75" s="33">
        <f>(F73-1)*F44*Capex_by_Purpose!F$16</f>
        <v>2038.9573275919404</v>
      </c>
      <c r="G75" s="34">
        <f>(G73-1)*G44*Capex_by_Purpose!G$16</f>
        <v>1163.9013916256029</v>
      </c>
      <c r="H75" s="28">
        <f>SUM(C75:G75)</f>
        <v>3721.218662957066</v>
      </c>
    </row>
    <row r="77" spans="2:14" ht="21" customHeight="1" x14ac:dyDescent="0.3">
      <c r="B77" s="128" t="s">
        <v>153</v>
      </c>
      <c r="C77" s="188"/>
      <c r="D77" s="188"/>
      <c r="E77" s="188"/>
      <c r="F77" s="188"/>
      <c r="G77" s="188"/>
      <c r="H77" s="188"/>
    </row>
    <row r="78" spans="2:14" x14ac:dyDescent="0.3">
      <c r="C78" s="180">
        <v>2016</v>
      </c>
      <c r="D78" s="180">
        <v>2017</v>
      </c>
      <c r="E78" s="180">
        <v>2018</v>
      </c>
      <c r="F78" s="180">
        <v>2019</v>
      </c>
      <c r="G78" s="180">
        <v>2020</v>
      </c>
      <c r="H78" s="180" t="s">
        <v>6</v>
      </c>
    </row>
    <row r="79" spans="2:14" x14ac:dyDescent="0.3">
      <c r="B79" t="s">
        <v>18</v>
      </c>
      <c r="C79" s="27">
        <f t="shared" ref="C79:G81" si="18">IF(ISERROR(C65/C$68*C$75),0,C65/C$68*C$75)</f>
        <v>0</v>
      </c>
      <c r="D79" s="27">
        <f t="shared" si="18"/>
        <v>0</v>
      </c>
      <c r="E79" s="27">
        <f t="shared" si="18"/>
        <v>112.69128172120315</v>
      </c>
      <c r="F79" s="27">
        <f t="shared" si="18"/>
        <v>519.1489465106946</v>
      </c>
      <c r="G79" s="27">
        <f t="shared" si="18"/>
        <v>169.6423962207254</v>
      </c>
      <c r="H79" s="27">
        <f>SUM(C79:G79)</f>
        <v>801.48262445262321</v>
      </c>
    </row>
    <row r="80" spans="2:14" x14ac:dyDescent="0.3">
      <c r="B80" t="s">
        <v>19</v>
      </c>
      <c r="C80" s="27">
        <f t="shared" si="18"/>
        <v>0</v>
      </c>
      <c r="D80" s="27">
        <f t="shared" si="18"/>
        <v>0</v>
      </c>
      <c r="E80" s="27">
        <f t="shared" si="18"/>
        <v>321.21197376649894</v>
      </c>
      <c r="F80" s="27">
        <f t="shared" si="18"/>
        <v>944.25223870662921</v>
      </c>
      <c r="G80" s="27">
        <f t="shared" si="18"/>
        <v>825.06138029383919</v>
      </c>
      <c r="H80" s="27">
        <f t="shared" ref="H80:H81" si="19">SUM(C80:G80)</f>
        <v>2090.5255927669673</v>
      </c>
    </row>
    <row r="81" spans="2:8" x14ac:dyDescent="0.3">
      <c r="B81" t="s">
        <v>22</v>
      </c>
      <c r="C81" s="29">
        <f t="shared" si="18"/>
        <v>0</v>
      </c>
      <c r="D81" s="29">
        <f t="shared" si="18"/>
        <v>0</v>
      </c>
      <c r="E81" s="29">
        <f t="shared" si="18"/>
        <v>84.456688251820481</v>
      </c>
      <c r="F81" s="29">
        <f t="shared" si="18"/>
        <v>575.55614237461657</v>
      </c>
      <c r="G81" s="29">
        <f t="shared" si="18"/>
        <v>169.1976151110384</v>
      </c>
      <c r="H81" s="29">
        <f t="shared" si="19"/>
        <v>829.21044573747554</v>
      </c>
    </row>
    <row r="82" spans="2:8" x14ac:dyDescent="0.3">
      <c r="B82" s="25" t="s">
        <v>6</v>
      </c>
      <c r="C82" s="27">
        <f>SUM(C79:C81)</f>
        <v>0</v>
      </c>
      <c r="D82" s="27">
        <f t="shared" ref="D82:H82" si="20">SUM(D79:D81)</f>
        <v>0</v>
      </c>
      <c r="E82" s="27">
        <f t="shared" si="20"/>
        <v>518.35994373952258</v>
      </c>
      <c r="F82" s="27">
        <f t="shared" si="20"/>
        <v>2038.9573275919406</v>
      </c>
      <c r="G82" s="27">
        <f t="shared" si="20"/>
        <v>1163.9013916256031</v>
      </c>
      <c r="H82" s="27">
        <f t="shared" si="20"/>
        <v>3721.218662957066</v>
      </c>
    </row>
    <row r="83" spans="2:8" x14ac:dyDescent="0.3">
      <c r="B83" s="40" t="s">
        <v>55</v>
      </c>
      <c r="C83" s="193">
        <f t="shared" ref="C83:H83" si="21">C82-C75</f>
        <v>0</v>
      </c>
      <c r="D83" s="193">
        <f t="shared" si="21"/>
        <v>0</v>
      </c>
      <c r="E83" s="193">
        <f t="shared" si="21"/>
        <v>0</v>
      </c>
      <c r="F83" s="193">
        <f t="shared" si="21"/>
        <v>0</v>
      </c>
      <c r="G83" s="193">
        <f t="shared" si="21"/>
        <v>0</v>
      </c>
      <c r="H83" s="193">
        <f t="shared" si="21"/>
        <v>0</v>
      </c>
    </row>
    <row r="84" spans="2:8" x14ac:dyDescent="0.3">
      <c r="C84" s="35"/>
      <c r="D84" s="35"/>
      <c r="E84" s="35"/>
      <c r="F84" s="35"/>
      <c r="G84" s="35"/>
    </row>
    <row r="85" spans="2:8" ht="21" customHeight="1" x14ac:dyDescent="0.3">
      <c r="B85" s="128" t="s">
        <v>155</v>
      </c>
      <c r="C85" s="188"/>
      <c r="D85" s="188"/>
      <c r="E85" s="188"/>
      <c r="F85" s="188"/>
      <c r="G85" s="188"/>
      <c r="H85" s="188"/>
    </row>
    <row r="86" spans="2:8" x14ac:dyDescent="0.3">
      <c r="C86" s="4">
        <v>2016</v>
      </c>
      <c r="D86" s="4">
        <v>2017</v>
      </c>
      <c r="E86" s="4">
        <v>2018</v>
      </c>
      <c r="F86" s="4">
        <v>2019</v>
      </c>
      <c r="G86" s="4">
        <v>2020</v>
      </c>
      <c r="H86" s="4" t="s">
        <v>6</v>
      </c>
    </row>
    <row r="87" spans="2:8" x14ac:dyDescent="0.3">
      <c r="B87" t="s">
        <v>76</v>
      </c>
      <c r="C87" s="124">
        <f>C10*Capex_by_Purpose!C$16</f>
        <v>25444.497356362212</v>
      </c>
      <c r="D87" s="124">
        <f>D10*Capex_by_Purpose!D$16</f>
        <v>26625.939977816372</v>
      </c>
      <c r="E87" s="124">
        <f>E10*Capex_by_Purpose!E$16</f>
        <v>25827.902213882291</v>
      </c>
      <c r="F87" s="124">
        <f>F10*Capex_by_Purpose!F$16</f>
        <v>25812.040625096644</v>
      </c>
      <c r="G87" s="124">
        <f>G10*Capex_by_Purpose!G$16</f>
        <v>25880.2798487084</v>
      </c>
      <c r="H87" s="28">
        <f t="shared" ref="H87:H88" si="22">SUM(C87:G87)</f>
        <v>129590.66002186592</v>
      </c>
    </row>
    <row r="88" spans="2:8" x14ac:dyDescent="0.3">
      <c r="B88" t="s">
        <v>77</v>
      </c>
      <c r="C88" s="492">
        <f>(C37+C42)*Capex_by_Purpose!C$16+C75</f>
        <v>7998.882772093586</v>
      </c>
      <c r="D88" s="492">
        <f>(D37+D42)*Capex_by_Purpose!D$16+D75</f>
        <v>9586.4532726680955</v>
      </c>
      <c r="E88" s="492">
        <f>(E37+E42)*Capex_by_Purpose!E$16+E75</f>
        <v>9639.1474534088666</v>
      </c>
      <c r="F88" s="492">
        <f>(F37+F42)*Capex_by_Purpose!F$16+F75</f>
        <v>10058.33933774845</v>
      </c>
      <c r="G88" s="492">
        <f>(G37+G42)*Capex_by_Purpose!G$16+G75</f>
        <v>9065.8265378549859</v>
      </c>
      <c r="H88" s="492">
        <f t="shared" si="22"/>
        <v>46348.64937377398</v>
      </c>
    </row>
    <row r="89" spans="2:8" x14ac:dyDescent="0.3">
      <c r="B89" s="25" t="s">
        <v>152</v>
      </c>
      <c r="C89" s="124">
        <f>SUM(C87:C88)</f>
        <v>33443.380128455799</v>
      </c>
      <c r="D89" s="124">
        <f t="shared" ref="D89:H89" si="23">SUM(D87:D88)</f>
        <v>36212.393250484471</v>
      </c>
      <c r="E89" s="124">
        <f t="shared" si="23"/>
        <v>35467.049667291154</v>
      </c>
      <c r="F89" s="124">
        <f t="shared" si="23"/>
        <v>35870.379962845094</v>
      </c>
      <c r="G89" s="124">
        <f t="shared" si="23"/>
        <v>34946.106386563384</v>
      </c>
      <c r="H89" s="124">
        <f t="shared" si="23"/>
        <v>175939.3093956399</v>
      </c>
    </row>
    <row r="90" spans="2:8" x14ac:dyDescent="0.3">
      <c r="B90" s="40" t="s">
        <v>55</v>
      </c>
      <c r="C90" s="6">
        <f>C89-(C17+C75+T1_Allowance!C67*Thousands)</f>
        <v>0</v>
      </c>
      <c r="D90" s="6">
        <f>D89-(D17+D75+T1_Allowance!D67*Thousands)</f>
        <v>0</v>
      </c>
      <c r="E90" s="6">
        <f>E89-(E17+E75+T1_Allowance!E67*Thousands)</f>
        <v>0</v>
      </c>
      <c r="F90" s="6">
        <f>F89-(F17+F75+T1_Allowance!F67*Thousands)</f>
        <v>0</v>
      </c>
      <c r="G90" s="6">
        <f>G89-(G17+G75+T1_Allowance!G67*Thousands)</f>
        <v>0</v>
      </c>
      <c r="H90" s="6">
        <f>H89-(H17+H75+T1_Allowance!H67*Thousands)</f>
        <v>0</v>
      </c>
    </row>
    <row r="91" spans="2:8" x14ac:dyDescent="0.3">
      <c r="B91" s="140"/>
    </row>
    <row r="92" spans="2:8" x14ac:dyDescent="0.3">
      <c r="B92" s="78" t="s">
        <v>184</v>
      </c>
      <c r="C92" s="181">
        <v>2016</v>
      </c>
      <c r="D92" s="181">
        <v>2017</v>
      </c>
      <c r="E92" s="181">
        <v>2018</v>
      </c>
      <c r="F92" s="181">
        <v>2019</v>
      </c>
      <c r="G92" s="181">
        <v>2020</v>
      </c>
      <c r="H92" s="181" t="s">
        <v>6</v>
      </c>
    </row>
    <row r="93" spans="2:8" x14ac:dyDescent="0.3">
      <c r="B93" t="s">
        <v>18</v>
      </c>
      <c r="C93" s="486">
        <f>C27*Capex_by_Purpose!C$16+T1_Allowance!C57*Thousands+C79</f>
        <v>4874.4732012224722</v>
      </c>
      <c r="D93" s="486">
        <f>D27*Capex_by_Purpose!D$16+T1_Allowance!D57*Thousands+D79</f>
        <v>5573.0245199076626</v>
      </c>
      <c r="E93" s="486">
        <f>E27*Capex_by_Purpose!E$16+T1_Allowance!E57*Thousands+E79</f>
        <v>5143.8280280705467</v>
      </c>
      <c r="F93" s="486">
        <f>F27*Capex_by_Purpose!F$16+T1_Allowance!F57*Thousands+F79</f>
        <v>5583.4149144509784</v>
      </c>
      <c r="G93" s="486">
        <f>G27*Capex_by_Purpose!G$16+T1_Allowance!G57*Thousands+G79</f>
        <v>4989.1041547018194</v>
      </c>
      <c r="H93" s="493">
        <f>SUM(C93:G93)</f>
        <v>26163.844818353478</v>
      </c>
    </row>
    <row r="94" spans="2:8" x14ac:dyDescent="0.3">
      <c r="B94" t="s">
        <v>19</v>
      </c>
      <c r="C94" s="486">
        <f>C28*Capex_by_Purpose!C$16+T1_Allowance!C58*Thousands+C80</f>
        <v>26341.525582325365</v>
      </c>
      <c r="D94" s="486">
        <f>D28*Capex_by_Purpose!D$16+T1_Allowance!D58*Thousands+D80</f>
        <v>27993.18376640007</v>
      </c>
      <c r="E94" s="486">
        <f>E28*Capex_by_Purpose!E$16+T1_Allowance!E58*Thousands+E80</f>
        <v>27986.495729012928</v>
      </c>
      <c r="F94" s="486">
        <f>F28*Capex_by_Purpose!F$16+T1_Allowance!F58*Thousands+F80</f>
        <v>27382.189974930399</v>
      </c>
      <c r="G94" s="486">
        <f>G28*Capex_by_Purpose!G$16+T1_Allowance!G58*Thousands+G80</f>
        <v>27823.369851516454</v>
      </c>
      <c r="H94" s="493">
        <f t="shared" ref="H94:H95" si="24">SUM(C94:G94)</f>
        <v>137526.7649041852</v>
      </c>
    </row>
    <row r="95" spans="2:8" x14ac:dyDescent="0.3">
      <c r="B95" t="s">
        <v>22</v>
      </c>
      <c r="C95" s="494">
        <f>C29*Capex_by_Purpose!C$16+T1_Allowance!C61*Thousands+C81</f>
        <v>808.50985616383275</v>
      </c>
      <c r="D95" s="494">
        <f>D29*Capex_by_Purpose!D$16+T1_Allowance!D61*Thousands+D81</f>
        <v>1027.8613773470838</v>
      </c>
      <c r="E95" s="494">
        <f>E29*Capex_by_Purpose!E$16+T1_Allowance!E61*Thousands+E81</f>
        <v>738.6637390942326</v>
      </c>
      <c r="F95" s="494">
        <f>F29*Capex_by_Purpose!F$16+T1_Allowance!F61*Thousands+F81</f>
        <v>1077.7050461078436</v>
      </c>
      <c r="G95" s="494">
        <f>G29*Capex_by_Purpose!G$16+T1_Allowance!G61*Thousands+G81</f>
        <v>633.29032757068558</v>
      </c>
      <c r="H95" s="492">
        <f t="shared" si="24"/>
        <v>4286.0303462836782</v>
      </c>
    </row>
    <row r="96" spans="2:8" x14ac:dyDescent="0.3">
      <c r="B96" s="140" t="s">
        <v>192</v>
      </c>
      <c r="C96" s="27">
        <f>SUM(C93:C95)</f>
        <v>32024.508639711672</v>
      </c>
      <c r="D96" s="27">
        <f t="shared" ref="D96:H96" si="25">SUM(D93:D95)</f>
        <v>34594.069663654816</v>
      </c>
      <c r="E96" s="27">
        <f t="shared" si="25"/>
        <v>33868.98749617771</v>
      </c>
      <c r="F96" s="27">
        <f t="shared" si="25"/>
        <v>34043.309935489226</v>
      </c>
      <c r="G96" s="27">
        <f t="shared" si="25"/>
        <v>33445.76433378896</v>
      </c>
      <c r="H96" s="27">
        <f t="shared" si="25"/>
        <v>167976.64006882237</v>
      </c>
    </row>
    <row r="97" spans="2:8" ht="7.2" customHeight="1" x14ac:dyDescent="0.3"/>
    <row r="98" spans="2:8" x14ac:dyDescent="0.3">
      <c r="B98" t="s">
        <v>148</v>
      </c>
      <c r="C98" s="27">
        <f>C21*Capex_by_Purpose!C$16</f>
        <v>1418.8714887441311</v>
      </c>
      <c r="D98" s="27">
        <f>D21*Capex_by_Purpose!D$16</f>
        <v>1618.3235868296408</v>
      </c>
      <c r="E98" s="27">
        <f>E21*Capex_by_Purpose!E$16</f>
        <v>1598.0621711134525</v>
      </c>
      <c r="F98" s="27">
        <f>F21*Capex_by_Purpose!F$16</f>
        <v>1827.0700273558753</v>
      </c>
      <c r="G98" s="27">
        <f>G21*Capex_by_Purpose!G$16</f>
        <v>1500.3420527744315</v>
      </c>
      <c r="H98" s="28">
        <f>SUM(C98:G98)</f>
        <v>7962.6693268175313</v>
      </c>
    </row>
    <row r="99" spans="2:8" ht="6.6" customHeight="1" x14ac:dyDescent="0.3"/>
    <row r="100" spans="2:8" x14ac:dyDescent="0.3">
      <c r="B100" s="25" t="s">
        <v>152</v>
      </c>
      <c r="C100" s="28">
        <f>C96+C98</f>
        <v>33443.380128455799</v>
      </c>
      <c r="D100" s="28">
        <f t="shared" ref="D100:H100" si="26">D96+D98</f>
        <v>36212.393250484456</v>
      </c>
      <c r="E100" s="28">
        <f t="shared" si="26"/>
        <v>35467.049667291161</v>
      </c>
      <c r="F100" s="28">
        <f t="shared" si="26"/>
        <v>35870.379962845102</v>
      </c>
      <c r="G100" s="28">
        <f t="shared" si="26"/>
        <v>34946.106386563391</v>
      </c>
      <c r="H100" s="28">
        <f t="shared" si="26"/>
        <v>175939.3093956399</v>
      </c>
    </row>
    <row r="101" spans="2:8" x14ac:dyDescent="0.3">
      <c r="B101" s="40" t="s">
        <v>55</v>
      </c>
      <c r="C101" s="193">
        <f>C100-C89</f>
        <v>0</v>
      </c>
      <c r="D101" s="193">
        <f t="shared" ref="D101:H101" si="27">D100-D89</f>
        <v>0</v>
      </c>
      <c r="E101" s="193">
        <f t="shared" si="27"/>
        <v>0</v>
      </c>
      <c r="F101" s="193">
        <f t="shared" si="27"/>
        <v>0</v>
      </c>
      <c r="G101" s="193">
        <f t="shared" si="27"/>
        <v>0</v>
      </c>
      <c r="H101" s="193">
        <f t="shared" si="27"/>
        <v>0</v>
      </c>
    </row>
  </sheetData>
  <pageMargins left="0.7" right="0.7" top="0.75" bottom="0.75" header="0.3" footer="0.3"/>
  <pageSetup paperSize="9" orientation="portrait" verticalDpi="0" r:id="rId1"/>
  <ignoredErrors>
    <ignoredError sqref="C37:G37 C30:G30 C22:G22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Y87"/>
  <sheetViews>
    <sheetView zoomScale="85" zoomScaleNormal="85" workbookViewId="0">
      <selection activeCell="C44" sqref="C44"/>
    </sheetView>
  </sheetViews>
  <sheetFormatPr defaultRowHeight="14.4" outlineLevelRow="1" x14ac:dyDescent="0.3"/>
  <cols>
    <col min="1" max="1" width="3.88671875" customWidth="1"/>
    <col min="2" max="2" width="48.88671875" customWidth="1"/>
    <col min="3" max="7" width="10.33203125" customWidth="1"/>
    <col min="8" max="8" width="12.6640625" customWidth="1"/>
    <col min="9" max="9" width="6.33203125" customWidth="1"/>
    <col min="10" max="10" width="39.33203125" customWidth="1"/>
    <col min="11" max="11" width="6.88671875" bestFit="1" customWidth="1"/>
    <col min="12" max="13" width="8" bestFit="1" customWidth="1"/>
    <col min="14" max="15" width="6.6640625" customWidth="1"/>
    <col min="16" max="16" width="10.109375" customWidth="1"/>
    <col min="17" max="17" width="6.33203125" customWidth="1"/>
    <col min="18" max="18" width="37.109375" customWidth="1"/>
    <col min="19" max="23" width="7.6640625" customWidth="1"/>
  </cols>
  <sheetData>
    <row r="1" spans="2:11" ht="15.6" x14ac:dyDescent="0.3">
      <c r="B1" s="133" t="s">
        <v>73</v>
      </c>
    </row>
    <row r="3" spans="2:11" ht="19.2" hidden="1" outlineLevel="1" thickTop="1" thickBot="1" x14ac:dyDescent="0.35">
      <c r="B3" s="123" t="s">
        <v>65</v>
      </c>
      <c r="C3" s="87"/>
      <c r="D3" s="87"/>
      <c r="E3" s="87"/>
      <c r="F3" s="87"/>
      <c r="G3" s="88"/>
      <c r="H3" s="89"/>
    </row>
    <row r="4" spans="2:11" ht="15.6" hidden="1" outlineLevel="1" thickTop="1" thickBot="1" x14ac:dyDescent="0.35">
      <c r="B4" s="90"/>
      <c r="C4" s="91">
        <v>2016</v>
      </c>
      <c r="D4" s="92">
        <v>2017</v>
      </c>
      <c r="E4" s="92">
        <v>2018</v>
      </c>
      <c r="F4" s="92">
        <v>2019</v>
      </c>
      <c r="G4" s="93">
        <v>2020</v>
      </c>
      <c r="H4" s="94" t="s">
        <v>6</v>
      </c>
    </row>
    <row r="5" spans="2:11" ht="15" hidden="1" outlineLevel="1" thickTop="1" x14ac:dyDescent="0.3">
      <c r="B5" s="95" t="s">
        <v>42</v>
      </c>
      <c r="C5" s="96">
        <v>63602.594075120265</v>
      </c>
      <c r="D5" s="97">
        <v>75366.165855881263</v>
      </c>
      <c r="E5" s="97">
        <v>60946.862572379279</v>
      </c>
      <c r="F5" s="97">
        <v>54732.205997934514</v>
      </c>
      <c r="G5" s="98">
        <v>51521.247152604483</v>
      </c>
      <c r="H5" s="99">
        <v>306169.07565391983</v>
      </c>
    </row>
    <row r="6" spans="2:11" hidden="1" outlineLevel="1" x14ac:dyDescent="0.3">
      <c r="B6" s="95" t="s">
        <v>43</v>
      </c>
      <c r="C6" s="100">
        <v>80744.800905805372</v>
      </c>
      <c r="D6" s="101">
        <v>80123.765424172525</v>
      </c>
      <c r="E6" s="101">
        <v>83068.262507280146</v>
      </c>
      <c r="F6" s="101">
        <v>79381.956610380032</v>
      </c>
      <c r="G6" s="102">
        <v>79707.119962638739</v>
      </c>
      <c r="H6" s="103">
        <v>403025.90541027684</v>
      </c>
    </row>
    <row r="7" spans="2:11" hidden="1" outlineLevel="1" x14ac:dyDescent="0.3">
      <c r="B7" s="95" t="s">
        <v>44</v>
      </c>
      <c r="C7" s="100">
        <v>134186.98492574264</v>
      </c>
      <c r="D7" s="101">
        <v>140727.93017436654</v>
      </c>
      <c r="E7" s="101">
        <v>140982.56241319855</v>
      </c>
      <c r="F7" s="101">
        <v>144520.00142452607</v>
      </c>
      <c r="G7" s="102">
        <v>137922.29158556723</v>
      </c>
      <c r="H7" s="103">
        <v>698339.77052340098</v>
      </c>
    </row>
    <row r="8" spans="2:11" hidden="1" outlineLevel="1" x14ac:dyDescent="0.3">
      <c r="B8" s="95" t="s">
        <v>66</v>
      </c>
      <c r="C8" s="100">
        <v>44629.566179419366</v>
      </c>
      <c r="D8" s="101">
        <v>58708.750883479021</v>
      </c>
      <c r="E8" s="101">
        <v>40539.988076674279</v>
      </c>
      <c r="F8" s="101">
        <v>47064.766487802226</v>
      </c>
      <c r="G8" s="102">
        <v>39667.141822912286</v>
      </c>
      <c r="H8" s="103">
        <v>230610.21345028721</v>
      </c>
    </row>
    <row r="9" spans="2:11" hidden="1" outlineLevel="1" x14ac:dyDescent="0.3">
      <c r="B9" s="104" t="s">
        <v>67</v>
      </c>
      <c r="C9" s="100">
        <v>33355.271924820139</v>
      </c>
      <c r="D9" s="101">
        <v>35068.678275377933</v>
      </c>
      <c r="E9" s="101">
        <v>34163.483493566921</v>
      </c>
      <c r="F9" s="101">
        <v>34113.021694948598</v>
      </c>
      <c r="G9" s="102">
        <v>34084.934986577304</v>
      </c>
      <c r="H9" s="103">
        <v>170785.39037529091</v>
      </c>
    </row>
    <row r="10" spans="2:11" ht="15" hidden="1" outlineLevel="1" thickBot="1" x14ac:dyDescent="0.35">
      <c r="B10" s="95" t="s">
        <v>68</v>
      </c>
      <c r="C10" s="105">
        <v>-1003.5087719297934</v>
      </c>
      <c r="D10" s="106">
        <v>-2430.6232367273556</v>
      </c>
      <c r="E10" s="106">
        <v>-2627.1604938271712</v>
      </c>
      <c r="F10" s="106">
        <v>-3003.6236119228415</v>
      </c>
      <c r="G10" s="107">
        <v>-3045.5373406192657</v>
      </c>
      <c r="H10" s="108">
        <v>-12110.453455026429</v>
      </c>
      <c r="J10" s="124"/>
      <c r="K10" s="35"/>
    </row>
    <row r="11" spans="2:11" ht="15" hidden="1" outlineLevel="1" thickTop="1" x14ac:dyDescent="0.3">
      <c r="B11" s="109" t="s">
        <v>69</v>
      </c>
      <c r="C11" s="110">
        <v>355515.70923897799</v>
      </c>
      <c r="D11" s="111">
        <v>387564.66737654997</v>
      </c>
      <c r="E11" s="111">
        <v>357073.99856927199</v>
      </c>
      <c r="F11" s="111">
        <v>356808.3286036686</v>
      </c>
      <c r="G11" s="112">
        <v>339857.19816968078</v>
      </c>
      <c r="H11" s="113">
        <v>1796819.9019581494</v>
      </c>
    </row>
    <row r="12" spans="2:11" ht="15" hidden="1" outlineLevel="1" thickBot="1" x14ac:dyDescent="0.35">
      <c r="B12" s="114" t="s">
        <v>70</v>
      </c>
      <c r="C12" s="115">
        <v>39336.106443631594</v>
      </c>
      <c r="D12" s="116">
        <v>38956.561621772482</v>
      </c>
      <c r="E12" s="116">
        <v>40520.062107075064</v>
      </c>
      <c r="F12" s="116">
        <v>38661.075317990333</v>
      </c>
      <c r="G12" s="117">
        <v>38927.886809860618</v>
      </c>
      <c r="H12" s="108">
        <v>196401.69230033009</v>
      </c>
    </row>
    <row r="13" spans="2:11" ht="15.6" hidden="1" outlineLevel="1" thickTop="1" thickBot="1" x14ac:dyDescent="0.35">
      <c r="B13" s="118" t="s">
        <v>71</v>
      </c>
      <c r="C13" s="119">
        <v>316179.60279534641</v>
      </c>
      <c r="D13" s="120">
        <v>348608.1057547775</v>
      </c>
      <c r="E13" s="120">
        <v>316553.93646219693</v>
      </c>
      <c r="F13" s="120">
        <v>318147.25328567828</v>
      </c>
      <c r="G13" s="121">
        <v>300929.31135982019</v>
      </c>
      <c r="H13" s="122">
        <v>1600418.2096578195</v>
      </c>
    </row>
    <row r="14" spans="2:11" ht="15" hidden="1" outlineLevel="1" thickTop="1" x14ac:dyDescent="0.3">
      <c r="B14" s="40" t="s">
        <v>56</v>
      </c>
    </row>
    <row r="15" spans="2:11" collapsed="1" x14ac:dyDescent="0.3">
      <c r="C15" s="480">
        <v>2016</v>
      </c>
      <c r="D15" s="480">
        <v>2017</v>
      </c>
      <c r="E15" s="480">
        <v>2018</v>
      </c>
      <c r="F15" s="480">
        <v>2019</v>
      </c>
      <c r="G15" s="480">
        <v>2020</v>
      </c>
    </row>
    <row r="16" spans="2:11" x14ac:dyDescent="0.3">
      <c r="B16" t="s">
        <v>584</v>
      </c>
      <c r="C16" s="43">
        <v>0.9971852603696133</v>
      </c>
      <c r="D16" s="43">
        <v>0.99376755746741163</v>
      </c>
      <c r="E16" s="43">
        <v>0.99269626903435604</v>
      </c>
      <c r="F16" s="43">
        <v>0.9916522405844842</v>
      </c>
      <c r="G16" s="43">
        <v>0.99111836382382024</v>
      </c>
    </row>
    <row r="17" spans="2:21" x14ac:dyDescent="0.3">
      <c r="B17" s="40" t="s">
        <v>56</v>
      </c>
      <c r="C17" s="150"/>
      <c r="D17" s="150"/>
      <c r="E17" s="150"/>
      <c r="F17" s="150"/>
      <c r="G17" s="150"/>
    </row>
    <row r="19" spans="2:21" ht="21.6" customHeight="1" x14ac:dyDescent="0.3">
      <c r="B19" s="135" t="s">
        <v>65</v>
      </c>
      <c r="C19" s="136"/>
      <c r="D19" s="136"/>
      <c r="E19" s="136"/>
      <c r="F19" s="136"/>
      <c r="G19" s="136"/>
      <c r="H19" s="136"/>
    </row>
    <row r="20" spans="2:21" x14ac:dyDescent="0.3">
      <c r="B20" s="52" t="s">
        <v>79</v>
      </c>
      <c r="C20" s="4">
        <v>2016</v>
      </c>
      <c r="D20" s="4">
        <v>2017</v>
      </c>
      <c r="E20" s="4">
        <v>2018</v>
      </c>
      <c r="F20" s="4">
        <v>2019</v>
      </c>
      <c r="G20" s="4">
        <v>2020</v>
      </c>
      <c r="H20" s="4" t="s">
        <v>6</v>
      </c>
    </row>
    <row r="21" spans="2:21" x14ac:dyDescent="0.3">
      <c r="B21" t="s">
        <v>42</v>
      </c>
      <c r="C21" s="27">
        <f>C5*C$16</f>
        <v>63423.569332981628</v>
      </c>
      <c r="D21" s="27">
        <f t="shared" ref="D21:G21" si="0">D5*D$16</f>
        <v>74896.450558282959</v>
      </c>
      <c r="E21" s="27">
        <f t="shared" si="0"/>
        <v>60501.723084950543</v>
      </c>
      <c r="F21" s="27">
        <f t="shared" si="0"/>
        <v>54275.314709983308</v>
      </c>
      <c r="G21" s="27">
        <f t="shared" si="0"/>
        <v>51063.654180052014</v>
      </c>
      <c r="H21" s="28">
        <f>SUM(C21:G21)</f>
        <v>304160.71186625044</v>
      </c>
    </row>
    <row r="22" spans="2:21" x14ac:dyDescent="0.3">
      <c r="B22" t="s">
        <v>43</v>
      </c>
      <c r="C22" s="27">
        <f t="shared" ref="C22:G22" si="1">C6*C$16</f>
        <v>80517.525314748113</v>
      </c>
      <c r="D22" s="27">
        <f t="shared" si="1"/>
        <v>79624.398660671781</v>
      </c>
      <c r="E22" s="27">
        <f t="shared" si="1"/>
        <v>82461.554266143488</v>
      </c>
      <c r="F22" s="27">
        <f t="shared" si="1"/>
        <v>78719.295134663669</v>
      </c>
      <c r="G22" s="27">
        <f t="shared" si="1"/>
        <v>78999.190322479466</v>
      </c>
      <c r="H22" s="28">
        <f t="shared" ref="H22:H26" si="2">SUM(C22:G22)</f>
        <v>400321.96369870647</v>
      </c>
    </row>
    <row r="23" spans="2:21" x14ac:dyDescent="0.3">
      <c r="B23" t="s">
        <v>44</v>
      </c>
      <c r="C23" s="27">
        <f t="shared" ref="C23:G23" si="3">C7*C$16</f>
        <v>133809.28350139005</v>
      </c>
      <c r="D23" s="27">
        <f t="shared" si="3"/>
        <v>139850.85143682468</v>
      </c>
      <c r="E23" s="27">
        <f t="shared" si="3"/>
        <v>139952.86370648546</v>
      </c>
      <c r="F23" s="27">
        <f t="shared" si="3"/>
        <v>143313.58322190412</v>
      </c>
      <c r="G23" s="27">
        <f t="shared" si="3"/>
        <v>136697.31597111924</v>
      </c>
      <c r="H23" s="28">
        <f t="shared" si="2"/>
        <v>693623.89783772349</v>
      </c>
    </row>
    <row r="24" spans="2:21" x14ac:dyDescent="0.3">
      <c r="B24" t="s">
        <v>66</v>
      </c>
      <c r="C24" s="27">
        <f t="shared" ref="C24:G24" si="4">C8*C$16</f>
        <v>44503.945570807191</v>
      </c>
      <c r="D24" s="27">
        <f t="shared" si="4"/>
        <v>58342.851967437688</v>
      </c>
      <c r="E24" s="27">
        <f t="shared" si="4"/>
        <v>40243.894910411836</v>
      </c>
      <c r="F24" s="27">
        <f t="shared" si="4"/>
        <v>46671.881140214624</v>
      </c>
      <c r="G24" s="27">
        <f t="shared" si="4"/>
        <v>39314.832701092259</v>
      </c>
      <c r="H24" s="28">
        <f t="shared" si="2"/>
        <v>229077.4062899636</v>
      </c>
    </row>
    <row r="25" spans="2:21" ht="15" x14ac:dyDescent="0.25">
      <c r="B25" t="s">
        <v>67</v>
      </c>
      <c r="C25" s="27">
        <f t="shared" ref="C25:G25" si="5">C9*C$16</f>
        <v>33261.385519051022</v>
      </c>
      <c r="D25" s="27">
        <f t="shared" si="5"/>
        <v>34850.114753332811</v>
      </c>
      <c r="E25" s="27">
        <f t="shared" si="5"/>
        <v>33913.962601280691</v>
      </c>
      <c r="F25" s="27">
        <f t="shared" si="5"/>
        <v>33828.254396902899</v>
      </c>
      <c r="G25" s="27">
        <f t="shared" si="5"/>
        <v>33782.204994937783</v>
      </c>
      <c r="H25" s="28">
        <f t="shared" si="2"/>
        <v>169635.92226550519</v>
      </c>
    </row>
    <row r="26" spans="2:21" ht="15" x14ac:dyDescent="0.25">
      <c r="B26" t="s">
        <v>68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8">
        <f t="shared" si="2"/>
        <v>0</v>
      </c>
    </row>
    <row r="27" spans="2:21" ht="15" x14ac:dyDescent="0.25">
      <c r="B27" s="25" t="s">
        <v>69</v>
      </c>
      <c r="C27" s="125">
        <f>SUM(C21:C26)</f>
        <v>355515.70923897799</v>
      </c>
      <c r="D27" s="125">
        <f t="shared" ref="D27:G27" si="6">SUM(D21:D26)</f>
        <v>387564.66737654991</v>
      </c>
      <c r="E27" s="125">
        <f t="shared" si="6"/>
        <v>357073.99856927205</v>
      </c>
      <c r="F27" s="125">
        <f t="shared" si="6"/>
        <v>356808.32860366866</v>
      </c>
      <c r="G27" s="125">
        <f t="shared" si="6"/>
        <v>339857.19816968078</v>
      </c>
      <c r="H27" s="36">
        <f>SUM(H21:H26)</f>
        <v>1796819.9019581492</v>
      </c>
    </row>
    <row r="28" spans="2:21" ht="15" x14ac:dyDescent="0.25">
      <c r="B28" t="s">
        <v>70</v>
      </c>
      <c r="C28" s="124">
        <f>C12</f>
        <v>39336.106443631594</v>
      </c>
      <c r="D28" s="124">
        <f t="shared" ref="D28:G28" si="7">D12</f>
        <v>38956.561621772482</v>
      </c>
      <c r="E28" s="124">
        <f t="shared" si="7"/>
        <v>40520.062107075064</v>
      </c>
      <c r="F28" s="124">
        <f t="shared" si="7"/>
        <v>38661.075317990333</v>
      </c>
      <c r="G28" s="124">
        <f t="shared" si="7"/>
        <v>38927.886809860618</v>
      </c>
      <c r="H28" s="28">
        <f>SUM(C28:G28)</f>
        <v>196401.69230033009</v>
      </c>
    </row>
    <row r="29" spans="2:21" ht="15.75" thickBot="1" x14ac:dyDescent="0.3">
      <c r="B29" s="25" t="s">
        <v>71</v>
      </c>
      <c r="C29" s="126">
        <f>C27-C28</f>
        <v>316179.60279534641</v>
      </c>
      <c r="D29" s="126">
        <f t="shared" ref="D29:H29" si="8">D27-D28</f>
        <v>348608.10575477744</v>
      </c>
      <c r="E29" s="126">
        <f t="shared" si="8"/>
        <v>316553.93646219699</v>
      </c>
      <c r="F29" s="126">
        <f t="shared" si="8"/>
        <v>318147.25328567834</v>
      </c>
      <c r="G29" s="126">
        <f t="shared" si="8"/>
        <v>300929.31135982019</v>
      </c>
      <c r="H29" s="126">
        <f t="shared" si="8"/>
        <v>1600418.209657819</v>
      </c>
    </row>
    <row r="30" spans="2:21" ht="15" x14ac:dyDescent="0.25">
      <c r="B30" s="209" t="s">
        <v>55</v>
      </c>
      <c r="C30" s="193">
        <f>C29-C13</f>
        <v>0</v>
      </c>
      <c r="D30" s="193">
        <f t="shared" ref="D30:H30" si="9">D29-D13</f>
        <v>0</v>
      </c>
      <c r="E30" s="193">
        <f t="shared" si="9"/>
        <v>0</v>
      </c>
      <c r="F30" s="193">
        <f t="shared" si="9"/>
        <v>0</v>
      </c>
      <c r="G30" s="193">
        <f t="shared" si="9"/>
        <v>0</v>
      </c>
      <c r="H30" s="193">
        <f t="shared" si="9"/>
        <v>0</v>
      </c>
      <c r="T30" s="28"/>
      <c r="U30" s="28"/>
    </row>
    <row r="31" spans="2:21" x14ac:dyDescent="0.3">
      <c r="B31" s="25" t="s">
        <v>107</v>
      </c>
      <c r="C31" s="28">
        <f>C27-C25</f>
        <v>322254.32371992699</v>
      </c>
      <c r="D31" s="28">
        <f t="shared" ref="D31:H31" si="10">D27-D25</f>
        <v>352714.55262321711</v>
      </c>
      <c r="E31" s="28">
        <f t="shared" si="10"/>
        <v>323160.03596799134</v>
      </c>
      <c r="F31" s="28">
        <f t="shared" si="10"/>
        <v>322980.07420676574</v>
      </c>
      <c r="G31" s="28">
        <f t="shared" si="10"/>
        <v>306074.99317474302</v>
      </c>
      <c r="H31" s="28">
        <f t="shared" si="10"/>
        <v>1627183.979692644</v>
      </c>
    </row>
    <row r="32" spans="2:21" x14ac:dyDescent="0.3">
      <c r="B32" s="25"/>
      <c r="C32" s="27"/>
      <c r="D32" s="27"/>
      <c r="E32" s="27"/>
      <c r="F32" s="27"/>
      <c r="G32" s="27"/>
      <c r="H32" s="27"/>
      <c r="T32" s="5"/>
      <c r="U32" s="5"/>
    </row>
    <row r="33" spans="2:25" x14ac:dyDescent="0.3">
      <c r="B33" s="491" t="s">
        <v>587</v>
      </c>
      <c r="C33" s="486"/>
      <c r="D33" s="486"/>
      <c r="E33" s="486"/>
      <c r="F33" s="486"/>
      <c r="G33" s="486"/>
      <c r="H33" s="486"/>
      <c r="J33" s="151" t="s">
        <v>588</v>
      </c>
      <c r="K33" s="150"/>
      <c r="L33" s="150"/>
      <c r="M33" s="150"/>
      <c r="N33" s="150"/>
      <c r="O33" s="150"/>
      <c r="P33" s="150"/>
      <c r="R33" s="151" t="s">
        <v>589</v>
      </c>
      <c r="S33" s="150"/>
      <c r="T33" s="150"/>
      <c r="U33" s="150"/>
      <c r="V33" s="150"/>
      <c r="W33" s="150"/>
      <c r="X33" s="150"/>
    </row>
    <row r="34" spans="2:25" x14ac:dyDescent="0.3">
      <c r="B34" s="497" t="s">
        <v>75</v>
      </c>
      <c r="C34" s="485">
        <v>2016</v>
      </c>
      <c r="D34" s="485">
        <v>2017</v>
      </c>
      <c r="E34" s="485">
        <v>2018</v>
      </c>
      <c r="F34" s="485">
        <v>2019</v>
      </c>
      <c r="G34" s="485">
        <v>2020</v>
      </c>
      <c r="H34" s="485" t="s">
        <v>6</v>
      </c>
      <c r="J34" s="178" t="s">
        <v>75</v>
      </c>
      <c r="K34" s="49">
        <v>2016</v>
      </c>
      <c r="L34" s="49">
        <v>2017</v>
      </c>
      <c r="M34" s="49">
        <v>2018</v>
      </c>
      <c r="N34" s="49">
        <v>2019</v>
      </c>
      <c r="O34" s="49">
        <v>2020</v>
      </c>
      <c r="P34" s="49" t="s">
        <v>6</v>
      </c>
      <c r="R34" s="505" t="s">
        <v>579</v>
      </c>
      <c r="S34" s="49">
        <v>2016</v>
      </c>
      <c r="T34" s="49">
        <v>2017</v>
      </c>
      <c r="U34" s="49">
        <v>2018</v>
      </c>
      <c r="V34" s="49">
        <v>2019</v>
      </c>
      <c r="W34" s="49">
        <v>2020</v>
      </c>
      <c r="X34" s="49" t="s">
        <v>6</v>
      </c>
    </row>
    <row r="35" spans="2:25" x14ac:dyDescent="0.3">
      <c r="B35" s="484" t="s">
        <v>42</v>
      </c>
      <c r="C35" s="486">
        <f>K35+S35</f>
        <v>4904.0956076109269</v>
      </c>
      <c r="D35" s="486">
        <f t="shared" ref="D35:D39" si="11">L35+T35</f>
        <v>41361.900174121554</v>
      </c>
      <c r="E35" s="486">
        <f t="shared" ref="E35:E39" si="12">M35+U35</f>
        <v>23626.775596119227</v>
      </c>
      <c r="F35" s="486">
        <f t="shared" ref="F35:F39" si="13">N35+V35</f>
        <v>115.57230699341409</v>
      </c>
      <c r="G35" s="486">
        <f t="shared" ref="G35:G39" si="14">O35+W35</f>
        <v>0</v>
      </c>
      <c r="H35" s="493">
        <f>SUM(C35:G35)</f>
        <v>70008.343684845124</v>
      </c>
      <c r="J35" s="45" t="s">
        <v>42</v>
      </c>
      <c r="K35" s="150">
        <v>4904.0956076109269</v>
      </c>
      <c r="L35" s="150">
        <v>47044.37446734788</v>
      </c>
      <c r="M35" s="150">
        <v>24631.422993221186</v>
      </c>
      <c r="N35" s="150">
        <v>115.57230699341409</v>
      </c>
      <c r="O35" s="150">
        <v>0</v>
      </c>
      <c r="P35" s="396">
        <f>SUM(K35:O35)</f>
        <v>76695.465375173415</v>
      </c>
      <c r="R35" s="45" t="s">
        <v>42</v>
      </c>
      <c r="S35" s="150">
        <v>0</v>
      </c>
      <c r="T35" s="150">
        <v>-5682.4742932263252</v>
      </c>
      <c r="U35" s="150">
        <v>-1004.6473971019582</v>
      </c>
      <c r="V35" s="150">
        <v>0</v>
      </c>
      <c r="W35" s="150">
        <v>0</v>
      </c>
      <c r="X35" s="396">
        <f>SUM(S35:W35)</f>
        <v>-6687.1216903282839</v>
      </c>
    </row>
    <row r="36" spans="2:25" x14ac:dyDescent="0.3">
      <c r="B36" s="484" t="s">
        <v>43</v>
      </c>
      <c r="C36" s="486">
        <f t="shared" ref="C36:C39" si="15">K36+S36</f>
        <v>0</v>
      </c>
      <c r="D36" s="486">
        <f t="shared" si="11"/>
        <v>0</v>
      </c>
      <c r="E36" s="486">
        <f t="shared" si="12"/>
        <v>0</v>
      </c>
      <c r="F36" s="486">
        <f t="shared" si="13"/>
        <v>0</v>
      </c>
      <c r="G36" s="486">
        <f t="shared" si="14"/>
        <v>0</v>
      </c>
      <c r="H36" s="493">
        <f t="shared" ref="H36:H40" si="16">SUM(C36:G36)</f>
        <v>0</v>
      </c>
      <c r="J36" s="45" t="s">
        <v>43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396">
        <f t="shared" ref="P36:P40" si="17">SUM(K36:O36)</f>
        <v>0</v>
      </c>
      <c r="R36" s="45" t="s">
        <v>43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396">
        <f t="shared" ref="X36:X40" si="18">SUM(S36:W36)</f>
        <v>0</v>
      </c>
    </row>
    <row r="37" spans="2:25" ht="15" x14ac:dyDescent="0.25">
      <c r="B37" s="484" t="s">
        <v>44</v>
      </c>
      <c r="C37" s="486">
        <f t="shared" si="15"/>
        <v>1850.7054654638612</v>
      </c>
      <c r="D37" s="486">
        <f t="shared" si="11"/>
        <v>10176.164713644297</v>
      </c>
      <c r="E37" s="486">
        <f t="shared" si="12"/>
        <v>14344.294707227862</v>
      </c>
      <c r="F37" s="486">
        <f t="shared" si="13"/>
        <v>-0.13243003273133225</v>
      </c>
      <c r="G37" s="486">
        <f t="shared" si="14"/>
        <v>0</v>
      </c>
      <c r="H37" s="493">
        <f t="shared" si="16"/>
        <v>26371.032456303288</v>
      </c>
      <c r="J37" s="45" t="s">
        <v>44</v>
      </c>
      <c r="K37" s="150">
        <v>1850.7054654638612</v>
      </c>
      <c r="L37" s="150">
        <v>10176.164713644297</v>
      </c>
      <c r="M37" s="150">
        <v>14344.294707227862</v>
      </c>
      <c r="N37" s="150">
        <v>-0.13243003273133225</v>
      </c>
      <c r="O37" s="150">
        <v>0</v>
      </c>
      <c r="P37" s="396">
        <f t="shared" si="17"/>
        <v>26371.032456303288</v>
      </c>
      <c r="R37" s="45" t="s">
        <v>44</v>
      </c>
      <c r="S37" s="150">
        <v>0</v>
      </c>
      <c r="T37" s="150">
        <v>0</v>
      </c>
      <c r="U37" s="150">
        <v>0</v>
      </c>
      <c r="V37" s="150">
        <v>0</v>
      </c>
      <c r="W37" s="150">
        <v>0</v>
      </c>
      <c r="X37" s="396">
        <f t="shared" si="18"/>
        <v>0</v>
      </c>
    </row>
    <row r="38" spans="2:25" ht="15" x14ac:dyDescent="0.25">
      <c r="B38" s="484" t="s">
        <v>66</v>
      </c>
      <c r="C38" s="486">
        <f t="shared" si="15"/>
        <v>0.56042019792399089</v>
      </c>
      <c r="D38" s="486">
        <f t="shared" si="11"/>
        <v>337.44662752416491</v>
      </c>
      <c r="E38" s="486">
        <f t="shared" si="12"/>
        <v>495.53403955854867</v>
      </c>
      <c r="F38" s="486">
        <f t="shared" si="13"/>
        <v>0</v>
      </c>
      <c r="G38" s="486">
        <f t="shared" si="14"/>
        <v>0</v>
      </c>
      <c r="H38" s="493">
        <f t="shared" si="16"/>
        <v>833.54108728063761</v>
      </c>
      <c r="J38" s="45" t="s">
        <v>66</v>
      </c>
      <c r="K38" s="150">
        <v>0.56042019792399089</v>
      </c>
      <c r="L38" s="150">
        <v>337.44662752416491</v>
      </c>
      <c r="M38" s="150">
        <v>495.53403955854867</v>
      </c>
      <c r="N38" s="150">
        <v>0</v>
      </c>
      <c r="O38" s="150">
        <v>0</v>
      </c>
      <c r="P38" s="396">
        <f t="shared" si="17"/>
        <v>833.54108728063761</v>
      </c>
      <c r="R38" s="45" t="s">
        <v>66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396">
        <f t="shared" si="18"/>
        <v>0</v>
      </c>
    </row>
    <row r="39" spans="2:25" ht="15" x14ac:dyDescent="0.25">
      <c r="B39" s="484" t="s">
        <v>67</v>
      </c>
      <c r="C39" s="486">
        <f t="shared" si="15"/>
        <v>181.99473158286929</v>
      </c>
      <c r="D39" s="486">
        <f t="shared" si="11"/>
        <v>1362.2784971516553</v>
      </c>
      <c r="E39" s="486">
        <f t="shared" si="12"/>
        <v>1034.7271222709458</v>
      </c>
      <c r="F39" s="486">
        <f t="shared" si="13"/>
        <v>3.1682383502583917</v>
      </c>
      <c r="G39" s="486">
        <f t="shared" si="14"/>
        <v>0</v>
      </c>
      <c r="H39" s="493">
        <f t="shared" si="16"/>
        <v>2582.1685893557287</v>
      </c>
      <c r="J39" s="45" t="s">
        <v>67</v>
      </c>
      <c r="K39" s="150">
        <v>181.99473158286929</v>
      </c>
      <c r="L39" s="150">
        <v>1524.3958493104246</v>
      </c>
      <c r="M39" s="150">
        <v>1061.478250825174</v>
      </c>
      <c r="N39" s="150">
        <v>3.1682383502583917</v>
      </c>
      <c r="O39" s="150">
        <v>0</v>
      </c>
      <c r="P39" s="396">
        <f t="shared" si="17"/>
        <v>2771.0370700687263</v>
      </c>
      <c r="R39" s="45" t="s">
        <v>67</v>
      </c>
      <c r="S39" s="150">
        <v>0</v>
      </c>
      <c r="T39" s="150">
        <v>-162.11735215876934</v>
      </c>
      <c r="U39" s="150">
        <v>-26.751128554228217</v>
      </c>
      <c r="V39" s="150">
        <v>0</v>
      </c>
      <c r="W39" s="150">
        <v>0</v>
      </c>
      <c r="X39" s="396">
        <f t="shared" si="18"/>
        <v>-188.86848071299755</v>
      </c>
      <c r="Y39" s="35"/>
    </row>
    <row r="40" spans="2:25" ht="15" x14ac:dyDescent="0.25">
      <c r="B40" s="484" t="s">
        <v>68</v>
      </c>
      <c r="C40" s="486"/>
      <c r="D40" s="486"/>
      <c r="E40" s="486"/>
      <c r="F40" s="486"/>
      <c r="G40" s="486"/>
      <c r="H40" s="493">
        <f t="shared" si="16"/>
        <v>0</v>
      </c>
      <c r="J40" s="45" t="s">
        <v>68</v>
      </c>
      <c r="K40" s="150"/>
      <c r="L40" s="150"/>
      <c r="M40" s="150"/>
      <c r="N40" s="150"/>
      <c r="O40" s="150"/>
      <c r="P40" s="396">
        <f t="shared" si="17"/>
        <v>0</v>
      </c>
      <c r="R40" s="45" t="s">
        <v>68</v>
      </c>
      <c r="S40" s="150"/>
      <c r="T40" s="150"/>
      <c r="U40" s="150"/>
      <c r="V40" s="150"/>
      <c r="W40" s="150"/>
      <c r="X40" s="396">
        <f t="shared" si="18"/>
        <v>0</v>
      </c>
    </row>
    <row r="41" spans="2:25" ht="15" x14ac:dyDescent="0.25">
      <c r="B41" s="491" t="s">
        <v>69</v>
      </c>
      <c r="C41" s="498">
        <f>SUM(C35:C40)</f>
        <v>6937.3562248555818</v>
      </c>
      <c r="D41" s="498">
        <f t="shared" ref="D41:G41" si="19">SUM(D35:D40)</f>
        <v>53237.79001244167</v>
      </c>
      <c r="E41" s="498">
        <f t="shared" si="19"/>
        <v>39501.33146517659</v>
      </c>
      <c r="F41" s="498">
        <f t="shared" si="19"/>
        <v>118.60811531094114</v>
      </c>
      <c r="G41" s="498">
        <f t="shared" si="19"/>
        <v>0</v>
      </c>
      <c r="H41" s="499">
        <f>SUM(H35:H40)</f>
        <v>99795.085817784784</v>
      </c>
      <c r="J41" s="151" t="s">
        <v>69</v>
      </c>
      <c r="K41" s="502">
        <f>SUM(K35:K40)</f>
        <v>6937.3562248555818</v>
      </c>
      <c r="L41" s="502">
        <f t="shared" ref="L41:O41" si="20">SUM(L35:L40)</f>
        <v>59082.381657826765</v>
      </c>
      <c r="M41" s="502">
        <f t="shared" si="20"/>
        <v>40532.729990832777</v>
      </c>
      <c r="N41" s="502">
        <f t="shared" si="20"/>
        <v>118.60811531094114</v>
      </c>
      <c r="O41" s="502">
        <f t="shared" si="20"/>
        <v>0</v>
      </c>
      <c r="P41" s="503">
        <f>SUM(P35:P40)</f>
        <v>106671.07598882607</v>
      </c>
      <c r="R41" s="151" t="s">
        <v>69</v>
      </c>
      <c r="S41" s="502">
        <f>SUM(S35:S40)</f>
        <v>0</v>
      </c>
      <c r="T41" s="502">
        <f t="shared" ref="T41:W41" si="21">SUM(T35:T40)</f>
        <v>-5844.591645385095</v>
      </c>
      <c r="U41" s="502">
        <f t="shared" si="21"/>
        <v>-1031.3985256561864</v>
      </c>
      <c r="V41" s="502">
        <f t="shared" si="21"/>
        <v>0</v>
      </c>
      <c r="W41" s="502">
        <f t="shared" si="21"/>
        <v>0</v>
      </c>
      <c r="X41" s="503">
        <f>SUM(X35:X40)</f>
        <v>-6875.9901710412814</v>
      </c>
    </row>
    <row r="42" spans="2:25" x14ac:dyDescent="0.3">
      <c r="B42" s="484" t="s">
        <v>70</v>
      </c>
      <c r="C42" s="486">
        <v>0</v>
      </c>
      <c r="D42" s="486">
        <v>0</v>
      </c>
      <c r="E42" s="486">
        <v>0</v>
      </c>
      <c r="F42" s="486">
        <v>0</v>
      </c>
      <c r="G42" s="486">
        <v>0</v>
      </c>
      <c r="H42" s="493">
        <f>SUM(C42:G42)</f>
        <v>0</v>
      </c>
      <c r="J42" s="45" t="s">
        <v>70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396">
        <f>SUM(K42:O42)</f>
        <v>0</v>
      </c>
      <c r="R42" s="45" t="s">
        <v>70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396">
        <f>SUM(S42:W42)</f>
        <v>0</v>
      </c>
    </row>
    <row r="43" spans="2:25" ht="15" thickBot="1" x14ac:dyDescent="0.35">
      <c r="B43" s="491" t="s">
        <v>71</v>
      </c>
      <c r="C43" s="500">
        <f t="shared" ref="C43:G43" si="22">C41-C42</f>
        <v>6937.3562248555818</v>
      </c>
      <c r="D43" s="500">
        <f t="shared" si="22"/>
        <v>53237.79001244167</v>
      </c>
      <c r="E43" s="500">
        <f t="shared" si="22"/>
        <v>39501.33146517659</v>
      </c>
      <c r="F43" s="500">
        <f t="shared" si="22"/>
        <v>118.60811531094114</v>
      </c>
      <c r="G43" s="500">
        <f t="shared" si="22"/>
        <v>0</v>
      </c>
      <c r="H43" s="500">
        <f t="shared" ref="H43" si="23">H41-H42</f>
        <v>99795.085817784784</v>
      </c>
      <c r="J43" s="151" t="s">
        <v>71</v>
      </c>
      <c r="K43" s="504">
        <f t="shared" ref="K43:P43" si="24">K41-K42</f>
        <v>6937.3562248555818</v>
      </c>
      <c r="L43" s="504">
        <f t="shared" si="24"/>
        <v>59082.381657826765</v>
      </c>
      <c r="M43" s="504">
        <f t="shared" si="24"/>
        <v>40532.729990832777</v>
      </c>
      <c r="N43" s="504">
        <f t="shared" si="24"/>
        <v>118.60811531094114</v>
      </c>
      <c r="O43" s="504">
        <f t="shared" si="24"/>
        <v>0</v>
      </c>
      <c r="P43" s="504">
        <f t="shared" si="24"/>
        <v>106671.07598882607</v>
      </c>
      <c r="R43" s="151" t="s">
        <v>71</v>
      </c>
      <c r="S43" s="504">
        <f t="shared" ref="S43:X43" si="25">S41-S42</f>
        <v>0</v>
      </c>
      <c r="T43" s="504">
        <f t="shared" si="25"/>
        <v>-5844.591645385095</v>
      </c>
      <c r="U43" s="504">
        <f t="shared" si="25"/>
        <v>-1031.3985256561864</v>
      </c>
      <c r="V43" s="504">
        <f t="shared" si="25"/>
        <v>0</v>
      </c>
      <c r="W43" s="504">
        <f t="shared" si="25"/>
        <v>0</v>
      </c>
      <c r="X43" s="504">
        <f t="shared" si="25"/>
        <v>-6875.9901710412814</v>
      </c>
    </row>
    <row r="44" spans="2:25" x14ac:dyDescent="0.3">
      <c r="B44" s="497" t="s">
        <v>55</v>
      </c>
      <c r="C44" s="486">
        <f>C43-(K43+S43)</f>
        <v>0</v>
      </c>
      <c r="D44" s="486">
        <f t="shared" ref="D44:H44" si="26">D43-(L43+T43)</f>
        <v>0</v>
      </c>
      <c r="E44" s="486">
        <f t="shared" si="26"/>
        <v>0</v>
      </c>
      <c r="F44" s="486">
        <f t="shared" si="26"/>
        <v>0</v>
      </c>
      <c r="G44" s="486">
        <f t="shared" si="26"/>
        <v>0</v>
      </c>
      <c r="H44" s="486">
        <f t="shared" si="26"/>
        <v>0</v>
      </c>
      <c r="J44" s="506" t="s">
        <v>580</v>
      </c>
      <c r="K44" s="150"/>
      <c r="L44" s="38"/>
      <c r="M44" s="38"/>
      <c r="N44" s="150"/>
      <c r="O44" s="38"/>
      <c r="P44" s="150"/>
      <c r="R44" s="178" t="s">
        <v>55</v>
      </c>
      <c r="S44" s="513">
        <v>0</v>
      </c>
      <c r="T44" s="512">
        <v>0</v>
      </c>
      <c r="U44" s="512">
        <v>0</v>
      </c>
      <c r="V44" s="513">
        <v>0</v>
      </c>
      <c r="W44" s="513">
        <v>0</v>
      </c>
      <c r="X44" s="38">
        <f>SUM(S44:W44)</f>
        <v>0</v>
      </c>
    </row>
    <row r="45" spans="2:25" x14ac:dyDescent="0.3">
      <c r="B45" s="25"/>
      <c r="C45" s="46"/>
      <c r="D45" s="46"/>
      <c r="E45" s="46"/>
      <c r="F45" s="46"/>
      <c r="G45" s="46"/>
      <c r="H45" s="27"/>
      <c r="R45" s="40" t="s">
        <v>586</v>
      </c>
    </row>
    <row r="46" spans="2:25" ht="20.399999999999999" customHeight="1" x14ac:dyDescent="0.3">
      <c r="B46" s="128" t="s">
        <v>576</v>
      </c>
      <c r="C46" s="127"/>
      <c r="D46" s="127"/>
      <c r="E46" s="127"/>
      <c r="F46" s="127"/>
      <c r="G46" s="127"/>
      <c r="H46" s="127"/>
      <c r="R46" s="40" t="s">
        <v>590</v>
      </c>
    </row>
    <row r="47" spans="2:25" x14ac:dyDescent="0.3">
      <c r="C47" s="4">
        <v>2016</v>
      </c>
      <c r="D47" s="4">
        <v>2017</v>
      </c>
      <c r="E47" s="4">
        <v>2018</v>
      </c>
      <c r="F47" s="4">
        <v>2019</v>
      </c>
      <c r="G47" s="4">
        <v>2020</v>
      </c>
      <c r="H47" s="4" t="s">
        <v>6</v>
      </c>
    </row>
    <row r="48" spans="2:25" x14ac:dyDescent="0.3">
      <c r="B48" t="s">
        <v>42</v>
      </c>
      <c r="C48" s="27">
        <f>SUM(Direct_Summary!D7,Direct_Summary!D11,Direct_Summary!D15)</f>
        <v>0</v>
      </c>
      <c r="D48" s="27">
        <f>SUM(Direct_Summary!E7,Direct_Summary!E11,Direct_Summary!E15)</f>
        <v>0</v>
      </c>
      <c r="E48" s="27">
        <f>SUM(Direct_Summary!F7,Direct_Summary!F11,Direct_Summary!F15)</f>
        <v>14724.54518251877</v>
      </c>
      <c r="F48" s="27">
        <f>SUM(Direct_Summary!G7,Direct_Summary!G11,Direct_Summary!G15)</f>
        <v>54465.68940532035</v>
      </c>
      <c r="G48" s="27">
        <f>SUM(Direct_Summary!H7,Direct_Summary!H11,Direct_Summary!H15)</f>
        <v>20091.708514023321</v>
      </c>
      <c r="H48" s="28">
        <f t="shared" ref="H48:H55" si="27">SUM(C48:G48)</f>
        <v>89281.943101862445</v>
      </c>
      <c r="I48" s="47"/>
    </row>
    <row r="49" spans="2:9" x14ac:dyDescent="0.3">
      <c r="B49" t="s">
        <v>43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8">
        <f t="shared" si="27"/>
        <v>0</v>
      </c>
      <c r="I49" s="47"/>
    </row>
    <row r="50" spans="2:9" x14ac:dyDescent="0.3">
      <c r="B50" t="s">
        <v>44</v>
      </c>
      <c r="C50" s="27">
        <f>SUM(Direct_Summary!D8,Direct_Summary!D12,Direct_Summary!D16)</f>
        <v>0</v>
      </c>
      <c r="D50" s="27">
        <f>SUM(Direct_Summary!E8,Direct_Summary!E12,Direct_Summary!E16)</f>
        <v>0</v>
      </c>
      <c r="E50" s="27">
        <f>SUM(Direct_Summary!F8,Direct_Summary!F12,Direct_Summary!F16)</f>
        <v>4177.5491758246826</v>
      </c>
      <c r="F50" s="27">
        <f>SUM(Direct_Summary!G8,Direct_Summary!G12,Direct_Summary!G16)</f>
        <v>18836.190623918104</v>
      </c>
      <c r="G50" s="27">
        <f>SUM(Direct_Summary!H8,Direct_Summary!H12,Direct_Summary!H16)</f>
        <v>20034.34908620159</v>
      </c>
      <c r="H50" s="28">
        <f t="shared" si="27"/>
        <v>43048.08888594438</v>
      </c>
      <c r="I50" s="47"/>
    </row>
    <row r="51" spans="2:9" x14ac:dyDescent="0.3">
      <c r="B51" t="s">
        <v>66</v>
      </c>
      <c r="C51" s="27">
        <f>Direct_Summary!D22</f>
        <v>0</v>
      </c>
      <c r="D51" s="27">
        <f>Direct_Summary!E22</f>
        <v>0</v>
      </c>
      <c r="E51" s="27">
        <f>Direct_Summary!F22</f>
        <v>0</v>
      </c>
      <c r="F51" s="27">
        <f>Direct_Summary!G22</f>
        <v>510.75778604651157</v>
      </c>
      <c r="G51" s="27">
        <f>Direct_Summary!H22</f>
        <v>1532.2733581395346</v>
      </c>
      <c r="H51" s="28">
        <f t="shared" si="27"/>
        <v>2043.0311441860463</v>
      </c>
    </row>
    <row r="52" spans="2:9" x14ac:dyDescent="0.3">
      <c r="B52" t="s">
        <v>67</v>
      </c>
      <c r="C52" s="27">
        <f>Overheads!C75</f>
        <v>0</v>
      </c>
      <c r="D52" s="27">
        <f>Overheads!D75</f>
        <v>0</v>
      </c>
      <c r="E52" s="27">
        <f>Overheads!E75</f>
        <v>518.35994373952258</v>
      </c>
      <c r="F52" s="27">
        <f>Overheads!F75</f>
        <v>2038.9573275919404</v>
      </c>
      <c r="G52" s="27">
        <f>Overheads!G75</f>
        <v>1163.9013916256029</v>
      </c>
      <c r="H52" s="28">
        <f t="shared" si="27"/>
        <v>3721.218662957066</v>
      </c>
    </row>
    <row r="53" spans="2:9" x14ac:dyDescent="0.3">
      <c r="B53" t="s">
        <v>68</v>
      </c>
      <c r="C53" s="27">
        <f>Direct_Summary!D46</f>
        <v>0</v>
      </c>
      <c r="D53" s="27">
        <f>Direct_Summary!E46</f>
        <v>0</v>
      </c>
      <c r="E53" s="27">
        <f>Direct_Summary!F46</f>
        <v>129.89211476611251</v>
      </c>
      <c r="F53" s="27">
        <f>Direct_Summary!G46</f>
        <v>990.82052030757541</v>
      </c>
      <c r="G53" s="27">
        <f>Direct_Summary!H46</f>
        <v>992.10027878622736</v>
      </c>
      <c r="H53" s="28">
        <f t="shared" si="27"/>
        <v>2112.8129138599152</v>
      </c>
      <c r="I53" s="37"/>
    </row>
    <row r="54" spans="2:9" x14ac:dyDescent="0.3">
      <c r="B54" s="25" t="s">
        <v>69</v>
      </c>
      <c r="C54" s="125">
        <f>SUM(C48:C53)</f>
        <v>0</v>
      </c>
      <c r="D54" s="125">
        <f t="shared" ref="D54" si="28">SUM(D48:D53)</f>
        <v>0</v>
      </c>
      <c r="E54" s="125">
        <f t="shared" ref="E54" si="29">SUM(E48:E53)</f>
        <v>19550.34641684909</v>
      </c>
      <c r="F54" s="125">
        <f t="shared" ref="F54" si="30">SUM(F48:F53)</f>
        <v>76842.415663184482</v>
      </c>
      <c r="G54" s="125">
        <f t="shared" ref="G54" si="31">SUM(G48:G53)</f>
        <v>43814.332628776283</v>
      </c>
      <c r="H54" s="36">
        <f>SUM(H48:H53)</f>
        <v>140207.09470880986</v>
      </c>
    </row>
    <row r="55" spans="2:9" x14ac:dyDescent="0.3">
      <c r="B55" t="s">
        <v>70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28">
        <f t="shared" si="27"/>
        <v>0</v>
      </c>
    </row>
    <row r="56" spans="2:9" ht="15" thickBot="1" x14ac:dyDescent="0.35">
      <c r="B56" s="25" t="s">
        <v>71</v>
      </c>
      <c r="C56" s="126">
        <f>C54-C55</f>
        <v>0</v>
      </c>
      <c r="D56" s="126">
        <f t="shared" ref="D56" si="32">D54-D55</f>
        <v>0</v>
      </c>
      <c r="E56" s="126">
        <f t="shared" ref="E56" si="33">E54-E55</f>
        <v>19550.34641684909</v>
      </c>
      <c r="F56" s="126">
        <f t="shared" ref="F56" si="34">F54-F55</f>
        <v>76842.415663184482</v>
      </c>
      <c r="G56" s="126">
        <f t="shared" ref="G56" si="35">G54-G55</f>
        <v>43814.332628776283</v>
      </c>
      <c r="H56" s="126">
        <f t="shared" ref="H56" si="36">H54-H55</f>
        <v>140207.09470880986</v>
      </c>
    </row>
    <row r="57" spans="2:9" x14ac:dyDescent="0.3">
      <c r="B57" s="209" t="s">
        <v>55</v>
      </c>
      <c r="C57" s="206">
        <f>C56-(Direct_Summary!D69+Overheads!C75)</f>
        <v>0</v>
      </c>
      <c r="D57" s="206">
        <f>D56-(Direct_Summary!E69+Overheads!D75)</f>
        <v>0</v>
      </c>
      <c r="E57" s="206">
        <f>E56-(Direct_Summary!F69+Overheads!E75)</f>
        <v>0</v>
      </c>
      <c r="F57" s="206">
        <f>F56-(Direct_Summary!G69+Overheads!F75)</f>
        <v>0</v>
      </c>
      <c r="G57" s="206">
        <f>G56-(Direct_Summary!H69+Overheads!G75)</f>
        <v>0</v>
      </c>
      <c r="H57" s="206">
        <f>H56-(Direct_Summary!I69+Overheads!H75)</f>
        <v>0</v>
      </c>
    </row>
    <row r="60" spans="2:9" ht="18" customHeight="1" x14ac:dyDescent="0.3">
      <c r="B60" s="128" t="s">
        <v>577</v>
      </c>
      <c r="C60" s="127"/>
      <c r="D60" s="127"/>
      <c r="E60" s="127"/>
      <c r="F60" s="127"/>
      <c r="G60" s="127"/>
      <c r="H60" s="127"/>
    </row>
    <row r="61" spans="2:9" x14ac:dyDescent="0.3">
      <c r="B61" s="52" t="s">
        <v>75</v>
      </c>
      <c r="C61" s="4">
        <v>2016</v>
      </c>
      <c r="D61" s="4">
        <v>2017</v>
      </c>
      <c r="E61" s="4">
        <v>2018</v>
      </c>
      <c r="F61" s="4">
        <v>2019</v>
      </c>
      <c r="G61" s="4">
        <v>2020</v>
      </c>
      <c r="H61" s="4" t="s">
        <v>6</v>
      </c>
    </row>
    <row r="62" spans="2:9" x14ac:dyDescent="0.3">
      <c r="B62" t="s">
        <v>42</v>
      </c>
      <c r="C62" s="150">
        <f>SUM(Direct_Summary!D53,Direct_Summary!D57,Direct_Summary!D61)</f>
        <v>0</v>
      </c>
      <c r="D62" s="150">
        <f>SUM(Direct_Summary!E53,Direct_Summary!E57,Direct_Summary!E61)</f>
        <v>0</v>
      </c>
      <c r="E62" s="150">
        <f>SUM(Direct_Summary!F53,Direct_Summary!F57,Direct_Summary!F61)</f>
        <v>14846.568191784012</v>
      </c>
      <c r="F62" s="150">
        <f>SUM(Direct_Summary!G53,Direct_Summary!G57,Direct_Summary!G61)</f>
        <v>55141.706736636828</v>
      </c>
      <c r="G62" s="150">
        <f>SUM(Direct_Summary!H53,Direct_Summary!H57,Direct_Summary!H61)</f>
        <v>20582.808914043857</v>
      </c>
      <c r="H62" s="28">
        <f t="shared" ref="H62:H69" si="37">SUM(C62:G62)</f>
        <v>90571.083842464694</v>
      </c>
    </row>
    <row r="63" spans="2:9" x14ac:dyDescent="0.3">
      <c r="B63" t="s">
        <v>43</v>
      </c>
      <c r="C63" s="150">
        <v>0</v>
      </c>
      <c r="D63" s="150">
        <v>0</v>
      </c>
      <c r="E63" s="150">
        <v>0</v>
      </c>
      <c r="F63" s="150">
        <v>0</v>
      </c>
      <c r="G63" s="150">
        <v>0</v>
      </c>
      <c r="H63" s="28">
        <f t="shared" si="37"/>
        <v>0</v>
      </c>
    </row>
    <row r="64" spans="2:9" x14ac:dyDescent="0.3">
      <c r="B64" t="s">
        <v>44</v>
      </c>
      <c r="C64" s="150">
        <f>SUM(Direct_Summary!D54,Direct_Summary!D58,Direct_Summary!D62)</f>
        <v>0</v>
      </c>
      <c r="D64" s="150">
        <f>SUM(Direct_Summary!E54,Direct_Summary!E58,Direct_Summary!E62)</f>
        <v>0</v>
      </c>
      <c r="E64" s="150">
        <f>SUM(Direct_Summary!F54,Direct_Summary!F58,Direct_Summary!F62)</f>
        <v>4185.418281325552</v>
      </c>
      <c r="F64" s="150">
        <f>SUM(Direct_Summary!G54,Direct_Summary!G58,Direct_Summary!G62)</f>
        <v>19150.993812909197</v>
      </c>
      <c r="G64" s="150">
        <f>SUM(Direct_Summary!H54,Direct_Summary!H58,Direct_Summary!H62)</f>
        <v>20535.348964967281</v>
      </c>
      <c r="H64" s="28">
        <f t="shared" si="37"/>
        <v>43871.761059202036</v>
      </c>
    </row>
    <row r="65" spans="2:8" x14ac:dyDescent="0.3">
      <c r="B65" t="s">
        <v>66</v>
      </c>
      <c r="C65" s="150">
        <f>Direct_Summary!D68</f>
        <v>0</v>
      </c>
      <c r="D65" s="150">
        <f>Direct_Summary!E68</f>
        <v>0</v>
      </c>
      <c r="E65" s="150">
        <f>Direct_Summary!F68</f>
        <v>0</v>
      </c>
      <c r="F65" s="150">
        <f>Direct_Summary!G68</f>
        <v>510.75778604651157</v>
      </c>
      <c r="G65" s="150">
        <f>Direct_Summary!H68</f>
        <v>1532.2733581395346</v>
      </c>
      <c r="H65" s="28">
        <f t="shared" si="37"/>
        <v>2043.0311441860463</v>
      </c>
    </row>
    <row r="66" spans="2:8" x14ac:dyDescent="0.3">
      <c r="B66" t="s">
        <v>67</v>
      </c>
      <c r="C66" s="27">
        <f>Overheads!C75</f>
        <v>0</v>
      </c>
      <c r="D66" s="27">
        <f>Overheads!D75</f>
        <v>0</v>
      </c>
      <c r="E66" s="27">
        <f>Overheads!E75</f>
        <v>518.35994373952258</v>
      </c>
      <c r="F66" s="27">
        <f>Overheads!F75</f>
        <v>2038.9573275919404</v>
      </c>
      <c r="G66" s="27">
        <f>Overheads!G75</f>
        <v>1163.9013916256029</v>
      </c>
      <c r="H66" s="28">
        <f t="shared" si="37"/>
        <v>3721.218662957066</v>
      </c>
    </row>
    <row r="67" spans="2:8" x14ac:dyDescent="0.3">
      <c r="B67" t="s">
        <v>68</v>
      </c>
      <c r="C67" s="27"/>
      <c r="D67" s="27"/>
      <c r="E67" s="27"/>
      <c r="F67" s="27"/>
      <c r="G67" s="27"/>
      <c r="H67" s="28">
        <f t="shared" si="37"/>
        <v>0</v>
      </c>
    </row>
    <row r="68" spans="2:8" x14ac:dyDescent="0.3">
      <c r="B68" s="25" t="s">
        <v>69</v>
      </c>
      <c r="C68" s="125">
        <f>SUM(C62:C67)</f>
        <v>0</v>
      </c>
      <c r="D68" s="125">
        <f t="shared" ref="D68" si="38">SUM(D62:D67)</f>
        <v>0</v>
      </c>
      <c r="E68" s="125">
        <f t="shared" ref="E68" si="39">SUM(E62:E67)</f>
        <v>19550.34641684909</v>
      </c>
      <c r="F68" s="125">
        <f t="shared" ref="F68" si="40">SUM(F62:F67)</f>
        <v>76842.415663184467</v>
      </c>
      <c r="G68" s="125">
        <f t="shared" ref="G68" si="41">SUM(G62:G67)</f>
        <v>43814.332628776276</v>
      </c>
      <c r="H68" s="36">
        <f>SUM(H62:H67)</f>
        <v>140207.09470880986</v>
      </c>
    </row>
    <row r="69" spans="2:8" x14ac:dyDescent="0.3">
      <c r="B69" t="s">
        <v>70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28">
        <f t="shared" si="37"/>
        <v>0</v>
      </c>
    </row>
    <row r="70" spans="2:8" ht="15" thickBot="1" x14ac:dyDescent="0.35">
      <c r="B70" s="25" t="s">
        <v>71</v>
      </c>
      <c r="C70" s="126">
        <f>C68-C69</f>
        <v>0</v>
      </c>
      <c r="D70" s="126">
        <f t="shared" ref="D70" si="42">D68-D69</f>
        <v>0</v>
      </c>
      <c r="E70" s="126">
        <f t="shared" ref="E70" si="43">E68-E69</f>
        <v>19550.34641684909</v>
      </c>
      <c r="F70" s="126">
        <f t="shared" ref="F70" si="44">F68-F69</f>
        <v>76842.415663184467</v>
      </c>
      <c r="G70" s="126">
        <f t="shared" ref="G70" si="45">G68-G69</f>
        <v>43814.332628776276</v>
      </c>
      <c r="H70" s="126">
        <f t="shared" ref="H70" si="46">H68-H69</f>
        <v>140207.09470880986</v>
      </c>
    </row>
    <row r="71" spans="2:8" x14ac:dyDescent="0.3">
      <c r="B71" s="209" t="s">
        <v>55</v>
      </c>
      <c r="C71" s="206">
        <f>C70-C56</f>
        <v>0</v>
      </c>
      <c r="D71" s="206">
        <f t="shared" ref="D71:H71" si="47">D70-D56</f>
        <v>0</v>
      </c>
      <c r="E71" s="206">
        <f t="shared" si="47"/>
        <v>0</v>
      </c>
      <c r="F71" s="206">
        <f t="shared" si="47"/>
        <v>0</v>
      </c>
      <c r="G71" s="206">
        <f t="shared" si="47"/>
        <v>0</v>
      </c>
      <c r="H71" s="206">
        <f t="shared" si="47"/>
        <v>0</v>
      </c>
    </row>
    <row r="72" spans="2:8" x14ac:dyDescent="0.3">
      <c r="B72" s="25" t="s">
        <v>107</v>
      </c>
      <c r="C72" s="28">
        <f>SUM(C62:C65)</f>
        <v>0</v>
      </c>
      <c r="D72" s="28">
        <f t="shared" ref="D72:H72" si="48">SUM(D62:D65)</f>
        <v>0</v>
      </c>
      <c r="E72" s="28">
        <f t="shared" si="48"/>
        <v>19031.986473109566</v>
      </c>
      <c r="F72" s="28">
        <f t="shared" si="48"/>
        <v>74803.458335592528</v>
      </c>
      <c r="G72" s="28">
        <f t="shared" si="48"/>
        <v>42650.431237150675</v>
      </c>
      <c r="H72" s="28">
        <f t="shared" si="48"/>
        <v>136485.87604585278</v>
      </c>
    </row>
    <row r="73" spans="2:8" x14ac:dyDescent="0.3">
      <c r="C73" s="37"/>
      <c r="D73" s="37"/>
      <c r="E73" s="37"/>
      <c r="F73" s="37"/>
      <c r="G73" s="37"/>
      <c r="H73" s="37"/>
    </row>
    <row r="74" spans="2:8" ht="19.95" customHeight="1" x14ac:dyDescent="0.3">
      <c r="B74" s="128" t="s">
        <v>578</v>
      </c>
      <c r="C74" s="127"/>
      <c r="D74" s="127"/>
      <c r="E74" s="127"/>
      <c r="F74" s="127"/>
      <c r="G74" s="127"/>
      <c r="H74" s="127"/>
    </row>
    <row r="75" spans="2:8" x14ac:dyDescent="0.3">
      <c r="B75" s="52" t="s">
        <v>75</v>
      </c>
      <c r="C75" s="4">
        <v>2016</v>
      </c>
      <c r="D75" s="4">
        <v>2017</v>
      </c>
      <c r="E75" s="4">
        <v>2018</v>
      </c>
      <c r="F75" s="4">
        <v>2019</v>
      </c>
      <c r="G75" s="4">
        <v>2020</v>
      </c>
      <c r="H75" s="4" t="s">
        <v>6</v>
      </c>
    </row>
    <row r="76" spans="2:8" x14ac:dyDescent="0.3">
      <c r="B76" t="s">
        <v>42</v>
      </c>
      <c r="C76" s="27">
        <f>C62+C21+C35</f>
        <v>68327.664940592556</v>
      </c>
      <c r="D76" s="27">
        <f t="shared" ref="D76:G76" si="49">D62+D21+D35</f>
        <v>116258.35073240451</v>
      </c>
      <c r="E76" s="27">
        <f t="shared" si="49"/>
        <v>98975.066872853786</v>
      </c>
      <c r="F76" s="27">
        <f t="shared" si="49"/>
        <v>109532.59375361356</v>
      </c>
      <c r="G76" s="27">
        <f t="shared" si="49"/>
        <v>71646.463094095874</v>
      </c>
      <c r="H76" s="28">
        <f t="shared" ref="H76:H81" si="50">SUM(C76:G76)</f>
        <v>464740.1393935603</v>
      </c>
    </row>
    <row r="77" spans="2:8" x14ac:dyDescent="0.3">
      <c r="B77" t="s">
        <v>43</v>
      </c>
      <c r="C77" s="27">
        <f t="shared" ref="C77:G77" si="51">C63+C22+C36</f>
        <v>80517.525314748113</v>
      </c>
      <c r="D77" s="27">
        <f t="shared" si="51"/>
        <v>79624.398660671781</v>
      </c>
      <c r="E77" s="27">
        <f t="shared" si="51"/>
        <v>82461.554266143488</v>
      </c>
      <c r="F77" s="27">
        <f t="shared" si="51"/>
        <v>78719.295134663669</v>
      </c>
      <c r="G77" s="27">
        <f t="shared" si="51"/>
        <v>78999.190322479466</v>
      </c>
      <c r="H77" s="28">
        <f t="shared" si="50"/>
        <v>400321.96369870647</v>
      </c>
    </row>
    <row r="78" spans="2:8" x14ac:dyDescent="0.3">
      <c r="B78" t="s">
        <v>44</v>
      </c>
      <c r="C78" s="27">
        <f t="shared" ref="C78:G78" si="52">C64+C23+C37</f>
        <v>135659.98896685391</v>
      </c>
      <c r="D78" s="27">
        <f t="shared" si="52"/>
        <v>150027.01615046899</v>
      </c>
      <c r="E78" s="27">
        <f t="shared" si="52"/>
        <v>158482.57669503888</v>
      </c>
      <c r="F78" s="27">
        <f t="shared" si="52"/>
        <v>162464.44460478058</v>
      </c>
      <c r="G78" s="27">
        <f t="shared" si="52"/>
        <v>157232.66493608651</v>
      </c>
      <c r="H78" s="28">
        <f t="shared" si="50"/>
        <v>763866.69135322887</v>
      </c>
    </row>
    <row r="79" spans="2:8" x14ac:dyDescent="0.3">
      <c r="B79" t="s">
        <v>66</v>
      </c>
      <c r="C79" s="27">
        <f t="shared" ref="C79:G79" si="53">C65+C24+C38</f>
        <v>44504.505991005113</v>
      </c>
      <c r="D79" s="27">
        <f t="shared" si="53"/>
        <v>58680.298594961852</v>
      </c>
      <c r="E79" s="27">
        <f t="shared" si="53"/>
        <v>40739.428949970388</v>
      </c>
      <c r="F79" s="27">
        <f t="shared" si="53"/>
        <v>47182.638926261134</v>
      </c>
      <c r="G79" s="27">
        <f t="shared" si="53"/>
        <v>40847.106059231795</v>
      </c>
      <c r="H79" s="28">
        <f t="shared" si="50"/>
        <v>231953.97852143028</v>
      </c>
    </row>
    <row r="80" spans="2:8" x14ac:dyDescent="0.3">
      <c r="B80" t="s">
        <v>67</v>
      </c>
      <c r="C80" s="27">
        <f t="shared" ref="C80:G80" si="54">C66+C25+C39</f>
        <v>33443.380250633891</v>
      </c>
      <c r="D80" s="27">
        <f t="shared" si="54"/>
        <v>36212.393250484463</v>
      </c>
      <c r="E80" s="27">
        <f t="shared" si="54"/>
        <v>35467.049667291161</v>
      </c>
      <c r="F80" s="27">
        <f t="shared" si="54"/>
        <v>35870.379962845094</v>
      </c>
      <c r="G80" s="27">
        <f t="shared" si="54"/>
        <v>34946.106386563384</v>
      </c>
      <c r="H80" s="28">
        <f t="shared" si="50"/>
        <v>175939.30951781801</v>
      </c>
    </row>
    <row r="81" spans="2:8" x14ac:dyDescent="0.3">
      <c r="B81" t="s">
        <v>68</v>
      </c>
      <c r="C81" s="27">
        <f t="shared" ref="C81:G81" si="55">C67+C26+C40</f>
        <v>0</v>
      </c>
      <c r="D81" s="27">
        <f t="shared" si="55"/>
        <v>0</v>
      </c>
      <c r="E81" s="27">
        <f t="shared" si="55"/>
        <v>0</v>
      </c>
      <c r="F81" s="27">
        <f t="shared" si="55"/>
        <v>0</v>
      </c>
      <c r="G81" s="27">
        <f t="shared" si="55"/>
        <v>0</v>
      </c>
      <c r="H81" s="28">
        <f t="shared" si="50"/>
        <v>0</v>
      </c>
    </row>
    <row r="82" spans="2:8" x14ac:dyDescent="0.3">
      <c r="B82" s="25" t="s">
        <v>69</v>
      </c>
      <c r="C82" s="125">
        <f>SUM(C76:C81)</f>
        <v>362453.06546383357</v>
      </c>
      <c r="D82" s="125">
        <f t="shared" ref="D82" si="56">SUM(D76:D81)</f>
        <v>440802.45738899161</v>
      </c>
      <c r="E82" s="125">
        <f t="shared" ref="E82" si="57">SUM(E76:E81)</f>
        <v>416125.67645129771</v>
      </c>
      <c r="F82" s="125">
        <f t="shared" ref="F82" si="58">SUM(F76:F81)</f>
        <v>433769.3523821641</v>
      </c>
      <c r="G82" s="125">
        <f t="shared" ref="G82" si="59">SUM(G76:G81)</f>
        <v>383671.53079845704</v>
      </c>
      <c r="H82" s="36">
        <f>SUM(H76:H81)</f>
        <v>2036822.082484744</v>
      </c>
    </row>
    <row r="83" spans="2:8" x14ac:dyDescent="0.3">
      <c r="B83" t="s">
        <v>70</v>
      </c>
      <c r="C83" s="27">
        <f t="shared" ref="C83:G83" si="60">C69+C28+C42</f>
        <v>39336.106443631594</v>
      </c>
      <c r="D83" s="27">
        <f t="shared" si="60"/>
        <v>38956.561621772482</v>
      </c>
      <c r="E83" s="27">
        <f t="shared" si="60"/>
        <v>40520.062107075064</v>
      </c>
      <c r="F83" s="27">
        <f t="shared" si="60"/>
        <v>38661.075317990333</v>
      </c>
      <c r="G83" s="27">
        <f t="shared" si="60"/>
        <v>38927.886809860618</v>
      </c>
      <c r="H83" s="28">
        <f t="shared" ref="H83" si="61">SUM(C83:G83)</f>
        <v>196401.69230033009</v>
      </c>
    </row>
    <row r="84" spans="2:8" ht="15" thickBot="1" x14ac:dyDescent="0.35">
      <c r="B84" s="25" t="s">
        <v>71</v>
      </c>
      <c r="C84" s="126">
        <f>C82-C83</f>
        <v>323116.95902020199</v>
      </c>
      <c r="D84" s="126">
        <f t="shared" ref="D84" si="62">D82-D83</f>
        <v>401845.89576721913</v>
      </c>
      <c r="E84" s="126">
        <f t="shared" ref="E84" si="63">E82-E83</f>
        <v>375605.61434422265</v>
      </c>
      <c r="F84" s="126">
        <f t="shared" ref="F84" si="64">F82-F83</f>
        <v>395108.27706417377</v>
      </c>
      <c r="G84" s="126">
        <f t="shared" ref="G84" si="65">G82-G83</f>
        <v>344743.64398859639</v>
      </c>
      <c r="H84" s="126">
        <f t="shared" ref="H84" si="66">H82-H83</f>
        <v>1840420.3901844139</v>
      </c>
    </row>
    <row r="85" spans="2:8" x14ac:dyDescent="0.3">
      <c r="B85" s="209" t="s">
        <v>55</v>
      </c>
      <c r="C85" s="193">
        <f>C84-C70-C29-C43</f>
        <v>0</v>
      </c>
      <c r="D85" s="193">
        <f t="shared" ref="D85:H85" si="67">D84-D70-D29-D43</f>
        <v>0</v>
      </c>
      <c r="E85" s="193">
        <f t="shared" si="67"/>
        <v>0</v>
      </c>
      <c r="F85" s="193">
        <f t="shared" si="67"/>
        <v>1.41824330057716E-11</v>
      </c>
      <c r="G85" s="193">
        <f t="shared" si="67"/>
        <v>-5.8207660913467407E-11</v>
      </c>
      <c r="H85" s="193">
        <f t="shared" si="67"/>
        <v>2.1827872842550278E-10</v>
      </c>
    </row>
    <row r="87" spans="2:8" x14ac:dyDescent="0.3">
      <c r="B87" s="454"/>
    </row>
  </sheetData>
  <pageMargins left="0.7" right="0.7" top="0.75" bottom="0.75" header="0.3" footer="0.3"/>
  <pageSetup paperSize="9" orientation="portrait" verticalDpi="0" r:id="rId1"/>
  <ignoredErrors>
    <ignoredError sqref="C82:H82" formula="1"/>
    <ignoredError sqref="C41:G41 K41:O41 S41:X41" formulaRange="1"/>
    <ignoredError sqref="H41 P41" formula="1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V36"/>
  <sheetViews>
    <sheetView zoomScale="85" zoomScaleNormal="85" workbookViewId="0">
      <selection activeCell="B22" sqref="B22"/>
    </sheetView>
  </sheetViews>
  <sheetFormatPr defaultRowHeight="14.4" x14ac:dyDescent="0.3"/>
  <cols>
    <col min="1" max="1" width="4.33203125" customWidth="1"/>
    <col min="2" max="2" width="20.6640625" customWidth="1"/>
    <col min="3" max="3" width="11.88671875" customWidth="1"/>
    <col min="4" max="4" width="12" customWidth="1"/>
    <col min="5" max="6" width="10.33203125" customWidth="1"/>
    <col min="7" max="7" width="11.6640625" customWidth="1"/>
    <col min="8" max="8" width="9.88671875" customWidth="1"/>
    <col min="9" max="9" width="10.33203125" bestFit="1" customWidth="1"/>
    <col min="10" max="10" width="10.44140625" customWidth="1"/>
    <col min="12" max="12" width="10.33203125" customWidth="1"/>
  </cols>
  <sheetData>
    <row r="1" spans="2:22" ht="15.6" x14ac:dyDescent="0.3">
      <c r="B1" s="133" t="s">
        <v>74</v>
      </c>
    </row>
    <row r="2" spans="2:22" ht="15.6" x14ac:dyDescent="0.3">
      <c r="B2" s="133"/>
    </row>
    <row r="3" spans="2:22" x14ac:dyDescent="0.3">
      <c r="B3" s="25" t="s">
        <v>619</v>
      </c>
    </row>
    <row r="5" spans="2:22" ht="43.2" x14ac:dyDescent="0.3">
      <c r="C5" s="13" t="s">
        <v>45</v>
      </c>
      <c r="D5" s="13" t="s">
        <v>17</v>
      </c>
      <c r="E5" s="13" t="s">
        <v>8</v>
      </c>
      <c r="F5" s="13" t="s">
        <v>491</v>
      </c>
      <c r="G5" s="13" t="s">
        <v>46</v>
      </c>
      <c r="H5" s="13" t="s">
        <v>47</v>
      </c>
      <c r="I5" s="13" t="s">
        <v>60</v>
      </c>
      <c r="J5" s="13" t="s">
        <v>6</v>
      </c>
      <c r="K5" s="13" t="s">
        <v>55</v>
      </c>
      <c r="L5" s="13" t="s">
        <v>125</v>
      </c>
    </row>
    <row r="6" spans="2:22" ht="15" x14ac:dyDescent="0.25">
      <c r="B6" t="str">
        <f>STN_1</f>
        <v>RWN</v>
      </c>
      <c r="C6" s="27">
        <f>SUMIF(Direct_Capex_Composition!$B$7:$B$35,$B6,Direct_Capex_Composition!$BG$7:$BG$35)</f>
        <v>4254.9645080882838</v>
      </c>
      <c r="D6" s="27">
        <f>SUM(Direct_Capex_Composition!BG39:BG40)</f>
        <v>733.90606817396861</v>
      </c>
      <c r="E6" s="27">
        <f>Direct_Capex_Composition!BG59</f>
        <v>315.99543575068634</v>
      </c>
      <c r="F6" s="27">
        <f>Direct_Capex_Composition!BG70</f>
        <v>735.14475958116964</v>
      </c>
      <c r="G6" s="27">
        <f>SUM(Direct_Capex_Composition!BG81+Direct_Capex_Composition!BG92+Direct_Capex_Composition!BG103)</f>
        <v>299.40996032600776</v>
      </c>
      <c r="H6" s="27">
        <f>Direct_Capex_Composition!BG114</f>
        <v>0</v>
      </c>
      <c r="I6" s="27"/>
      <c r="J6" s="27">
        <f t="shared" ref="J6:J15" si="0">SUM(C6:I6)</f>
        <v>6339.4207319201159</v>
      </c>
      <c r="K6" s="193">
        <f>J6-Direct_Capex_Composition!BG140</f>
        <v>0</v>
      </c>
      <c r="L6" s="28">
        <f>J6-H6-I6</f>
        <v>6339.4207319201159</v>
      </c>
      <c r="O6" s="218"/>
      <c r="P6" s="218"/>
      <c r="Q6" s="218"/>
      <c r="R6" s="218"/>
      <c r="S6" s="218"/>
      <c r="T6" s="218"/>
      <c r="U6" s="218"/>
      <c r="V6" s="218"/>
    </row>
    <row r="7" spans="2:22" ht="15" x14ac:dyDescent="0.25">
      <c r="B7" t="str">
        <f>STN_2</f>
        <v>ELM</v>
      </c>
      <c r="C7" s="27">
        <f>SUMIF(Direct_Capex_Composition!$B$7:$B$35,$B7,Direct_Capex_Composition!$BG$7:$BG$35)</f>
        <v>7980.7957619209556</v>
      </c>
      <c r="D7" s="27">
        <f>SUM(Direct_Capex_Composition!BG41:BG42)</f>
        <v>1853.1213734919634</v>
      </c>
      <c r="E7" s="27">
        <f>Direct_Capex_Composition!BG60</f>
        <v>487.34507344648114</v>
      </c>
      <c r="F7" s="27">
        <f>Direct_Capex_Composition!BG71</f>
        <v>1602.6175210960564</v>
      </c>
      <c r="G7" s="27">
        <f>SUM(Direct_Capex_Composition!BG82+Direct_Capex_Composition!BG93+Direct_Capex_Composition!BG104)</f>
        <v>494.54238196214772</v>
      </c>
      <c r="H7" s="27">
        <f>Direct_Capex_Composition!BG115</f>
        <v>970.72217937558491</v>
      </c>
      <c r="I7" s="27"/>
      <c r="J7" s="27">
        <f t="shared" si="0"/>
        <v>13389.144291293191</v>
      </c>
      <c r="K7" s="193">
        <f>J7-Direct_Capex_Composition!BG141</f>
        <v>0</v>
      </c>
      <c r="L7" s="28">
        <f t="shared" ref="L7:L15" si="1">J7-H7-I7</f>
        <v>12418.422111917605</v>
      </c>
      <c r="O7" s="218"/>
      <c r="P7" s="218"/>
      <c r="Q7" s="218"/>
      <c r="R7" s="218"/>
      <c r="S7" s="218"/>
      <c r="T7" s="218"/>
      <c r="U7" s="218"/>
      <c r="V7" s="218"/>
    </row>
    <row r="8" spans="2:22" ht="15" x14ac:dyDescent="0.25">
      <c r="B8" t="str">
        <f>STN_3</f>
        <v>FGY</v>
      </c>
      <c r="C8" s="27">
        <f>SUMIF(Direct_Capex_Composition!$B$7:$B$35,$B8,Direct_Capex_Composition!$BG$7:$BG$35)</f>
        <v>8555.0479289027171</v>
      </c>
      <c r="D8" s="27">
        <f>SUM(Direct_Capex_Composition!BG43:BG44)</f>
        <v>1181.3970111832552</v>
      </c>
      <c r="E8" s="27">
        <f>Direct_Capex_Composition!BG61</f>
        <v>287.06627613970807</v>
      </c>
      <c r="F8" s="27">
        <f>Direct_Capex_Composition!BG72</f>
        <v>2421.5665834554902</v>
      </c>
      <c r="G8" s="27">
        <f>SUM(Direct_Capex_Composition!BG83+Direct_Capex_Composition!BG94+Direct_Capex_Composition!BG105)</f>
        <v>118.35612545399078</v>
      </c>
      <c r="H8" s="27">
        <f>Direct_Capex_Composition!BG116</f>
        <v>970.72217937558491</v>
      </c>
      <c r="I8" s="27"/>
      <c r="J8" s="27">
        <f t="shared" si="0"/>
        <v>13534.156104510746</v>
      </c>
      <c r="K8" s="193">
        <f>J8-Direct_Capex_Composition!BG142</f>
        <v>0</v>
      </c>
      <c r="L8" s="28">
        <f t="shared" si="1"/>
        <v>12563.433925135161</v>
      </c>
      <c r="O8" s="218"/>
      <c r="P8" s="218"/>
      <c r="Q8" s="218"/>
      <c r="R8" s="218"/>
      <c r="S8" s="218"/>
      <c r="T8" s="218"/>
      <c r="U8" s="218"/>
      <c r="V8" s="218"/>
    </row>
    <row r="9" spans="2:22" ht="15" x14ac:dyDescent="0.25">
      <c r="B9" t="str">
        <f>STN_4</f>
        <v>WOTS22</v>
      </c>
      <c r="C9" s="27">
        <f>SUMIF(Direct_Capex_Composition!$B$7:$B$35,$B9,Direct_Capex_Composition!$BG$7:$BG$35)</f>
        <v>6947.4801224466446</v>
      </c>
      <c r="D9" s="27">
        <f>SUM(Direct_Capex_Composition!BG45:BG46)</f>
        <v>3140.6026991074459</v>
      </c>
      <c r="E9" s="27">
        <f>Direct_Capex_Composition!BG62</f>
        <v>2040.6184125590098</v>
      </c>
      <c r="F9" s="27">
        <f>Direct_Capex_Composition!BG73</f>
        <v>1922.7999183788243</v>
      </c>
      <c r="G9" s="27">
        <f>SUM(Direct_Capex_Composition!BG84+Direct_Capex_Composition!BG95+Direct_Capex_Composition!BG106)</f>
        <v>1019.3697249063862</v>
      </c>
      <c r="H9" s="27">
        <f>Direct_Capex_Composition!BG117</f>
        <v>3675.9082273295494</v>
      </c>
      <c r="I9" s="27"/>
      <c r="J9" s="27">
        <f t="shared" si="0"/>
        <v>18746.779104727859</v>
      </c>
      <c r="K9" s="193">
        <f>J9-Direct_Capex_Composition!BG143</f>
        <v>0</v>
      </c>
      <c r="L9" s="28">
        <f t="shared" si="1"/>
        <v>15070.870877398309</v>
      </c>
      <c r="O9" s="218"/>
      <c r="P9" s="218"/>
      <c r="Q9" s="218"/>
      <c r="R9" s="218"/>
      <c r="S9" s="218"/>
      <c r="T9" s="218"/>
      <c r="U9" s="218"/>
      <c r="V9" s="218"/>
    </row>
    <row r="10" spans="2:22" ht="15" x14ac:dyDescent="0.25">
      <c r="B10" t="str">
        <f>STN_5</f>
        <v>MOE</v>
      </c>
      <c r="C10" s="27">
        <f>SUMIF(Direct_Capex_Composition!$B$7:$B$35,$B10,Direct_Capex_Composition!$BG$7:$BG$35)</f>
        <v>8243.3261144431181</v>
      </c>
      <c r="D10" s="27">
        <f>SUM(Direct_Capex_Composition!BG47:BG48)</f>
        <v>2466.8015990913818</v>
      </c>
      <c r="E10" s="27">
        <f>Direct_Capex_Composition!BG63</f>
        <v>1758.0027763594524</v>
      </c>
      <c r="F10" s="27">
        <f>Direct_Capex_Composition!BG74</f>
        <v>960.85325339951578</v>
      </c>
      <c r="G10" s="27">
        <f>SUM(Direct_Capex_Composition!BG85+Direct_Capex_Composition!BG96+Direct_Capex_Composition!BG107)</f>
        <v>1163.0993054142509</v>
      </c>
      <c r="H10" s="27">
        <f>Direct_Capex_Composition!BG118</f>
        <v>2540.2459815788434</v>
      </c>
      <c r="I10" s="27"/>
      <c r="J10" s="27">
        <f t="shared" si="0"/>
        <v>17132.329030286564</v>
      </c>
      <c r="K10" s="193">
        <f>J10-Direct_Capex_Composition!BG144</f>
        <v>0</v>
      </c>
      <c r="L10" s="28">
        <f t="shared" si="1"/>
        <v>14592.083048707722</v>
      </c>
      <c r="O10" s="218"/>
      <c r="P10" s="218"/>
      <c r="Q10" s="218"/>
      <c r="R10" s="218"/>
      <c r="S10" s="218"/>
      <c r="T10" s="218"/>
      <c r="U10" s="218"/>
      <c r="V10" s="218"/>
    </row>
    <row r="11" spans="2:22" ht="15" x14ac:dyDescent="0.25">
      <c r="B11" t="str">
        <f>STN_6</f>
        <v>BGE</v>
      </c>
      <c r="C11" s="27">
        <f>SUMIF(Direct_Capex_Composition!$B$7:$B$35,$B11,Direct_Capex_Composition!$BG$7:$BG$35)</f>
        <v>7659.7339884029716</v>
      </c>
      <c r="D11" s="27">
        <f>SUM(Direct_Capex_Composition!BG49:BG50)</f>
        <v>2616.5550144792642</v>
      </c>
      <c r="E11" s="27">
        <f>Direct_Capex_Composition!BG64</f>
        <v>583.03383215971712</v>
      </c>
      <c r="F11" s="27">
        <f>Direct_Capex_Composition!BG75</f>
        <v>1530.2673183644711</v>
      </c>
      <c r="G11" s="27">
        <f>SUM(Direct_Capex_Composition!BG86+Direct_Capex_Composition!BG97+Direct_Capex_Composition!BG108)</f>
        <v>283.20358610803999</v>
      </c>
      <c r="H11" s="27">
        <f>Direct_Capex_Composition!BG119</f>
        <v>2524.9161077345252</v>
      </c>
      <c r="I11" s="27"/>
      <c r="J11" s="27">
        <f t="shared" si="0"/>
        <v>15197.709847248991</v>
      </c>
      <c r="K11" s="193">
        <f>J11-Direct_Capex_Composition!BG145</f>
        <v>0</v>
      </c>
      <c r="L11" s="28">
        <f t="shared" si="1"/>
        <v>12672.793739514465</v>
      </c>
      <c r="O11" s="218"/>
      <c r="P11" s="218"/>
      <c r="Q11" s="218"/>
      <c r="R11" s="218"/>
      <c r="S11" s="218"/>
      <c r="T11" s="218"/>
      <c r="U11" s="218"/>
      <c r="V11" s="218"/>
    </row>
    <row r="12" spans="2:22" ht="15" x14ac:dyDescent="0.25">
      <c r="B12" t="str">
        <f>STN_7</f>
        <v>LDL</v>
      </c>
      <c r="C12" s="27">
        <f>SUMIF(Direct_Capex_Composition!$B$7:$B$35,$B12,Direct_Capex_Composition!$BG$7:$BG$35)</f>
        <v>7485.4749214872882</v>
      </c>
      <c r="D12" s="27">
        <f>SUM(Direct_Capex_Composition!BG51:BG52)</f>
        <v>1302.2946151722992</v>
      </c>
      <c r="E12" s="27">
        <f>Direct_Capex_Composition!BG65</f>
        <v>498.47167329685738</v>
      </c>
      <c r="F12" s="27">
        <f>Direct_Capex_Composition!BG76</f>
        <v>1368.0235145042668</v>
      </c>
      <c r="G12" s="27">
        <f>SUM(Direct_Capex_Composition!BG87+Direct_Capex_Composition!BG98+Direct_Capex_Composition!BG109)</f>
        <v>464.43870182830608</v>
      </c>
      <c r="H12" s="27">
        <f>Direct_Capex_Composition!BG120</f>
        <v>3916.7658873631203</v>
      </c>
      <c r="I12" s="27"/>
      <c r="J12" s="27">
        <f t="shared" si="0"/>
        <v>15035.469313652138</v>
      </c>
      <c r="K12" s="193">
        <f>J12-Direct_Capex_Composition!BG146</f>
        <v>0</v>
      </c>
      <c r="L12" s="28">
        <f t="shared" si="1"/>
        <v>11118.703426289017</v>
      </c>
      <c r="O12" s="218"/>
      <c r="P12" s="218"/>
      <c r="Q12" s="218"/>
      <c r="R12" s="218"/>
      <c r="S12" s="218"/>
      <c r="T12" s="218"/>
      <c r="U12" s="218"/>
      <c r="V12" s="218"/>
    </row>
    <row r="13" spans="2:22" ht="15" x14ac:dyDescent="0.25">
      <c r="B13" t="str">
        <f>STN_8</f>
        <v>BDL</v>
      </c>
      <c r="C13" s="27">
        <f>SUMIF(Direct_Capex_Composition!$B$7:$B$35,$B13,Direct_Capex_Composition!$BG$7:$BG$35)</f>
        <v>6957.0699461123859</v>
      </c>
      <c r="D13" s="27">
        <f>SUM(Direct_Capex_Composition!BG53:BG54)</f>
        <v>2985.8376916263201</v>
      </c>
      <c r="E13" s="27">
        <f>Direct_Capex_Composition!BG66</f>
        <v>1811.4104556412585</v>
      </c>
      <c r="F13" s="27">
        <f>Direct_Capex_Composition!BG77</f>
        <v>1459.5726484561164</v>
      </c>
      <c r="G13" s="27">
        <f>SUM(Direct_Capex_Composition!BG88+Direct_Capex_Composition!BG99+Direct_Capex_Composition!BG110)</f>
        <v>1388.5166880324819</v>
      </c>
      <c r="H13" s="27">
        <f>Direct_Capex_Composition!BG121</f>
        <v>0</v>
      </c>
      <c r="I13" s="27"/>
      <c r="J13" s="27">
        <f t="shared" si="0"/>
        <v>14602.407429868563</v>
      </c>
      <c r="K13" s="193">
        <f>J13-Direct_Capex_Composition!BG147</f>
        <v>0</v>
      </c>
      <c r="L13" s="28">
        <f t="shared" si="1"/>
        <v>14602.407429868563</v>
      </c>
      <c r="O13" s="218"/>
      <c r="P13" s="218"/>
      <c r="Q13" s="218"/>
      <c r="R13" s="218"/>
      <c r="S13" s="218"/>
      <c r="T13" s="218"/>
      <c r="U13" s="218"/>
      <c r="V13" s="218"/>
    </row>
    <row r="14" spans="2:22" ht="15" x14ac:dyDescent="0.25">
      <c r="B14" t="str">
        <f>STN_9</f>
        <v>[spare]</v>
      </c>
      <c r="C14" s="27">
        <f>SUMIF(Direct_Capex_Composition!$B$7:$B$35,$B14,Direct_Capex_Composition!$BG$7:$BG$35)</f>
        <v>0</v>
      </c>
      <c r="D14" s="27">
        <f>SUM(Direct_Capex_Composition!BG55:BG56)</f>
        <v>0</v>
      </c>
      <c r="E14" s="27">
        <f>Direct_Capex_Composition!BG67</f>
        <v>0</v>
      </c>
      <c r="F14" s="27">
        <f>Direct_Capex_Composition!BG78</f>
        <v>0</v>
      </c>
      <c r="G14" s="27">
        <f>SUM(Direct_Capex_Composition!BG89+Direct_Capex_Composition!BG100+Direct_Capex_Composition!BG111)</f>
        <v>0</v>
      </c>
      <c r="H14" s="27">
        <f>Direct_Capex_Composition!BG122</f>
        <v>0</v>
      </c>
      <c r="I14" s="27"/>
      <c r="J14" s="27">
        <f t="shared" si="0"/>
        <v>0</v>
      </c>
      <c r="K14" s="193">
        <f>J14-Direct_Capex_Composition!BG148</f>
        <v>0</v>
      </c>
      <c r="L14" s="28">
        <f t="shared" si="1"/>
        <v>0</v>
      </c>
      <c r="O14" s="201"/>
      <c r="P14" s="201"/>
      <c r="Q14" s="201"/>
      <c r="R14" s="201"/>
      <c r="S14" s="201"/>
      <c r="T14" s="201"/>
      <c r="U14" s="201"/>
      <c r="V14" s="201"/>
    </row>
    <row r="15" spans="2:22" ht="15" x14ac:dyDescent="0.25">
      <c r="B15" t="s">
        <v>141</v>
      </c>
      <c r="C15" s="27"/>
      <c r="D15" s="27"/>
      <c r="E15" s="27"/>
      <c r="F15" s="27"/>
      <c r="G15" s="27"/>
      <c r="H15" s="27"/>
      <c r="I15" s="27">
        <f>SUM(Direct_Capex_Composition!BG125:BG137)</f>
        <v>25907.684336535891</v>
      </c>
      <c r="J15" s="27">
        <f t="shared" si="0"/>
        <v>25907.684336535891</v>
      </c>
      <c r="K15" s="193">
        <f>J15-Direct_Capex_Composition!BG149</f>
        <v>0</v>
      </c>
      <c r="L15" s="28">
        <f t="shared" si="1"/>
        <v>0</v>
      </c>
      <c r="O15" s="218"/>
      <c r="P15" s="218"/>
      <c r="Q15" s="218"/>
      <c r="R15" s="218"/>
      <c r="S15" s="218"/>
      <c r="T15" s="218"/>
      <c r="U15" s="218"/>
      <c r="V15" s="218"/>
    </row>
    <row r="16" spans="2:22" ht="15" x14ac:dyDescent="0.25">
      <c r="B16" t="s">
        <v>6</v>
      </c>
      <c r="C16" s="36">
        <f t="shared" ref="C16:H16" si="2">SUM(C6:C15)</f>
        <v>58083.893291804365</v>
      </c>
      <c r="D16" s="36">
        <f t="shared" si="2"/>
        <v>16280.5160723259</v>
      </c>
      <c r="E16" s="36">
        <f t="shared" si="2"/>
        <v>7781.9439353531707</v>
      </c>
      <c r="F16" s="36">
        <f t="shared" si="2"/>
        <v>12000.84551723591</v>
      </c>
      <c r="G16" s="36">
        <f t="shared" si="2"/>
        <v>5230.9364740316105</v>
      </c>
      <c r="H16" s="36">
        <f t="shared" si="2"/>
        <v>14599.280562757209</v>
      </c>
      <c r="I16" s="36">
        <f>SUM(I6:I15)</f>
        <v>25907.684336535891</v>
      </c>
      <c r="J16" s="36">
        <f t="shared" ref="J16" si="3">SUM(J6:J15)</f>
        <v>139885.10019004403</v>
      </c>
      <c r="K16" s="193">
        <f>SUM(K6:K15)</f>
        <v>0</v>
      </c>
      <c r="L16" s="36">
        <f>SUM(L6:L15)</f>
        <v>99378.135290750972</v>
      </c>
      <c r="O16" s="45"/>
      <c r="P16" s="45"/>
      <c r="Q16" s="45"/>
      <c r="R16" s="45"/>
      <c r="S16" s="45"/>
      <c r="T16" s="45"/>
      <c r="U16" s="45"/>
      <c r="V16" s="218"/>
    </row>
    <row r="17" spans="2:22" ht="15" x14ac:dyDescent="0.25">
      <c r="B17" s="40" t="s">
        <v>55</v>
      </c>
      <c r="C17" s="193">
        <f>SUM(Direct_Capex_Composition!BG7:BG35)-C16</f>
        <v>0</v>
      </c>
      <c r="D17" s="193">
        <f>SUM(Direct_Capex_Composition!BG39:BG56)-D16</f>
        <v>0</v>
      </c>
      <c r="E17" s="193">
        <f>SUM(Direct_Capex_Composition!BG59:BG67)-E16</f>
        <v>0</v>
      </c>
      <c r="F17" s="193">
        <f>SUM(Direct_Capex_Composition!BG70:BG78)-F16</f>
        <v>0</v>
      </c>
      <c r="G17" s="193">
        <f>SUM(Direct_Capex_Composition!BG81:BG111)-G16</f>
        <v>0</v>
      </c>
      <c r="H17" s="193">
        <f>SUM(Direct_Capex_Composition!BG114:BG122)-H16</f>
        <v>0</v>
      </c>
      <c r="I17" s="193">
        <f>SUM(Direct_Capex_Composition!BG125:BG137)-I16</f>
        <v>0</v>
      </c>
      <c r="J17" s="206">
        <f>J16-Direct_Capex_Composition!BG150</f>
        <v>0</v>
      </c>
      <c r="O17" s="45"/>
      <c r="P17" s="45"/>
      <c r="Q17" s="45"/>
      <c r="R17" s="45"/>
      <c r="S17" s="45"/>
      <c r="T17" s="45"/>
      <c r="U17" s="45"/>
      <c r="V17" s="218"/>
    </row>
    <row r="18" spans="2:22" ht="15" x14ac:dyDescent="0.25">
      <c r="C18" s="28"/>
      <c r="J18" s="11"/>
    </row>
    <row r="19" spans="2:22" ht="15" x14ac:dyDescent="0.25">
      <c r="B19" t="s">
        <v>635</v>
      </c>
      <c r="C19" s="28"/>
      <c r="J19" s="28">
        <f>AVERAGE(J6:J14)</f>
        <v>12664.157317056461</v>
      </c>
      <c r="L19" s="27">
        <f>AVERAGE(L6:L14)</f>
        <v>11042.015032305664</v>
      </c>
    </row>
    <row r="20" spans="2:22" x14ac:dyDescent="0.3">
      <c r="C20" s="28"/>
      <c r="J20" s="11"/>
    </row>
    <row r="21" spans="2:22" x14ac:dyDescent="0.3">
      <c r="B21" s="196" t="s">
        <v>645</v>
      </c>
    </row>
    <row r="22" spans="2:22" x14ac:dyDescent="0.3">
      <c r="B22" s="52" t="s">
        <v>646</v>
      </c>
    </row>
    <row r="23" spans="2:22" ht="15" x14ac:dyDescent="0.25">
      <c r="C23" s="14"/>
      <c r="D23" s="14"/>
      <c r="E23" s="14"/>
      <c r="F23" s="14"/>
      <c r="G23" s="14"/>
      <c r="I23" s="14"/>
    </row>
    <row r="24" spans="2:22" ht="15" x14ac:dyDescent="0.25">
      <c r="C24" s="14"/>
      <c r="D24" s="14"/>
      <c r="E24" s="14"/>
      <c r="F24" s="14"/>
      <c r="G24" s="14"/>
      <c r="I24" s="14"/>
    </row>
    <row r="25" spans="2:22" ht="15" x14ac:dyDescent="0.25">
      <c r="C25" s="150"/>
      <c r="D25" s="150"/>
      <c r="E25" s="150"/>
      <c r="F25" s="150"/>
      <c r="G25" s="150"/>
      <c r="H25" s="150"/>
      <c r="I25" s="201"/>
      <c r="J25" s="45"/>
      <c r="K25" s="45"/>
      <c r="L25" s="218"/>
    </row>
    <row r="26" spans="2:22" ht="15" x14ac:dyDescent="0.25">
      <c r="C26" s="150"/>
      <c r="D26" s="150"/>
      <c r="E26" s="150"/>
      <c r="F26" s="150"/>
      <c r="G26" s="150"/>
      <c r="H26" s="150"/>
      <c r="I26" s="201"/>
      <c r="J26" s="45"/>
      <c r="K26" s="45"/>
      <c r="L26" s="218"/>
    </row>
    <row r="27" spans="2:22" ht="15" x14ac:dyDescent="0.25">
      <c r="C27" s="150"/>
      <c r="D27" s="150"/>
      <c r="E27" s="150"/>
      <c r="F27" s="150"/>
      <c r="G27" s="150"/>
      <c r="H27" s="150"/>
      <c r="I27" s="201"/>
      <c r="J27" s="45"/>
      <c r="K27" s="45"/>
      <c r="L27" s="218"/>
    </row>
    <row r="28" spans="2:22" x14ac:dyDescent="0.3">
      <c r="C28" s="150"/>
      <c r="D28" s="150"/>
      <c r="E28" s="150"/>
      <c r="F28" s="150"/>
      <c r="G28" s="150"/>
      <c r="H28" s="150"/>
      <c r="I28" s="201"/>
      <c r="J28" s="45"/>
      <c r="K28" s="45"/>
      <c r="L28" s="218"/>
    </row>
    <row r="29" spans="2:22" x14ac:dyDescent="0.3">
      <c r="C29" s="150"/>
      <c r="D29" s="150"/>
      <c r="E29" s="150"/>
      <c r="F29" s="150"/>
      <c r="G29" s="150"/>
      <c r="H29" s="150"/>
      <c r="I29" s="201"/>
      <c r="J29" s="45"/>
      <c r="K29" s="45"/>
      <c r="L29" s="218"/>
    </row>
    <row r="30" spans="2:22" x14ac:dyDescent="0.3">
      <c r="C30" s="150"/>
      <c r="D30" s="150"/>
      <c r="E30" s="150"/>
      <c r="F30" s="150"/>
      <c r="G30" s="150"/>
      <c r="H30" s="150"/>
      <c r="I30" s="201"/>
      <c r="J30" s="45"/>
      <c r="K30" s="45"/>
      <c r="L30" s="218"/>
    </row>
    <row r="31" spans="2:22" x14ac:dyDescent="0.3">
      <c r="C31" s="150"/>
      <c r="D31" s="150"/>
      <c r="E31" s="150"/>
      <c r="F31" s="150"/>
      <c r="G31" s="150"/>
      <c r="H31" s="150"/>
      <c r="I31" s="201"/>
      <c r="J31" s="45"/>
      <c r="K31" s="45"/>
      <c r="L31" s="218"/>
    </row>
    <row r="32" spans="2:22" x14ac:dyDescent="0.3">
      <c r="C32" s="150"/>
      <c r="D32" s="150"/>
      <c r="E32" s="150"/>
      <c r="F32" s="150"/>
      <c r="G32" s="150"/>
      <c r="H32" s="150"/>
      <c r="I32" s="201"/>
      <c r="J32" s="45"/>
      <c r="K32" s="45"/>
      <c r="L32" s="218"/>
    </row>
    <row r="33" spans="3:12" x14ac:dyDescent="0.3">
      <c r="C33" s="396"/>
      <c r="D33" s="396"/>
      <c r="E33" s="396"/>
      <c r="F33" s="150"/>
      <c r="G33" s="396"/>
      <c r="H33" s="396"/>
      <c r="I33" s="45"/>
      <c r="J33" s="45"/>
      <c r="K33" s="45"/>
      <c r="L33" s="218"/>
    </row>
    <row r="34" spans="3:12" x14ac:dyDescent="0.3">
      <c r="C34" s="346"/>
      <c r="D34" s="346"/>
      <c r="E34" s="346"/>
      <c r="F34" s="396"/>
      <c r="G34" s="346"/>
      <c r="H34" s="45"/>
      <c r="I34" s="45"/>
      <c r="J34" s="45"/>
      <c r="K34" s="45"/>
      <c r="L34" s="45"/>
    </row>
    <row r="35" spans="3:12" x14ac:dyDescent="0.3"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3:12" x14ac:dyDescent="0.3">
      <c r="C36" s="45"/>
      <c r="D36" s="45"/>
      <c r="E36" s="45"/>
      <c r="F36" s="45"/>
      <c r="G36" s="45"/>
      <c r="H36" s="45"/>
      <c r="I36" s="45"/>
      <c r="J36" s="45"/>
      <c r="K36" s="45"/>
      <c r="L36" s="45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V47"/>
  <sheetViews>
    <sheetView zoomScale="85" zoomScaleNormal="85" workbookViewId="0">
      <selection activeCell="I11" sqref="I11"/>
    </sheetView>
  </sheetViews>
  <sheetFormatPr defaultRowHeight="14.4" x14ac:dyDescent="0.3"/>
  <cols>
    <col min="1" max="1" width="3.6640625" customWidth="1"/>
    <col min="2" max="2" width="48.88671875" customWidth="1"/>
    <col min="3" max="7" width="8.88671875" customWidth="1"/>
    <col min="9" max="9" width="9.5546875" customWidth="1"/>
    <col min="10" max="11" width="8.88671875" customWidth="1"/>
    <col min="12" max="12" width="10.33203125" customWidth="1"/>
    <col min="13" max="13" width="8.88671875" customWidth="1"/>
  </cols>
  <sheetData>
    <row r="1" spans="2:15" x14ac:dyDescent="0.3">
      <c r="B1" s="22" t="s">
        <v>202</v>
      </c>
    </row>
    <row r="2" spans="2:15" x14ac:dyDescent="0.3">
      <c r="H2" s="517" t="s">
        <v>597</v>
      </c>
      <c r="N2" s="191"/>
    </row>
    <row r="3" spans="2:15" x14ac:dyDescent="0.3">
      <c r="B3" s="25" t="s">
        <v>620</v>
      </c>
      <c r="H3" s="471" t="s">
        <v>541</v>
      </c>
      <c r="L3" s="471" t="s">
        <v>542</v>
      </c>
      <c r="M3" s="480" t="s">
        <v>575</v>
      </c>
      <c r="N3" s="191"/>
    </row>
    <row r="4" spans="2:15" x14ac:dyDescent="0.3">
      <c r="B4" s="199"/>
      <c r="C4" s="49">
        <v>2016</v>
      </c>
      <c r="D4" s="49">
        <v>2017</v>
      </c>
      <c r="E4" s="49">
        <v>2018</v>
      </c>
      <c r="F4" s="49">
        <v>2019</v>
      </c>
      <c r="G4" s="49">
        <v>2020</v>
      </c>
      <c r="H4" s="49" t="s">
        <v>6</v>
      </c>
      <c r="I4" s="49">
        <v>2021</v>
      </c>
      <c r="J4" s="49">
        <v>2022</v>
      </c>
      <c r="K4" s="49">
        <v>2023</v>
      </c>
      <c r="L4" s="471" t="s">
        <v>6</v>
      </c>
      <c r="M4" s="480" t="s">
        <v>6</v>
      </c>
      <c r="N4" s="318"/>
      <c r="O4" s="538"/>
    </row>
    <row r="5" spans="2:15" x14ac:dyDescent="0.3">
      <c r="B5" s="45" t="s">
        <v>194</v>
      </c>
      <c r="C5" s="38">
        <f>SUM(Direct_Capex_Composition!AX140:AX148)/Thousands</f>
        <v>0</v>
      </c>
      <c r="D5" s="38">
        <f>SUM(Direct_Capex_Composition!AY140:AY148)/Thousands</f>
        <v>0</v>
      </c>
      <c r="E5" s="38">
        <f>SUM(Direct_Capex_Composition!AZ140:AZ148)/Thousands</f>
        <v>18.028798204310821</v>
      </c>
      <c r="F5" s="38">
        <f>SUM(Direct_Capex_Composition!BA140:BA148)/Thousands</f>
        <v>67.283299992135071</v>
      </c>
      <c r="G5" s="38">
        <f>SUM(Direct_Capex_Composition!BB140:BB148)/Thousands</f>
        <v>28.280887645171308</v>
      </c>
      <c r="H5" s="38">
        <f t="shared" ref="H5:H12" si="0">SUM(C5:G5)</f>
        <v>113.59298584161719</v>
      </c>
      <c r="I5" s="38">
        <f>SUM(Direct_Capex_Composition!BC140:BC148)/Thousands</f>
        <v>0.38443001189095893</v>
      </c>
      <c r="J5" s="38">
        <f>SUM(Direct_Capex_Composition!BD140:BD148)/Thousands</f>
        <v>0</v>
      </c>
      <c r="K5" s="38">
        <f>SUM(Direct_Capex_Composition!BE140:BE148)/Thousands</f>
        <v>0</v>
      </c>
      <c r="L5" s="14">
        <f>SUM(I5:K5)</f>
        <v>0.38443001189095893</v>
      </c>
      <c r="M5" s="14">
        <f>H5+L5</f>
        <v>113.97741585350815</v>
      </c>
      <c r="N5" s="274"/>
      <c r="O5" s="578"/>
    </row>
    <row r="6" spans="2:15" x14ac:dyDescent="0.3">
      <c r="B6" s="45" t="s">
        <v>424</v>
      </c>
      <c r="C6" s="38">
        <f>SUM(Direct_Capex_Composition!AX125:AX128)/Thousands</f>
        <v>0</v>
      </c>
      <c r="D6" s="38">
        <f>SUM(Direct_Capex_Composition!AY125:AY128)/Thousands</f>
        <v>0</v>
      </c>
      <c r="E6" s="38">
        <f>SUM(Direct_Capex_Composition!AZ125:AZ128)/Thousands</f>
        <v>0.15459944751381216</v>
      </c>
      <c r="F6" s="38">
        <f>SUM(Direct_Capex_Composition!BA125:BA128)/Thousands</f>
        <v>5.7191969800131535</v>
      </c>
      <c r="G6" s="38">
        <f>SUM(Direct_Capex_Composition!BB125:BB128)/Thousands</f>
        <v>9.5372014921530521</v>
      </c>
      <c r="H6" s="38">
        <f t="shared" si="0"/>
        <v>15.410997919680018</v>
      </c>
      <c r="I6" s="38">
        <f>SUM(Direct_Capex_Composition!BC125:BC128)/Thousands</f>
        <v>0</v>
      </c>
      <c r="J6" s="38">
        <f>SUM(Direct_Capex_Composition!BD125:BD128)/Thousands</f>
        <v>0</v>
      </c>
      <c r="K6" s="38">
        <f>SUM(Direct_Capex_Composition!BE125:BE128)/Thousands</f>
        <v>0</v>
      </c>
      <c r="L6" s="14">
        <f t="shared" ref="L6:L12" si="1">SUM(I6:K6)</f>
        <v>0</v>
      </c>
      <c r="M6" s="14">
        <f t="shared" ref="M6:M12" si="2">H6+L6</f>
        <v>15.410997919680018</v>
      </c>
      <c r="N6" s="274"/>
      <c r="O6" s="347"/>
    </row>
    <row r="7" spans="2:15" x14ac:dyDescent="0.3">
      <c r="B7" s="45" t="s">
        <v>351</v>
      </c>
      <c r="C7" s="38">
        <f>(Direct_Capex_Composition!AX129+Direct_Capex_Composition!AX134)/Thousands</f>
        <v>0</v>
      </c>
      <c r="D7" s="38">
        <f>(Direct_Capex_Composition!AY129+Direct_Capex_Composition!AY134)/Thousands</f>
        <v>0</v>
      </c>
      <c r="E7" s="38">
        <f>(Direct_Capex_Composition!AZ129+Direct_Capex_Composition!AZ134)/Thousands</f>
        <v>0</v>
      </c>
      <c r="F7" s="38">
        <f>(Direct_Capex_Composition!BA129+Direct_Capex_Composition!BA134)/Thousands</f>
        <v>0.51075778604651156</v>
      </c>
      <c r="G7" s="38">
        <f>(Direct_Capex_Composition!BB129+Direct_Capex_Composition!BB134)/Thousands</f>
        <v>1.5322733581395347</v>
      </c>
      <c r="H7" s="38">
        <f t="shared" si="0"/>
        <v>2.0430311441860463</v>
      </c>
      <c r="I7" s="38">
        <f>(Direct_Capex_Composition!BC129+Direct_Capex_Composition!BC134)/Thousands</f>
        <v>0</v>
      </c>
      <c r="J7" s="38">
        <f>(Direct_Capex_Composition!BD129+Direct_Capex_Composition!BD134)/Thousands</f>
        <v>0</v>
      </c>
      <c r="K7" s="38">
        <f>(Direct_Capex_Composition!BE129+Direct_Capex_Composition!BE134)/Thousands</f>
        <v>0</v>
      </c>
      <c r="L7" s="14">
        <f t="shared" si="1"/>
        <v>0</v>
      </c>
      <c r="M7" s="14">
        <f t="shared" si="2"/>
        <v>2.0430311441860463</v>
      </c>
      <c r="N7" s="274"/>
      <c r="O7" s="347"/>
    </row>
    <row r="8" spans="2:15" x14ac:dyDescent="0.3">
      <c r="B8" s="45" t="s">
        <v>552</v>
      </c>
      <c r="C8" s="38">
        <f>Direct_Capex_Composition!AX130/Thousands</f>
        <v>0</v>
      </c>
      <c r="D8" s="38">
        <f>Direct_Capex_Composition!AY130/Thousands</f>
        <v>0</v>
      </c>
      <c r="E8" s="38">
        <f>Direct_Capex_Composition!AZ130/Thousands</f>
        <v>0.47170009208103131</v>
      </c>
      <c r="F8" s="38">
        <f>Direct_Capex_Composition!BA130/Thousands</f>
        <v>0</v>
      </c>
      <c r="G8" s="38">
        <f>Direct_Capex_Composition!BB130/Thousands</f>
        <v>0</v>
      </c>
      <c r="H8" s="38">
        <f t="shared" si="0"/>
        <v>0.47170009208103131</v>
      </c>
      <c r="I8" s="38">
        <f>Direct_Capex_Composition!BC130/Thousands</f>
        <v>0</v>
      </c>
      <c r="J8" s="38">
        <f>Direct_Capex_Composition!BD130/Thousands</f>
        <v>0</v>
      </c>
      <c r="K8" s="38">
        <f>Direct_Capex_Composition!BE130/Thousands</f>
        <v>0</v>
      </c>
      <c r="L8" s="14">
        <f t="shared" si="1"/>
        <v>0</v>
      </c>
      <c r="M8" s="14">
        <f t="shared" si="2"/>
        <v>0.47170009208103131</v>
      </c>
      <c r="N8" s="274"/>
      <c r="O8" s="347"/>
    </row>
    <row r="9" spans="2:15" x14ac:dyDescent="0.3">
      <c r="B9" s="45" t="s">
        <v>546</v>
      </c>
      <c r="C9" s="38">
        <f>Direct_Capex_Composition!AX131/Thousands</f>
        <v>0</v>
      </c>
      <c r="D9" s="38">
        <f>Direct_Capex_Composition!AY131/Thousands</f>
        <v>0</v>
      </c>
      <c r="E9" s="38">
        <f>Direct_Capex_Composition!AZ131/Thousands</f>
        <v>0</v>
      </c>
      <c r="F9" s="38">
        <f>Direct_Capex_Composition!BA131/Thousands</f>
        <v>0.29938305709023938</v>
      </c>
      <c r="G9" s="38">
        <f>Direct_Capex_Composition!BB131/Thousands</f>
        <v>0.59876611418047876</v>
      </c>
      <c r="H9" s="38">
        <f t="shared" si="0"/>
        <v>0.89814917127071814</v>
      </c>
      <c r="I9" s="38">
        <f>Direct_Capex_Composition!BC131/Thousands</f>
        <v>0</v>
      </c>
      <c r="J9" s="38">
        <f>Direct_Capex_Composition!BD131/Thousands</f>
        <v>0</v>
      </c>
      <c r="K9" s="38">
        <f>Direct_Capex_Composition!BE131/Thousands</f>
        <v>0</v>
      </c>
      <c r="L9" s="14">
        <f t="shared" si="1"/>
        <v>0</v>
      </c>
      <c r="M9" s="14">
        <f t="shared" si="2"/>
        <v>0.89814917127071814</v>
      </c>
      <c r="N9" s="274"/>
      <c r="O9" s="347"/>
    </row>
    <row r="10" spans="2:15" x14ac:dyDescent="0.3">
      <c r="B10" s="45" t="s">
        <v>126</v>
      </c>
      <c r="C10" s="38">
        <f>Direct_Capex_Composition!AX132/Thousands</f>
        <v>0</v>
      </c>
      <c r="D10" s="38">
        <f>Direct_Capex_Composition!AY132/Thousands</f>
        <v>0</v>
      </c>
      <c r="E10" s="38">
        <f>Direct_Capex_Composition!AZ132/Thousands</f>
        <v>0</v>
      </c>
      <c r="F10" s="38">
        <f>Direct_Capex_Composition!BA132/Thousands</f>
        <v>0</v>
      </c>
      <c r="G10" s="38">
        <f>Direct_Capex_Composition!BB132/Thousands</f>
        <v>0</v>
      </c>
      <c r="H10" s="38">
        <f t="shared" si="0"/>
        <v>0</v>
      </c>
      <c r="I10" s="38">
        <f>Direct_Capex_Composition!BC132/Thousands</f>
        <v>0</v>
      </c>
      <c r="J10" s="38">
        <f>Direct_Capex_Composition!BD132/Thousands</f>
        <v>0</v>
      </c>
      <c r="K10" s="38">
        <f>Direct_Capex_Composition!BE132/Thousands</f>
        <v>0</v>
      </c>
      <c r="L10" s="14">
        <f t="shared" si="1"/>
        <v>0</v>
      </c>
      <c r="M10" s="14">
        <f t="shared" si="2"/>
        <v>0</v>
      </c>
      <c r="N10" s="274"/>
      <c r="O10" s="347"/>
    </row>
    <row r="11" spans="2:15" x14ac:dyDescent="0.3">
      <c r="B11" s="45" t="s">
        <v>548</v>
      </c>
      <c r="C11" s="38">
        <f>Direct_Capex_Composition!AX133/Thousands</f>
        <v>0</v>
      </c>
      <c r="D11" s="38">
        <f>Direct_Capex_Composition!AY133/Thousands</f>
        <v>0</v>
      </c>
      <c r="E11" s="38">
        <f>Direct_Capex_Composition!AZ133/Thousands</f>
        <v>0.246996614437788</v>
      </c>
      <c r="F11" s="38">
        <f>Direct_Capex_Composition!BA133/Thousands</f>
        <v>0</v>
      </c>
      <c r="G11" s="38">
        <f>Direct_Capex_Composition!BB133/Thousands</f>
        <v>0</v>
      </c>
      <c r="H11" s="38">
        <f t="shared" si="0"/>
        <v>0.246996614437788</v>
      </c>
      <c r="I11" s="38">
        <f>Direct_Capex_Composition!BC133/Thousands</f>
        <v>0</v>
      </c>
      <c r="J11" s="38">
        <f>Direct_Capex_Composition!BD133/Thousands</f>
        <v>0</v>
      </c>
      <c r="K11" s="38">
        <f>Direct_Capex_Composition!BE133/Thousands</f>
        <v>0</v>
      </c>
      <c r="L11" s="14">
        <f t="shared" si="1"/>
        <v>0</v>
      </c>
      <c r="M11" s="14">
        <f t="shared" si="2"/>
        <v>0.246996614437788</v>
      </c>
      <c r="N11" s="274"/>
      <c r="O11" s="347"/>
    </row>
    <row r="12" spans="2:15" x14ac:dyDescent="0.3">
      <c r="B12" s="45" t="s">
        <v>540</v>
      </c>
      <c r="C12" s="38">
        <f>(Direct_Capex_Composition!AX135+Direct_Capex_Composition!AX136+Direct_Capex_Composition!AX137)/Thousands</f>
        <v>0</v>
      </c>
      <c r="D12" s="38">
        <f>(Direct_Capex_Composition!AY135+Direct_Capex_Composition!AY136+Direct_Capex_Composition!AY137)/Thousands</f>
        <v>0</v>
      </c>
      <c r="E12" s="38">
        <f>(Direct_Capex_Composition!AZ135+Direct_Capex_Composition!AZ136+Direct_Capex_Composition!AZ137)/Thousands</f>
        <v>0</v>
      </c>
      <c r="F12" s="38">
        <f>(Direct_Capex_Composition!BA135+Direct_Capex_Composition!BA136+Direct_Capex_Composition!BA137)/Thousands</f>
        <v>0</v>
      </c>
      <c r="G12" s="38">
        <f>(Direct_Capex_Composition!BB135+Direct_Capex_Composition!BB136+Direct_Capex_Composition!BB137)/Thousands</f>
        <v>1.7092023487200736</v>
      </c>
      <c r="H12" s="38">
        <f t="shared" si="0"/>
        <v>1.7092023487200736</v>
      </c>
      <c r="I12" s="38">
        <f>(Direct_Capex_Composition!BC135+Direct_Capex_Composition!BC136+Direct_Capex_Composition!BC137)/Thousands</f>
        <v>1.7092023487200736</v>
      </c>
      <c r="J12" s="38">
        <f>(Direct_Capex_Composition!BD135+Direct_Capex_Composition!BD136+Direct_Capex_Composition!BD137)/Thousands</f>
        <v>1.7092023487200736</v>
      </c>
      <c r="K12" s="38">
        <f>(Direct_Capex_Composition!BE135+Direct_Capex_Composition!BE136+Direct_Capex_Composition!BE137)/Thousands</f>
        <v>1.7092023487200736</v>
      </c>
      <c r="L12" s="14">
        <f t="shared" si="1"/>
        <v>5.1276070461602208</v>
      </c>
      <c r="M12" s="14">
        <f t="shared" si="2"/>
        <v>6.8368093948802944</v>
      </c>
      <c r="N12" s="274"/>
      <c r="O12" s="347"/>
    </row>
    <row r="13" spans="2:15" x14ac:dyDescent="0.3">
      <c r="B13" s="151" t="s">
        <v>206</v>
      </c>
      <c r="C13" s="200">
        <f t="shared" ref="C13:G13" si="3">SUM(C5:C12)</f>
        <v>0</v>
      </c>
      <c r="D13" s="200">
        <f t="shared" si="3"/>
        <v>0</v>
      </c>
      <c r="E13" s="200">
        <f t="shared" si="3"/>
        <v>18.902094358343454</v>
      </c>
      <c r="F13" s="200">
        <f t="shared" si="3"/>
        <v>73.812637815284972</v>
      </c>
      <c r="G13" s="200">
        <f t="shared" si="3"/>
        <v>41.658330958364452</v>
      </c>
      <c r="H13" s="200">
        <f>SUM(H5:H12)</f>
        <v>134.37306313199286</v>
      </c>
      <c r="I13" s="200">
        <f>SUM(I5:I12)</f>
        <v>2.0936323606110325</v>
      </c>
      <c r="J13" s="200">
        <f t="shared" ref="J13:M13" si="4">SUM(J5:J12)</f>
        <v>1.7092023487200736</v>
      </c>
      <c r="K13" s="200">
        <f t="shared" si="4"/>
        <v>1.7092023487200736</v>
      </c>
      <c r="L13" s="200">
        <f t="shared" si="4"/>
        <v>5.5120370580511793</v>
      </c>
      <c r="M13" s="200">
        <f t="shared" si="4"/>
        <v>139.88510019004406</v>
      </c>
      <c r="N13" s="274"/>
      <c r="O13" s="45"/>
    </row>
    <row r="14" spans="2:15" x14ac:dyDescent="0.3">
      <c r="B14" s="45"/>
      <c r="C14" s="45"/>
      <c r="D14" s="45"/>
      <c r="E14" s="45"/>
      <c r="F14" s="45"/>
      <c r="G14" s="45"/>
      <c r="H14" s="45"/>
      <c r="N14" s="236"/>
      <c r="O14" s="45"/>
    </row>
    <row r="15" spans="2:15" x14ac:dyDescent="0.3">
      <c r="B15" s="45" t="s">
        <v>204</v>
      </c>
      <c r="C15" s="38">
        <f>Direct_Summary!D46/Thousands</f>
        <v>0</v>
      </c>
      <c r="D15" s="38">
        <f>Direct_Summary!E46/Thousands</f>
        <v>0</v>
      </c>
      <c r="E15" s="38">
        <f>Direct_Summary!F46/Thousands</f>
        <v>0.12989211476611251</v>
      </c>
      <c r="F15" s="38">
        <f>Direct_Summary!G46/Thousands</f>
        <v>0.99082052030757539</v>
      </c>
      <c r="G15" s="38">
        <f>Direct_Summary!H46/Thousands</f>
        <v>0.99210027878622742</v>
      </c>
      <c r="H15" s="201">
        <f>SUM(C15:G15)</f>
        <v>2.1128129138599157</v>
      </c>
      <c r="I15" s="451"/>
      <c r="J15" s="451"/>
      <c r="K15" s="451"/>
      <c r="L15" s="14">
        <f t="shared" ref="L15:L16" si="5">SUM(I15:K15)</f>
        <v>0</v>
      </c>
      <c r="M15" s="14">
        <f t="shared" ref="M15:M16" si="6">H15+L15</f>
        <v>2.1128129138599157</v>
      </c>
      <c r="N15" s="274"/>
      <c r="O15" s="347"/>
    </row>
    <row r="16" spans="2:15" x14ac:dyDescent="0.3">
      <c r="B16" s="45" t="s">
        <v>203</v>
      </c>
      <c r="C16" s="6">
        <f>Overheads!C75/Thousands</f>
        <v>0</v>
      </c>
      <c r="D16" s="6">
        <f>Overheads!D75/Thousands</f>
        <v>0</v>
      </c>
      <c r="E16" s="6">
        <f>Overheads!E75/Thousands</f>
        <v>0.51835994373952254</v>
      </c>
      <c r="F16" s="6">
        <f>Overheads!F75/Thousands</f>
        <v>2.0389573275919406</v>
      </c>
      <c r="G16" s="6">
        <f>Overheads!G75/Thousands</f>
        <v>1.1639013916256029</v>
      </c>
      <c r="H16" s="38">
        <f>SUM(C16:G16)</f>
        <v>3.7212186629570665</v>
      </c>
      <c r="I16" s="451"/>
      <c r="J16" s="451"/>
      <c r="K16" s="451"/>
      <c r="L16" s="14">
        <f t="shared" si="5"/>
        <v>0</v>
      </c>
      <c r="M16" s="14">
        <f t="shared" si="6"/>
        <v>3.7212186629570665</v>
      </c>
      <c r="N16" s="274"/>
      <c r="O16" s="347"/>
    </row>
    <row r="17" spans="2:22" x14ac:dyDescent="0.3">
      <c r="N17" s="171"/>
    </row>
    <row r="18" spans="2:22" ht="15.75" thickBot="1" x14ac:dyDescent="0.3">
      <c r="B18" s="25" t="s">
        <v>205</v>
      </c>
      <c r="C18" s="190">
        <f>C13+C16+C15</f>
        <v>0</v>
      </c>
      <c r="D18" s="190">
        <f t="shared" ref="D18:M18" si="7">D13+D16+D15</f>
        <v>0</v>
      </c>
      <c r="E18" s="190">
        <f t="shared" si="7"/>
        <v>19.550346416849088</v>
      </c>
      <c r="F18" s="190">
        <f t="shared" si="7"/>
        <v>76.842415663184497</v>
      </c>
      <c r="G18" s="190">
        <f t="shared" si="7"/>
        <v>43.814332628776278</v>
      </c>
      <c r="H18" s="190">
        <f>H13+H16+H15</f>
        <v>140.20709470880985</v>
      </c>
      <c r="I18" s="190">
        <f t="shared" si="7"/>
        <v>2.0936323606110325</v>
      </c>
      <c r="J18" s="190">
        <f t="shared" si="7"/>
        <v>1.7092023487200736</v>
      </c>
      <c r="K18" s="190">
        <f t="shared" si="7"/>
        <v>1.7092023487200736</v>
      </c>
      <c r="L18" s="190">
        <f t="shared" si="7"/>
        <v>5.5120370580511793</v>
      </c>
      <c r="M18" s="190">
        <f t="shared" si="7"/>
        <v>145.71913176686104</v>
      </c>
      <c r="N18" s="170"/>
      <c r="Q18" s="201"/>
      <c r="R18" s="201"/>
      <c r="S18" s="201"/>
      <c r="T18" s="201"/>
      <c r="U18" s="201"/>
      <c r="V18" s="201"/>
    </row>
    <row r="19" spans="2:22" ht="15" x14ac:dyDescent="0.25">
      <c r="B19" s="40" t="s">
        <v>55</v>
      </c>
      <c r="C19" s="202">
        <f>C18-(PTRM_Inputs!C14+PTRM_Inputs!C26)</f>
        <v>0</v>
      </c>
      <c r="D19" s="202">
        <f>D18-(PTRM_Inputs!D14+PTRM_Inputs!D26)</f>
        <v>0</v>
      </c>
      <c r="E19" s="202">
        <f>E18-(PTRM_Inputs!E14+PTRM_Inputs!E26)</f>
        <v>0</v>
      </c>
      <c r="F19" s="202">
        <f>F18-(PTRM_Inputs!F14+PTRM_Inputs!F26)</f>
        <v>0</v>
      </c>
      <c r="G19" s="202">
        <f>G18-(PTRM_Inputs!G14+PTRM_Inputs!G26)</f>
        <v>0</v>
      </c>
      <c r="H19" s="202">
        <f>H18-(PTRM_Inputs!H14+PTRM_Inputs!H26)</f>
        <v>0</v>
      </c>
      <c r="I19" s="346">
        <f>I18-Direct_Summary!J69/Thousands</f>
        <v>0</v>
      </c>
      <c r="J19" s="346">
        <f>J18-Direct_Summary!K69/Thousands</f>
        <v>0</v>
      </c>
      <c r="K19" s="346">
        <f>K18-Direct_Summary!L69/Thousands</f>
        <v>0</v>
      </c>
      <c r="L19" s="19">
        <f>L18-Direct_Summary!M69/Thousands</f>
        <v>0</v>
      </c>
      <c r="N19" s="171"/>
      <c r="Q19" s="45"/>
      <c r="R19" s="218"/>
      <c r="S19" s="218"/>
      <c r="T19" s="218"/>
      <c r="U19" s="218"/>
      <c r="V19" s="218"/>
    </row>
    <row r="20" spans="2:22" ht="15" x14ac:dyDescent="0.25">
      <c r="Q20" s="201"/>
      <c r="R20" s="201"/>
      <c r="S20" s="201"/>
      <c r="T20" s="201"/>
      <c r="U20" s="201"/>
      <c r="V20" s="201"/>
    </row>
    <row r="21" spans="2:22" x14ac:dyDescent="0.3">
      <c r="H21" s="11"/>
      <c r="I21" s="536"/>
      <c r="J21" s="536"/>
      <c r="K21" s="536"/>
      <c r="N21" s="536"/>
      <c r="Q21" s="45"/>
      <c r="R21" s="45"/>
      <c r="S21" s="45"/>
      <c r="T21" s="45"/>
      <c r="U21" s="45"/>
      <c r="V21" s="45"/>
    </row>
    <row r="22" spans="2:22" x14ac:dyDescent="0.3">
      <c r="Q22" s="45"/>
      <c r="R22" s="45"/>
      <c r="S22" s="45"/>
      <c r="T22" s="45"/>
      <c r="U22" s="45"/>
      <c r="V22" s="45"/>
    </row>
    <row r="23" spans="2:22" ht="15" x14ac:dyDescent="0.25">
      <c r="B23" s="134" t="s">
        <v>621</v>
      </c>
      <c r="Q23" s="45"/>
      <c r="R23" s="45"/>
      <c r="S23" s="45"/>
      <c r="T23" s="45"/>
      <c r="U23" s="45"/>
      <c r="V23" s="45"/>
    </row>
    <row r="24" spans="2:22" ht="15" x14ac:dyDescent="0.25">
      <c r="B24" t="s">
        <v>199</v>
      </c>
      <c r="Q24" s="45"/>
      <c r="R24" s="45"/>
      <c r="S24" s="45"/>
      <c r="T24" s="45"/>
      <c r="U24" s="45"/>
      <c r="V24" s="45"/>
    </row>
    <row r="25" spans="2:22" ht="15" x14ac:dyDescent="0.25">
      <c r="Q25" s="45"/>
      <c r="R25" s="45"/>
      <c r="S25" s="45"/>
      <c r="T25" s="45"/>
      <c r="U25" s="45"/>
      <c r="V25" s="45"/>
    </row>
    <row r="26" spans="2:22" ht="15" x14ac:dyDescent="0.25">
      <c r="B26" t="s">
        <v>193</v>
      </c>
      <c r="C26" s="181" t="str">
        <f>STN_1</f>
        <v>RWN</v>
      </c>
      <c r="D26" s="471" t="str">
        <f>STN_2</f>
        <v>ELM</v>
      </c>
      <c r="E26" s="471" t="str">
        <f>STN_3</f>
        <v>FGY</v>
      </c>
      <c r="F26" s="471" t="str">
        <f>STN_4</f>
        <v>WOTS22</v>
      </c>
      <c r="G26" s="471" t="str">
        <f>STN_5</f>
        <v>MOE</v>
      </c>
      <c r="H26" s="471" t="str">
        <f>STN_6</f>
        <v>BGE</v>
      </c>
      <c r="I26" s="471" t="str">
        <f>STN_7</f>
        <v>LDL</v>
      </c>
      <c r="J26" s="471" t="str">
        <f>STN_8</f>
        <v>BDL</v>
      </c>
      <c r="K26" s="471" t="str">
        <f>STN_9</f>
        <v>[spare]</v>
      </c>
      <c r="L26" s="181" t="s">
        <v>13</v>
      </c>
    </row>
    <row r="27" spans="2:22" ht="15" x14ac:dyDescent="0.25">
      <c r="B27" t="s">
        <v>178</v>
      </c>
      <c r="C27" s="27">
        <f>SUMIFS(Direct_Capex_Composition!$BG$7:$BG$122,Direct_Capex_Composition!$B$7:$B$122,Other_Tables!C$26,Direct_Capex_Composition!$H$7:$H$122,Other_Tables!$B27)</f>
        <v>2143.553034159982</v>
      </c>
      <c r="D27" s="27">
        <f>SUMIFS(Direct_Capex_Composition!$BG$7:$BG$122,Direct_Capex_Composition!$B$7:$B$122,Other_Tables!D$26,Direct_Capex_Composition!$H$7:$H$122,Other_Tables!$B27)</f>
        <v>4024.8840146242032</v>
      </c>
      <c r="E27" s="27">
        <f>SUMIFS(Direct_Capex_Composition!$BG$7:$BG$122,Direct_Capex_Composition!$B$7:$B$122,Other_Tables!E$26,Direct_Capex_Composition!$H$7:$H$122,Other_Tables!$B27)</f>
        <v>4586.2185296084162</v>
      </c>
      <c r="F27" s="27">
        <f>SUMIFS(Direct_Capex_Composition!$BG$7:$BG$122,Direct_Capex_Composition!$B$7:$B$122,Other_Tables!F$26,Direct_Capex_Composition!$H$7:$H$122,Other_Tables!$B27)</f>
        <v>3226.4755001282306</v>
      </c>
      <c r="G27" s="27">
        <f>SUMIFS(Direct_Capex_Composition!$BG$7:$BG$122,Direct_Capex_Composition!$B$7:$B$122,Other_Tables!G$26,Direct_Capex_Composition!$H$7:$H$122,Other_Tables!$B27)</f>
        <v>3938.368498611906</v>
      </c>
      <c r="H27" s="27">
        <f>SUMIFS(Direct_Capex_Composition!$BG$7:$BG$122,Direct_Capex_Composition!$B$7:$B$122,Other_Tables!H$26,Direct_Capex_Composition!$H$7:$H$122,Other_Tables!$B27)</f>
        <v>3701.4333125754165</v>
      </c>
      <c r="I27" s="27">
        <f>SUMIFS(Direct_Capex_Composition!$BG$7:$BG$122,Direct_Capex_Composition!$B$7:$B$122,Other_Tables!I$26,Direct_Capex_Composition!$H$7:$H$122,Other_Tables!$B27)</f>
        <v>3835.7959840564827</v>
      </c>
      <c r="J27" s="27">
        <f>SUMIFS(Direct_Capex_Composition!$BG$7:$BG$122,Direct_Capex_Composition!$B$7:$B$122,Other_Tables!J$26,Direct_Capex_Composition!$H$7:$H$122,Other_Tables!$B27)</f>
        <v>3310.6808165338143</v>
      </c>
      <c r="K27" s="27">
        <f>SUMIFS(Direct_Capex_Composition!$BG$7:$BG$122,Direct_Capex_Composition!$B$7:$B$122,Other_Tables!K$26,Direct_Capex_Composition!$H$7:$H$122,Other_Tables!$B27)</f>
        <v>0</v>
      </c>
      <c r="L27" s="28">
        <f t="shared" ref="L27:L33" si="8">SUM(C27:K27)</f>
        <v>28767.409690298453</v>
      </c>
    </row>
    <row r="28" spans="2:22" ht="15" x14ac:dyDescent="0.25">
      <c r="B28" t="s">
        <v>181</v>
      </c>
      <c r="C28" s="27">
        <f>SUMIFS(Direct_Capex_Composition!$BG$7:$BG$122,Direct_Capex_Composition!$B$7:$B$122,Other_Tables!C$26,Direct_Capex_Composition!$H$7:$H$122,Other_Tables!$B28)</f>
        <v>0</v>
      </c>
      <c r="D28" s="27">
        <f>SUMIFS(Direct_Capex_Composition!$BG$7:$BG$122,Direct_Capex_Composition!$B$7:$B$122,Other_Tables!D$26,Direct_Capex_Composition!$H$7:$H$122,Other_Tables!$B28)</f>
        <v>0</v>
      </c>
      <c r="E28" s="27">
        <f>SUMIFS(Direct_Capex_Composition!$BG$7:$BG$122,Direct_Capex_Composition!$B$7:$B$122,Other_Tables!E$26,Direct_Capex_Composition!$H$7:$H$122,Other_Tables!$B28)</f>
        <v>0</v>
      </c>
      <c r="F28" s="27">
        <f>SUMIFS(Direct_Capex_Composition!$BG$7:$BG$122,Direct_Capex_Composition!$B$7:$B$122,Other_Tables!F$26,Direct_Capex_Composition!$H$7:$H$122,Other_Tables!$B28)</f>
        <v>0</v>
      </c>
      <c r="G28" s="27">
        <f>SUMIFS(Direct_Capex_Composition!$BG$7:$BG$122,Direct_Capex_Composition!$B$7:$B$122,Other_Tables!G$26,Direct_Capex_Composition!$H$7:$H$122,Other_Tables!$B28)</f>
        <v>0</v>
      </c>
      <c r="H28" s="27">
        <f>SUMIFS(Direct_Capex_Composition!$BG$7:$BG$122,Direct_Capex_Composition!$B$7:$B$122,Other_Tables!H$26,Direct_Capex_Composition!$H$7:$H$122,Other_Tables!$B28)</f>
        <v>0</v>
      </c>
      <c r="I28" s="27">
        <f>SUMIFS(Direct_Capex_Composition!$BG$7:$BG$122,Direct_Capex_Composition!$B$7:$B$122,Other_Tables!I$26,Direct_Capex_Composition!$H$7:$H$122,Other_Tables!$B28)</f>
        <v>0</v>
      </c>
      <c r="J28" s="27">
        <f>SUMIFS(Direct_Capex_Composition!$BG$7:$BG$122,Direct_Capex_Composition!$B$7:$B$122,Other_Tables!J$26,Direct_Capex_Composition!$H$7:$H$122,Other_Tables!$B28)</f>
        <v>0</v>
      </c>
      <c r="K28" s="27">
        <f>SUMIFS(Direct_Capex_Composition!$BG$7:$BG$122,Direct_Capex_Composition!$B$7:$B$122,Other_Tables!K$26,Direct_Capex_Composition!$H$7:$H$122,Other_Tables!$B28)</f>
        <v>0</v>
      </c>
      <c r="L28" s="28">
        <f t="shared" si="8"/>
        <v>0</v>
      </c>
    </row>
    <row r="29" spans="2:22" ht="15" x14ac:dyDescent="0.25">
      <c r="B29" t="s">
        <v>176</v>
      </c>
      <c r="C29" s="27">
        <f>SUMIFS(Direct_Capex_Composition!$BG$7:$BG$122,Direct_Capex_Composition!$B$7:$B$122,Other_Tables!C$26,Direct_Capex_Composition!$H$7:$H$122,Other_Tables!$B29)</f>
        <v>682.73168270270128</v>
      </c>
      <c r="D29" s="27">
        <f>SUMIFS(Direct_Capex_Composition!$BG$7:$BG$122,Direct_Capex_Composition!$B$7:$B$122,Other_Tables!D$26,Direct_Capex_Composition!$H$7:$H$122,Other_Tables!$B29)</f>
        <v>2720.6819944938434</v>
      </c>
      <c r="E29" s="27">
        <f>SUMIFS(Direct_Capex_Composition!$BG$7:$BG$122,Direct_Capex_Composition!$B$7:$B$122,Other_Tables!E$26,Direct_Capex_Composition!$H$7:$H$122,Other_Tables!$B29)</f>
        <v>2105.5845625738066</v>
      </c>
      <c r="F29" s="27">
        <f>SUMIFS(Direct_Capex_Composition!$BG$7:$BG$122,Direct_Capex_Composition!$B$7:$B$122,Other_Tables!F$26,Direct_Capex_Composition!$H$7:$H$122,Other_Tables!$B29)</f>
        <v>6656.1380721146052</v>
      </c>
      <c r="G29" s="27">
        <f>SUMIFS(Direct_Capex_Composition!$BG$7:$BG$122,Direct_Capex_Composition!$B$7:$B$122,Other_Tables!G$26,Direct_Capex_Composition!$H$7:$H$122,Other_Tables!$B29)</f>
        <v>4861.9730752631003</v>
      </c>
      <c r="H29" s="27">
        <f>SUMIFS(Direct_Capex_Composition!$BG$7:$BG$122,Direct_Capex_Composition!$B$7:$B$122,Other_Tables!H$26,Direct_Capex_Composition!$H$7:$H$122,Other_Tables!$B29)</f>
        <v>5005.0641583795077</v>
      </c>
      <c r="I29" s="27">
        <f>SUMIFS(Direct_Capex_Composition!$BG$7:$BG$122,Direct_Capex_Composition!$B$7:$B$122,Other_Tables!I$26,Direct_Capex_Composition!$H$7:$H$122,Other_Tables!$B29)</f>
        <v>5143.7374890791189</v>
      </c>
      <c r="J29" s="27">
        <f>SUMIFS(Direct_Capex_Composition!$BG$7:$BG$122,Direct_Capex_Composition!$B$7:$B$122,Other_Tables!J$26,Direct_Capex_Composition!$H$7:$H$122,Other_Tables!$B29)</f>
        <v>2845.2658905827361</v>
      </c>
      <c r="K29" s="27">
        <f>SUMIFS(Direct_Capex_Composition!$BG$7:$BG$122,Direct_Capex_Composition!$B$7:$B$122,Other_Tables!K$26,Direct_Capex_Composition!$H$7:$H$122,Other_Tables!$B29)</f>
        <v>0</v>
      </c>
      <c r="L29" s="28">
        <f t="shared" si="8"/>
        <v>30021.176925189418</v>
      </c>
    </row>
    <row r="30" spans="2:22" x14ac:dyDescent="0.3">
      <c r="B30" t="s">
        <v>177</v>
      </c>
      <c r="C30" s="27">
        <f>SUMIFS(Direct_Capex_Composition!$BG$7:$BG$122,Direct_Capex_Composition!$B$7:$B$122,Other_Tables!C$26,Direct_Capex_Composition!$H$7:$H$122,Other_Tables!$B30)</f>
        <v>1401.724541129131</v>
      </c>
      <c r="D30" s="27">
        <f>SUMIFS(Direct_Capex_Composition!$BG$7:$BG$122,Direct_Capex_Composition!$B$7:$B$122,Other_Tables!D$26,Direct_Capex_Composition!$H$7:$H$122,Other_Tables!$B30)</f>
        <v>2687.6665348783904</v>
      </c>
      <c r="E30" s="27">
        <f>SUMIFS(Direct_Capex_Composition!$BG$7:$BG$122,Direct_Capex_Composition!$B$7:$B$122,Other_Tables!E$26,Direct_Capex_Composition!$H$7:$H$122,Other_Tables!$B30)</f>
        <v>2873.5236130342228</v>
      </c>
      <c r="F30" s="27">
        <f>SUMIFS(Direct_Capex_Composition!$BG$7:$BG$122,Direct_Capex_Composition!$B$7:$B$122,Other_Tables!F$26,Direct_Capex_Composition!$H$7:$H$122,Other_Tables!$B30)</f>
        <v>5143.1609101666108</v>
      </c>
      <c r="G30" s="27">
        <f>SUMIFS(Direct_Capex_Composition!$BG$7:$BG$122,Direct_Capex_Composition!$B$7:$B$122,Other_Tables!G$26,Direct_Capex_Composition!$H$7:$H$122,Other_Tables!$B30)</f>
        <v>4027.0298405803437</v>
      </c>
      <c r="H30" s="27">
        <f>SUMIFS(Direct_Capex_Composition!$BG$7:$BG$122,Direct_Capex_Composition!$B$7:$B$122,Other_Tables!H$26,Direct_Capex_Composition!$H$7:$H$122,Other_Tables!$B30)</f>
        <v>2532.91170046651</v>
      </c>
      <c r="I30" s="27">
        <f>SUMIFS(Direct_Capex_Composition!$BG$7:$BG$122,Direct_Capex_Composition!$B$7:$B$122,Other_Tables!I$26,Direct_Capex_Composition!$H$7:$H$122,Other_Tables!$B30)</f>
        <v>2406.2569030857308</v>
      </c>
      <c r="J30" s="27">
        <f>SUMIFS(Direct_Capex_Composition!$BG$7:$BG$122,Direct_Capex_Composition!$B$7:$B$122,Other_Tables!J$26,Direct_Capex_Composition!$H$7:$H$122,Other_Tables!$B30)</f>
        <v>4800.0715931734403</v>
      </c>
      <c r="K30" s="27">
        <f>SUMIFS(Direct_Capex_Composition!$BG$7:$BG$122,Direct_Capex_Composition!$B$7:$B$122,Other_Tables!K$26,Direct_Capex_Composition!$H$7:$H$122,Other_Tables!$B30)</f>
        <v>0</v>
      </c>
      <c r="L30" s="28">
        <f t="shared" si="8"/>
        <v>25872.345636514379</v>
      </c>
    </row>
    <row r="31" spans="2:22" x14ac:dyDescent="0.3">
      <c r="B31" t="s">
        <v>180</v>
      </c>
      <c r="C31" s="27">
        <f>SUMIFS(Direct_Capex_Composition!$BG$7:$BG$122,Direct_Capex_Composition!$B$7:$B$122,Other_Tables!C$26,Direct_Capex_Composition!$H$7:$H$122,Other_Tables!$B31)</f>
        <v>2111.4114739283018</v>
      </c>
      <c r="D31" s="27">
        <f>SUMIFS(Direct_Capex_Composition!$BG$7:$BG$122,Direct_Capex_Composition!$B$7:$B$122,Other_Tables!D$26,Direct_Capex_Composition!$H$7:$H$122,Other_Tables!$B31)</f>
        <v>3955.9117472967528</v>
      </c>
      <c r="E31" s="27">
        <f>SUMIFS(Direct_Capex_Composition!$BG$7:$BG$122,Direct_Capex_Composition!$B$7:$B$122,Other_Tables!E$26,Direct_Capex_Composition!$H$7:$H$122,Other_Tables!$B31)</f>
        <v>3968.8293992943004</v>
      </c>
      <c r="F31" s="27">
        <f>SUMIFS(Direct_Capex_Composition!$BG$7:$BG$122,Direct_Capex_Composition!$B$7:$B$122,Other_Tables!F$26,Direct_Capex_Composition!$H$7:$H$122,Other_Tables!$B31)</f>
        <v>3721.0046223184136</v>
      </c>
      <c r="G31" s="27">
        <f>SUMIFS(Direct_Capex_Composition!$BG$7:$BG$122,Direct_Capex_Composition!$B$7:$B$122,Other_Tables!G$26,Direct_Capex_Composition!$H$7:$H$122,Other_Tables!$B31)</f>
        <v>4304.957615831212</v>
      </c>
      <c r="H31" s="27">
        <f>SUMIFS(Direct_Capex_Composition!$BG$7:$BG$122,Direct_Capex_Composition!$B$7:$B$122,Other_Tables!H$26,Direct_Capex_Composition!$H$7:$H$122,Other_Tables!$B31)</f>
        <v>3958.3006758275551</v>
      </c>
      <c r="I31" s="27">
        <f>SUMIFS(Direct_Capex_Composition!$BG$7:$BG$122,Direct_Capex_Composition!$B$7:$B$122,Other_Tables!I$26,Direct_Capex_Composition!$H$7:$H$122,Other_Tables!$B31)</f>
        <v>3649.678937430805</v>
      </c>
      <c r="J31" s="27">
        <f>SUMIFS(Direct_Capex_Composition!$BG$7:$BG$122,Direct_Capex_Composition!$B$7:$B$122,Other_Tables!J$26,Direct_Capex_Composition!$H$7:$H$122,Other_Tables!$B31)</f>
        <v>3646.3891295785716</v>
      </c>
      <c r="K31" s="27">
        <f>SUMIFS(Direct_Capex_Composition!$BG$7:$BG$122,Direct_Capex_Composition!$B$7:$B$122,Other_Tables!K$26,Direct_Capex_Composition!$H$7:$H$122,Other_Tables!$B31)</f>
        <v>0</v>
      </c>
      <c r="L31" s="28">
        <f t="shared" si="8"/>
        <v>29316.483601505915</v>
      </c>
    </row>
    <row r="32" spans="2:22" x14ac:dyDescent="0.3">
      <c r="B32" t="s">
        <v>179</v>
      </c>
      <c r="C32" s="27">
        <f>SUMIFS(Direct_Capex_Composition!$BG$7:$BG$122,Direct_Capex_Composition!$B$7:$B$122,Other_Tables!C$26,Direct_Capex_Composition!$H$7:$H$122,Other_Tables!$B32)</f>
        <v>0</v>
      </c>
      <c r="D32" s="27">
        <f>SUMIFS(Direct_Capex_Composition!$BG$7:$BG$122,Direct_Capex_Composition!$B$7:$B$122,Other_Tables!D$26,Direct_Capex_Composition!$H$7:$H$122,Other_Tables!$B32)</f>
        <v>0</v>
      </c>
      <c r="E32" s="27">
        <f>SUMIFS(Direct_Capex_Composition!$BG$7:$BG$122,Direct_Capex_Composition!$B$7:$B$122,Other_Tables!E$26,Direct_Capex_Composition!$H$7:$H$122,Other_Tables!$B32)</f>
        <v>0</v>
      </c>
      <c r="F32" s="27">
        <f>SUMIFS(Direct_Capex_Composition!$BG$7:$BG$122,Direct_Capex_Composition!$B$7:$B$122,Other_Tables!F$26,Direct_Capex_Composition!$H$7:$H$122,Other_Tables!$B32)</f>
        <v>0</v>
      </c>
      <c r="G32" s="27">
        <f>SUMIFS(Direct_Capex_Composition!$BG$7:$BG$122,Direct_Capex_Composition!$B$7:$B$122,Other_Tables!G$26,Direct_Capex_Composition!$H$7:$H$122,Other_Tables!$B32)</f>
        <v>0</v>
      </c>
      <c r="H32" s="27">
        <f>SUMIFS(Direct_Capex_Composition!$BG$7:$BG$122,Direct_Capex_Composition!$B$7:$B$122,Other_Tables!H$26,Direct_Capex_Composition!$H$7:$H$122,Other_Tables!$B32)</f>
        <v>0</v>
      </c>
      <c r="I32" s="27">
        <f>SUMIFS(Direct_Capex_Composition!$BG$7:$BG$122,Direct_Capex_Composition!$B$7:$B$122,Other_Tables!I$26,Direct_Capex_Composition!$H$7:$H$122,Other_Tables!$B32)</f>
        <v>0</v>
      </c>
      <c r="J32" s="27">
        <f>SUMIFS(Direct_Capex_Composition!$BG$7:$BG$122,Direct_Capex_Composition!$B$7:$B$122,Other_Tables!J$26,Direct_Capex_Composition!$H$7:$H$122,Other_Tables!$B32)</f>
        <v>0</v>
      </c>
      <c r="K32" s="27">
        <f>SUMIFS(Direct_Capex_Composition!$BG$7:$BG$122,Direct_Capex_Composition!$B$7:$B$122,Other_Tables!K$26,Direct_Capex_Composition!$H$7:$H$122,Other_Tables!$B32)</f>
        <v>0</v>
      </c>
      <c r="L32" s="28">
        <f t="shared" si="8"/>
        <v>0</v>
      </c>
    </row>
    <row r="33" spans="2:13" x14ac:dyDescent="0.3">
      <c r="B33" t="s">
        <v>198</v>
      </c>
      <c r="C33" s="27">
        <f>SUMIFS(Direct_Capex_Composition!$BG$7:$BG$122,Direct_Capex_Composition!$B$7:$B$122,Other_Tables!C$26,Direct_Capex_Composition!$H$7:$H$122,Other_Tables!$B33)</f>
        <v>0</v>
      </c>
      <c r="D33" s="27">
        <f>SUMIFS(Direct_Capex_Composition!$BG$7:$BG$122,Direct_Capex_Composition!$B$7:$B$122,Other_Tables!D$26,Direct_Capex_Composition!$H$7:$H$122,Other_Tables!$B33)</f>
        <v>0</v>
      </c>
      <c r="E33" s="27">
        <f>SUMIFS(Direct_Capex_Composition!$BG$7:$BG$122,Direct_Capex_Composition!$B$7:$B$122,Other_Tables!E$26,Direct_Capex_Composition!$H$7:$H$122,Other_Tables!$B33)</f>
        <v>0</v>
      </c>
      <c r="F33" s="27">
        <f>SUMIFS(Direct_Capex_Composition!$BG$7:$BG$122,Direct_Capex_Composition!$B$7:$B$122,Other_Tables!F$26,Direct_Capex_Composition!$H$7:$H$122,Other_Tables!$B33)</f>
        <v>0</v>
      </c>
      <c r="G33" s="27">
        <f>SUMIFS(Direct_Capex_Composition!$BG$7:$BG$122,Direct_Capex_Composition!$B$7:$B$122,Other_Tables!G$26,Direct_Capex_Composition!$H$7:$H$122,Other_Tables!$B33)</f>
        <v>0</v>
      </c>
      <c r="H33" s="27">
        <f>SUMIFS(Direct_Capex_Composition!$BG$7:$BG$122,Direct_Capex_Composition!$B$7:$B$122,Other_Tables!H$26,Direct_Capex_Composition!$H$7:$H$122,Other_Tables!$B33)</f>
        <v>0</v>
      </c>
      <c r="I33" s="27">
        <f>SUMIFS(Direct_Capex_Composition!$BG$7:$BG$122,Direct_Capex_Composition!$B$7:$B$122,Other_Tables!I$26,Direct_Capex_Composition!$H$7:$H$122,Other_Tables!$B33)</f>
        <v>0</v>
      </c>
      <c r="J33" s="27">
        <f>SUMIFS(Direct_Capex_Composition!$BG$7:$BG$122,Direct_Capex_Composition!$B$7:$B$122,Other_Tables!J$26,Direct_Capex_Composition!$H$7:$H$122,Other_Tables!$B33)</f>
        <v>0</v>
      </c>
      <c r="K33" s="27">
        <f>SUMIFS(Direct_Capex_Composition!$BG$7:$BG$122,Direct_Capex_Composition!$B$7:$B$122,Other_Tables!K$26,Direct_Capex_Composition!$H$7:$H$122,Other_Tables!$B33)</f>
        <v>0</v>
      </c>
      <c r="L33" s="28">
        <f t="shared" si="8"/>
        <v>0</v>
      </c>
    </row>
    <row r="34" spans="2:13" x14ac:dyDescent="0.3">
      <c r="B34" s="25" t="s">
        <v>138</v>
      </c>
      <c r="C34" s="36">
        <f t="shared" ref="C34:L34" si="9">SUM(C27:C33)</f>
        <v>6339.4207319201159</v>
      </c>
      <c r="D34" s="36">
        <f t="shared" si="9"/>
        <v>13389.144291293189</v>
      </c>
      <c r="E34" s="36">
        <f t="shared" si="9"/>
        <v>13534.156104510745</v>
      </c>
      <c r="F34" s="36">
        <f t="shared" si="9"/>
        <v>18746.779104727859</v>
      </c>
      <c r="G34" s="36">
        <f t="shared" si="9"/>
        <v>17132.329030286564</v>
      </c>
      <c r="H34" s="36">
        <f t="shared" si="9"/>
        <v>15197.709847248989</v>
      </c>
      <c r="I34" s="36">
        <f t="shared" si="9"/>
        <v>15035.469313652136</v>
      </c>
      <c r="J34" s="36">
        <f t="shared" si="9"/>
        <v>14602.407429868563</v>
      </c>
      <c r="K34" s="36">
        <f t="shared" si="9"/>
        <v>0</v>
      </c>
      <c r="L34" s="36">
        <f t="shared" si="9"/>
        <v>113977.41585350817</v>
      </c>
      <c r="M34" s="19">
        <f>L34/Thousands-M5</f>
        <v>0</v>
      </c>
    </row>
    <row r="35" spans="2:13" x14ac:dyDescent="0.3">
      <c r="C35" s="28"/>
      <c r="D35" s="28"/>
      <c r="E35" s="28"/>
      <c r="F35" s="28"/>
      <c r="G35" s="28"/>
      <c r="H35" s="28"/>
      <c r="I35" s="28"/>
      <c r="J35" s="28"/>
      <c r="K35" s="28"/>
    </row>
    <row r="36" spans="2:13" x14ac:dyDescent="0.3">
      <c r="B36" t="s">
        <v>187</v>
      </c>
      <c r="C36" s="27">
        <f t="array" ref="C36:K36">TRANSPOSE(Direct_Capex_Composition!$BG$140:$BG$148)</f>
        <v>6339.4207319201178</v>
      </c>
      <c r="D36" s="27">
        <v>13389.144291293191</v>
      </c>
      <c r="E36" s="27">
        <v>13534.156104510746</v>
      </c>
      <c r="F36" s="27">
        <v>18746.779104727859</v>
      </c>
      <c r="G36" s="27">
        <v>17132.329030286564</v>
      </c>
      <c r="H36" s="27">
        <v>15197.709847248989</v>
      </c>
      <c r="I36" s="27">
        <v>15035.469313652136</v>
      </c>
      <c r="J36" s="27">
        <v>14602.407429868563</v>
      </c>
      <c r="K36" s="27">
        <v>0</v>
      </c>
      <c r="L36" s="27">
        <f>Direct_Capex_Composition!BG150-Direct_Capex_Composition!BG149</f>
        <v>113977.41585350817</v>
      </c>
    </row>
    <row r="37" spans="2:13" x14ac:dyDescent="0.3">
      <c r="B37" s="40" t="s">
        <v>55</v>
      </c>
      <c r="C37" s="193">
        <f t="shared" ref="C37:L37" si="10">C34-C36</f>
        <v>0</v>
      </c>
      <c r="D37" s="193">
        <f t="shared" si="10"/>
        <v>0</v>
      </c>
      <c r="E37" s="193">
        <f t="shared" si="10"/>
        <v>0</v>
      </c>
      <c r="F37" s="193">
        <f t="shared" si="10"/>
        <v>0</v>
      </c>
      <c r="G37" s="193">
        <f t="shared" si="10"/>
        <v>0</v>
      </c>
      <c r="H37" s="193">
        <f t="shared" si="10"/>
        <v>0</v>
      </c>
      <c r="I37" s="193">
        <f t="shared" si="10"/>
        <v>0</v>
      </c>
      <c r="J37" s="193">
        <f t="shared" si="10"/>
        <v>0</v>
      </c>
      <c r="K37" s="193">
        <f t="shared" si="10"/>
        <v>0</v>
      </c>
      <c r="L37" s="193">
        <f t="shared" si="10"/>
        <v>0</v>
      </c>
    </row>
    <row r="38" spans="2:13" x14ac:dyDescent="0.3">
      <c r="C38" s="28"/>
      <c r="D38" s="28"/>
      <c r="E38" s="28"/>
      <c r="F38" s="28"/>
      <c r="G38" s="28"/>
      <c r="H38" s="28"/>
      <c r="I38" s="28"/>
      <c r="J38" s="28"/>
      <c r="K38" s="28"/>
    </row>
    <row r="39" spans="2:13" x14ac:dyDescent="0.3">
      <c r="B39" t="s">
        <v>193</v>
      </c>
      <c r="C39" s="475" t="str">
        <f>STN_1</f>
        <v>RWN</v>
      </c>
      <c r="D39" s="475" t="str">
        <f>STN_2</f>
        <v>ELM</v>
      </c>
      <c r="E39" s="475" t="str">
        <f>STN_3</f>
        <v>FGY</v>
      </c>
      <c r="F39" s="475" t="str">
        <f>STN_4</f>
        <v>WOTS22</v>
      </c>
      <c r="G39" s="475" t="str">
        <f>STN_5</f>
        <v>MOE</v>
      </c>
      <c r="H39" s="475" t="str">
        <f>STN_6</f>
        <v>BGE</v>
      </c>
      <c r="I39" s="475" t="str">
        <f>STN_7</f>
        <v>LDL</v>
      </c>
      <c r="J39" s="475" t="str">
        <f>STN_8</f>
        <v>BDL</v>
      </c>
      <c r="K39" s="475" t="str">
        <f>STN_9</f>
        <v>[spare]</v>
      </c>
      <c r="L39" s="181" t="s">
        <v>188</v>
      </c>
    </row>
    <row r="40" spans="2:13" x14ac:dyDescent="0.3">
      <c r="B40" t="s">
        <v>178</v>
      </c>
      <c r="C40" s="15">
        <f>IF(ISERR(C27/C$34),0,C27/C$34)</f>
        <v>0.33813074172010849</v>
      </c>
      <c r="D40" s="15">
        <f t="shared" ref="D40:K40" si="11">IF(ISERR(D27/D$34),0,D27/D$34)</f>
        <v>0.30060800952317324</v>
      </c>
      <c r="E40" s="15">
        <f t="shared" si="11"/>
        <v>0.33886254112880326</v>
      </c>
      <c r="F40" s="15">
        <f t="shared" si="11"/>
        <v>0.17210825828286028</v>
      </c>
      <c r="G40" s="15">
        <f t="shared" si="11"/>
        <v>0.22987934049419961</v>
      </c>
      <c r="H40" s="15">
        <f t="shared" si="11"/>
        <v>0.24355204499745275</v>
      </c>
      <c r="I40" s="15">
        <f t="shared" si="11"/>
        <v>0.25511647851082359</v>
      </c>
      <c r="J40" s="15">
        <f t="shared" si="11"/>
        <v>0.22672157535900325</v>
      </c>
      <c r="K40" s="15">
        <f t="shared" si="11"/>
        <v>0</v>
      </c>
      <c r="L40" s="16">
        <f>AVERAGEIFS(C40:K40,C$39:K$39,"&lt;&gt;[spare]")</f>
        <v>0.26312237375205305</v>
      </c>
    </row>
    <row r="41" spans="2:13" x14ac:dyDescent="0.3">
      <c r="B41" t="s">
        <v>181</v>
      </c>
      <c r="C41" s="15">
        <f t="shared" ref="C41:K41" si="12">IF(ISERR(C28/C$34),0,C28/C$34)</f>
        <v>0</v>
      </c>
      <c r="D41" s="15">
        <f t="shared" si="12"/>
        <v>0</v>
      </c>
      <c r="E41" s="15">
        <f t="shared" si="12"/>
        <v>0</v>
      </c>
      <c r="F41" s="15">
        <f t="shared" si="12"/>
        <v>0</v>
      </c>
      <c r="G41" s="448">
        <f t="shared" si="12"/>
        <v>0</v>
      </c>
      <c r="H41" s="448">
        <f t="shared" si="12"/>
        <v>0</v>
      </c>
      <c r="I41" s="15">
        <f t="shared" si="12"/>
        <v>0</v>
      </c>
      <c r="J41" s="15">
        <f t="shared" si="12"/>
        <v>0</v>
      </c>
      <c r="K41" s="15">
        <f t="shared" si="12"/>
        <v>0</v>
      </c>
      <c r="L41" s="406">
        <f t="shared" ref="L41:L46" si="13">AVERAGEIFS(C41:K41,C$39:K$39,"&lt;&gt;[spare]")</f>
        <v>0</v>
      </c>
    </row>
    <row r="42" spans="2:13" x14ac:dyDescent="0.3">
      <c r="B42" t="s">
        <v>176</v>
      </c>
      <c r="C42" s="15">
        <f t="shared" ref="C42:K42" si="14">IF(ISERR(C29/C$34),0,C29/C$34)</f>
        <v>0.10769622518742529</v>
      </c>
      <c r="D42" s="15">
        <f t="shared" si="14"/>
        <v>0.20320058812593964</v>
      </c>
      <c r="E42" s="15">
        <f t="shared" si="14"/>
        <v>0.15557560784096799</v>
      </c>
      <c r="F42" s="15">
        <f t="shared" si="14"/>
        <v>0.35505502224837948</v>
      </c>
      <c r="G42" s="15">
        <f t="shared" si="14"/>
        <v>0.28378938243995283</v>
      </c>
      <c r="H42" s="15">
        <f t="shared" si="14"/>
        <v>0.32933015623307865</v>
      </c>
      <c r="I42" s="15">
        <f t="shared" si="14"/>
        <v>0.34210687952444752</v>
      </c>
      <c r="J42" s="15">
        <f t="shared" si="14"/>
        <v>0.19484909623620511</v>
      </c>
      <c r="K42" s="15">
        <f t="shared" si="14"/>
        <v>0</v>
      </c>
      <c r="L42" s="16">
        <f t="shared" si="13"/>
        <v>0.24645036972954956</v>
      </c>
    </row>
    <row r="43" spans="2:13" x14ac:dyDescent="0.3">
      <c r="B43" t="s">
        <v>177</v>
      </c>
      <c r="C43" s="15">
        <f t="shared" ref="C43:K43" si="15">IF(ISERR(C30/C$34),0,C30/C$34)</f>
        <v>0.22111240133837426</v>
      </c>
      <c r="D43" s="15">
        <f t="shared" si="15"/>
        <v>0.20073475021298784</v>
      </c>
      <c r="E43" s="15">
        <f t="shared" si="15"/>
        <v>0.21231642304439785</v>
      </c>
      <c r="F43" s="15">
        <f t="shared" si="15"/>
        <v>0.27434904318414505</v>
      </c>
      <c r="G43" s="15">
        <f t="shared" si="15"/>
        <v>0.23505443033818418</v>
      </c>
      <c r="H43" s="15">
        <f t="shared" si="15"/>
        <v>0.16666403859032777</v>
      </c>
      <c r="I43" s="15">
        <f t="shared" si="15"/>
        <v>0.16003869602532864</v>
      </c>
      <c r="J43" s="15">
        <f t="shared" si="15"/>
        <v>0.32871782384013687</v>
      </c>
      <c r="K43" s="15">
        <f t="shared" si="15"/>
        <v>0</v>
      </c>
      <c r="L43" s="16">
        <f t="shared" si="13"/>
        <v>0.22487345082173529</v>
      </c>
    </row>
    <row r="44" spans="2:13" x14ac:dyDescent="0.3">
      <c r="B44" t="s">
        <v>180</v>
      </c>
      <c r="C44" s="15">
        <f t="shared" ref="C44:K44" si="16">IF(ISERR(C31/C$34),0,C31/C$34)</f>
        <v>0.33306063175409195</v>
      </c>
      <c r="D44" s="15">
        <f t="shared" si="16"/>
        <v>0.29545665213789934</v>
      </c>
      <c r="E44" s="15">
        <f t="shared" si="16"/>
        <v>0.29324542798583098</v>
      </c>
      <c r="F44" s="15">
        <f t="shared" si="16"/>
        <v>0.19848767628461531</v>
      </c>
      <c r="G44" s="15">
        <f t="shared" si="16"/>
        <v>0.25127684672766321</v>
      </c>
      <c r="H44" s="15">
        <f t="shared" si="16"/>
        <v>0.26045376017914085</v>
      </c>
      <c r="I44" s="15">
        <f t="shared" si="16"/>
        <v>0.24273794593940035</v>
      </c>
      <c r="J44" s="15">
        <f t="shared" si="16"/>
        <v>0.24971150456465471</v>
      </c>
      <c r="K44" s="15">
        <f t="shared" si="16"/>
        <v>0</v>
      </c>
      <c r="L44" s="16">
        <f t="shared" si="13"/>
        <v>0.26555380569666204</v>
      </c>
    </row>
    <row r="45" spans="2:13" x14ac:dyDescent="0.3">
      <c r="B45" t="s">
        <v>179</v>
      </c>
      <c r="C45" s="197">
        <f t="shared" ref="C45:K45" si="17">IF(ISERR(C32/C$34),0,C32/C$34)</f>
        <v>0</v>
      </c>
      <c r="D45" s="197">
        <f t="shared" si="17"/>
        <v>0</v>
      </c>
      <c r="E45" s="197">
        <f t="shared" si="17"/>
        <v>0</v>
      </c>
      <c r="F45" s="197">
        <f t="shared" si="17"/>
        <v>0</v>
      </c>
      <c r="G45" s="197">
        <f t="shared" si="17"/>
        <v>0</v>
      </c>
      <c r="H45" s="197">
        <f t="shared" si="17"/>
        <v>0</v>
      </c>
      <c r="I45" s="197">
        <f t="shared" si="17"/>
        <v>0</v>
      </c>
      <c r="J45" s="197">
        <f t="shared" si="17"/>
        <v>0</v>
      </c>
      <c r="K45" s="197">
        <f t="shared" si="17"/>
        <v>0</v>
      </c>
      <c r="L45" s="198">
        <f t="shared" si="13"/>
        <v>0</v>
      </c>
    </row>
    <row r="46" spans="2:13" x14ac:dyDescent="0.3">
      <c r="B46" t="s">
        <v>198</v>
      </c>
      <c r="C46" s="194">
        <f t="shared" ref="C46:K46" si="18">IF(ISERR(C33/C$34),0,C33/C$34)</f>
        <v>0</v>
      </c>
      <c r="D46" s="194">
        <f t="shared" si="18"/>
        <v>0</v>
      </c>
      <c r="E46" s="194">
        <f t="shared" si="18"/>
        <v>0</v>
      </c>
      <c r="F46" s="452">
        <f t="shared" si="18"/>
        <v>0</v>
      </c>
      <c r="G46" s="194">
        <f t="shared" si="18"/>
        <v>0</v>
      </c>
      <c r="H46" s="194">
        <f t="shared" si="18"/>
        <v>0</v>
      </c>
      <c r="I46" s="194">
        <f t="shared" si="18"/>
        <v>0</v>
      </c>
      <c r="J46" s="194">
        <f t="shared" si="18"/>
        <v>0</v>
      </c>
      <c r="K46" s="194">
        <f t="shared" si="18"/>
        <v>0</v>
      </c>
      <c r="L46" s="195">
        <f t="shared" si="13"/>
        <v>0</v>
      </c>
    </row>
    <row r="47" spans="2:13" x14ac:dyDescent="0.3">
      <c r="B47" s="25" t="s">
        <v>6</v>
      </c>
      <c r="C47" s="16">
        <f t="shared" ref="C47:L47" si="19">SUM(C40:C46)</f>
        <v>1</v>
      </c>
      <c r="D47" s="16">
        <f t="shared" si="19"/>
        <v>1</v>
      </c>
      <c r="E47" s="16">
        <f t="shared" si="19"/>
        <v>1</v>
      </c>
      <c r="F47" s="16">
        <f t="shared" si="19"/>
        <v>1</v>
      </c>
      <c r="G47" s="16">
        <f t="shared" si="19"/>
        <v>0.99999999999999978</v>
      </c>
      <c r="H47" s="16">
        <f t="shared" si="19"/>
        <v>1</v>
      </c>
      <c r="I47" s="16">
        <f t="shared" si="19"/>
        <v>1</v>
      </c>
      <c r="J47" s="16">
        <f t="shared" si="19"/>
        <v>1</v>
      </c>
      <c r="K47" s="16">
        <f t="shared" si="19"/>
        <v>0</v>
      </c>
      <c r="L47" s="16">
        <f t="shared" si="19"/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3" tint="0.59999389629810485"/>
  </sheetPr>
  <dimension ref="B1:U67"/>
  <sheetViews>
    <sheetView topLeftCell="A43" zoomScale="85" zoomScaleNormal="85" workbookViewId="0"/>
  </sheetViews>
  <sheetFormatPr defaultRowHeight="14.4" x14ac:dyDescent="0.3"/>
  <cols>
    <col min="1" max="1" width="3.6640625" customWidth="1"/>
    <col min="2" max="2" width="44.88671875" customWidth="1"/>
    <col min="3" max="7" width="8" customWidth="1"/>
    <col min="8" max="8" width="9.44140625" customWidth="1"/>
    <col min="9" max="9" width="8.33203125" customWidth="1"/>
    <col min="10" max="10" width="31.6640625" customWidth="1"/>
  </cols>
  <sheetData>
    <row r="1" spans="2:17" ht="15.6" x14ac:dyDescent="0.3">
      <c r="B1" s="133" t="s">
        <v>54</v>
      </c>
    </row>
    <row r="2" spans="2:17" x14ac:dyDescent="0.3">
      <c r="B2" s="22"/>
    </row>
    <row r="3" spans="2:17" x14ac:dyDescent="0.3">
      <c r="B3" s="25" t="s">
        <v>25</v>
      </c>
      <c r="J3" s="25" t="s">
        <v>29</v>
      </c>
    </row>
    <row r="4" spans="2:17" x14ac:dyDescent="0.3">
      <c r="B4" t="s">
        <v>57</v>
      </c>
      <c r="J4" t="s">
        <v>58</v>
      </c>
    </row>
    <row r="5" spans="2:17" x14ac:dyDescent="0.3">
      <c r="B5" s="25" t="s">
        <v>459</v>
      </c>
      <c r="C5" s="4">
        <v>2016</v>
      </c>
      <c r="D5" s="4">
        <v>2017</v>
      </c>
      <c r="E5" s="4">
        <v>2018</v>
      </c>
      <c r="F5" s="4">
        <v>2019</v>
      </c>
      <c r="G5" s="4">
        <v>2020</v>
      </c>
      <c r="H5" s="4" t="s">
        <v>6</v>
      </c>
      <c r="K5" s="4">
        <v>2016</v>
      </c>
      <c r="L5" s="4">
        <v>2017</v>
      </c>
      <c r="M5" s="4">
        <v>2018</v>
      </c>
      <c r="N5" s="4">
        <v>2019</v>
      </c>
      <c r="O5" s="4">
        <v>2020</v>
      </c>
      <c r="P5" s="4" t="s">
        <v>6</v>
      </c>
    </row>
    <row r="6" spans="2:17" x14ac:dyDescent="0.3">
      <c r="B6" t="s">
        <v>18</v>
      </c>
      <c r="C6" s="38">
        <f>Direct_Summary!D55/Thousands</f>
        <v>0</v>
      </c>
      <c r="D6" s="38">
        <f>Direct_Summary!E55/Thousands</f>
        <v>0</v>
      </c>
      <c r="E6" s="38">
        <f>Direct_Summary!F55/Thousands</f>
        <v>4.137547615818586</v>
      </c>
      <c r="F6" s="38">
        <f>Direct_Summary!G55/Thousands</f>
        <v>18.91602963034163</v>
      </c>
      <c r="G6" s="38">
        <f>Direct_Summary!H55/Thousands</f>
        <v>5.9931046401062744</v>
      </c>
      <c r="H6" s="14">
        <f>SUM(C6:G6)</f>
        <v>29.046681886266491</v>
      </c>
      <c r="J6" t="s">
        <v>468</v>
      </c>
      <c r="K6" s="6">
        <f>Opex_Inputs!C17/Thousands</f>
        <v>0</v>
      </c>
      <c r="L6" s="6">
        <f>Opex_Inputs!D17/Thousands</f>
        <v>0</v>
      </c>
      <c r="M6" s="6">
        <f>Opex_Inputs!E17/Thousands</f>
        <v>2.4419464938443172E-2</v>
      </c>
      <c r="N6" s="6">
        <f>Opex_Inputs!F17/Thousands</f>
        <v>2.097396665033266</v>
      </c>
      <c r="O6" s="6">
        <f>Opex_Inputs!G17/Thousands</f>
        <v>2.2250905743592795</v>
      </c>
      <c r="P6" s="14">
        <f>SUM(K6:O6)</f>
        <v>4.3469067043309888</v>
      </c>
    </row>
    <row r="7" spans="2:17" x14ac:dyDescent="0.3">
      <c r="B7" t="s">
        <v>19</v>
      </c>
      <c r="C7" s="38">
        <f>Direct_Summary!D59/Thousands</f>
        <v>0</v>
      </c>
      <c r="D7" s="38">
        <f>Direct_Summary!E59/Thousands</f>
        <v>0</v>
      </c>
      <c r="E7" s="38">
        <f>Direct_Summary!F59/Thousands</f>
        <v>11.793546190360697</v>
      </c>
      <c r="F7" s="38">
        <f>Direct_Summary!G59/Thousands</f>
        <v>34.405354081794442</v>
      </c>
      <c r="G7" s="38">
        <f>Direct_Summary!H59/Thousands</f>
        <v>29.147661768334519</v>
      </c>
      <c r="H7" s="14">
        <f t="shared" ref="H7:H13" si="0">SUM(C7:G7)</f>
        <v>75.346562040489658</v>
      </c>
      <c r="J7" t="s">
        <v>28</v>
      </c>
      <c r="K7" s="46">
        <f>Escalators!D39*Opex_Inputs!C17/Thousands*(Escalators!D36-1)</f>
        <v>0</v>
      </c>
      <c r="L7" s="46">
        <f>Escalators!E39*Opex_Inputs!D17/Thousands*(Escalators!E36-1)</f>
        <v>0</v>
      </c>
      <c r="M7" s="46">
        <f>Escalators!F39*Opex_Inputs!E17/Thousands*(Escalators!F36-1)</f>
        <v>2.3703380513588661E-4</v>
      </c>
      <c r="N7" s="46">
        <f>Escalators!G39*Opex_Inputs!F17/Thousands*(Escalators!G36-1)</f>
        <v>3.3003314909241056E-2</v>
      </c>
      <c r="O7" s="46">
        <f>Escalators!H39*Opex_Inputs!G17/Thousands*(Escalators!H36-1)</f>
        <v>4.9431202357103424E-2</v>
      </c>
      <c r="P7" s="11">
        <f>SUM(K7:O7)</f>
        <v>8.2671551071480359E-2</v>
      </c>
      <c r="Q7" s="35">
        <f>P7/P6</f>
        <v>1.9018478355910317E-2</v>
      </c>
    </row>
    <row r="8" spans="2:17" x14ac:dyDescent="0.3">
      <c r="B8" t="s">
        <v>20</v>
      </c>
      <c r="C8" s="38"/>
      <c r="D8" s="38"/>
      <c r="E8" s="38"/>
      <c r="F8" s="38"/>
      <c r="G8" s="38"/>
      <c r="H8" s="14">
        <f t="shared" si="0"/>
        <v>0</v>
      </c>
      <c r="J8" s="25" t="s">
        <v>469</v>
      </c>
      <c r="K8" s="132">
        <f>SUM(K6:K7)</f>
        <v>0</v>
      </c>
      <c r="L8" s="132">
        <f t="shared" ref="L8:P8" si="1">SUM(L6:L7)</f>
        <v>0</v>
      </c>
      <c r="M8" s="132">
        <f t="shared" si="1"/>
        <v>2.4656498743579058E-2</v>
      </c>
      <c r="N8" s="132">
        <f t="shared" si="1"/>
        <v>2.1303999799425073</v>
      </c>
      <c r="O8" s="132">
        <f t="shared" si="1"/>
        <v>2.2745217767163828</v>
      </c>
      <c r="P8" s="507">
        <f t="shared" si="1"/>
        <v>4.4295782554024692</v>
      </c>
    </row>
    <row r="9" spans="2:17" x14ac:dyDescent="0.3">
      <c r="B9" t="s">
        <v>21</v>
      </c>
      <c r="C9" s="390"/>
      <c r="D9" s="390"/>
      <c r="E9" s="390"/>
      <c r="F9" s="390"/>
      <c r="G9" s="390"/>
      <c r="H9" s="14">
        <f t="shared" si="0"/>
        <v>0</v>
      </c>
      <c r="J9" s="40" t="s">
        <v>55</v>
      </c>
      <c r="K9" s="203">
        <f>K8-(Opex_Inputs!C17/Thousands*Escalators!D40+Opex_Inputs!C17/Thousands*Escalators!D39*Escalators!D36)</f>
        <v>0</v>
      </c>
      <c r="L9" s="203">
        <f>L8-(Opex_Inputs!D17/Thousands*Escalators!E40+Opex_Inputs!D17/Thousands*Escalators!E39*Escalators!E36)</f>
        <v>0</v>
      </c>
      <c r="M9" s="203">
        <f>M8-(Opex_Inputs!E17/Thousands*Escalators!F40+Opex_Inputs!E17/Thousands*Escalators!F39*Escalators!F36)</f>
        <v>0</v>
      </c>
      <c r="N9" s="203">
        <f>N8-(Opex_Inputs!F17/Thousands*Escalators!G40+Opex_Inputs!F17/Thousands*Escalators!G39*Escalators!G36)</f>
        <v>0</v>
      </c>
      <c r="O9" s="203">
        <f>O8-(Opex_Inputs!G17/Thousands*Escalators!H40+Opex_Inputs!G17/Thousands*Escalators!H39*Escalators!H36)</f>
        <v>0</v>
      </c>
      <c r="P9" s="5"/>
    </row>
    <row r="10" spans="2:17" x14ac:dyDescent="0.3">
      <c r="B10" t="s">
        <v>22</v>
      </c>
      <c r="C10" s="38">
        <f>Direct_Summary!D63/Thousands</f>
        <v>0</v>
      </c>
      <c r="D10" s="38">
        <f>Direct_Summary!E63/Thousands</f>
        <v>0</v>
      </c>
      <c r="E10" s="38">
        <f>Direct_Summary!F63/Thousands</f>
        <v>3.1008926669302816</v>
      </c>
      <c r="F10" s="38">
        <f>Direct_Summary!G63/Thousands</f>
        <v>20.971316837409958</v>
      </c>
      <c r="G10" s="38">
        <f>Direct_Summary!H63/Thousands</f>
        <v>5.9773914705703488</v>
      </c>
      <c r="H10" s="14">
        <f t="shared" si="0"/>
        <v>30.049600974910589</v>
      </c>
    </row>
    <row r="11" spans="2:17" x14ac:dyDescent="0.3">
      <c r="B11" t="s">
        <v>23</v>
      </c>
      <c r="C11" s="390">
        <f>Direct_Summary!D65/Thousands</f>
        <v>0</v>
      </c>
      <c r="D11" s="390">
        <f>Direct_Summary!E65/Thousands</f>
        <v>0</v>
      </c>
      <c r="E11" s="390">
        <f>Direct_Summary!F65/Thousands</f>
        <v>0</v>
      </c>
      <c r="F11" s="390">
        <f>Direct_Summary!G65/Thousands</f>
        <v>0</v>
      </c>
      <c r="G11" s="390">
        <f>Direct_Summary!H65/Thousands</f>
        <v>0</v>
      </c>
      <c r="H11" s="14">
        <f t="shared" si="0"/>
        <v>0</v>
      </c>
      <c r="K11" s="6"/>
      <c r="L11" s="6"/>
      <c r="M11" s="6"/>
      <c r="N11" s="6"/>
      <c r="O11" s="6"/>
      <c r="P11" s="14"/>
    </row>
    <row r="12" spans="2:17" x14ac:dyDescent="0.3">
      <c r="B12" t="s">
        <v>24</v>
      </c>
      <c r="C12" s="390">
        <f>Direct_Summary!D66/Thousands</f>
        <v>0</v>
      </c>
      <c r="D12" s="390">
        <f>Direct_Summary!E66/Thousands</f>
        <v>0</v>
      </c>
      <c r="E12" s="390">
        <f>Direct_Summary!F66/Thousands</f>
        <v>0</v>
      </c>
      <c r="F12" s="390">
        <f>Direct_Summary!G66/Thousands</f>
        <v>0.51075778604651156</v>
      </c>
      <c r="G12" s="390">
        <f>Direct_Summary!H66/Thousands</f>
        <v>1.5322733581395347</v>
      </c>
      <c r="H12" s="14">
        <f t="shared" si="0"/>
        <v>2.0430311441860463</v>
      </c>
      <c r="K12" s="19"/>
      <c r="L12" s="19"/>
      <c r="M12" s="19"/>
      <c r="N12" s="19"/>
      <c r="O12" s="19"/>
      <c r="P12" s="14"/>
    </row>
    <row r="13" spans="2:17" x14ac:dyDescent="0.3">
      <c r="B13" t="s">
        <v>195</v>
      </c>
      <c r="C13" s="390">
        <f>Direct_Summary!D67/Thousands</f>
        <v>0</v>
      </c>
      <c r="D13" s="390">
        <f>Direct_Summary!E67/Thousands</f>
        <v>0</v>
      </c>
      <c r="E13" s="390">
        <f>Direct_Summary!F67/Thousands</f>
        <v>0</v>
      </c>
      <c r="F13" s="390">
        <f>Direct_Summary!G67/Thousands</f>
        <v>0</v>
      </c>
      <c r="G13" s="390">
        <f>Direct_Summary!H67/Thousands</f>
        <v>0</v>
      </c>
      <c r="H13" s="14">
        <f t="shared" si="0"/>
        <v>0</v>
      </c>
    </row>
    <row r="14" spans="2:17" x14ac:dyDescent="0.3">
      <c r="B14" s="25" t="s">
        <v>128</v>
      </c>
      <c r="C14" s="131">
        <f>SUM(C6:C13)</f>
        <v>0</v>
      </c>
      <c r="D14" s="131">
        <f t="shared" ref="D14:H14" si="2">SUM(D6:D13)</f>
        <v>0</v>
      </c>
      <c r="E14" s="131">
        <f t="shared" si="2"/>
        <v>19.031986473109566</v>
      </c>
      <c r="F14" s="131">
        <f t="shared" si="2"/>
        <v>74.803458335592538</v>
      </c>
      <c r="G14" s="131">
        <f t="shared" si="2"/>
        <v>42.650431237150677</v>
      </c>
      <c r="H14" s="131">
        <f t="shared" si="2"/>
        <v>136.48587604585279</v>
      </c>
    </row>
    <row r="15" spans="2:17" x14ac:dyDescent="0.3">
      <c r="B15" s="40" t="s">
        <v>55</v>
      </c>
      <c r="C15" s="207">
        <f>C14-Capex_by_Purpose!C72/Thousands</f>
        <v>0</v>
      </c>
      <c r="D15" s="207">
        <f>D14-Capex_by_Purpose!D72/Thousands</f>
        <v>0</v>
      </c>
      <c r="E15" s="207">
        <f>E14-Capex_by_Purpose!E72/Thousands</f>
        <v>0</v>
      </c>
      <c r="F15" s="207">
        <f>F14-Capex_by_Purpose!F72/Thousands</f>
        <v>0</v>
      </c>
      <c r="G15" s="207">
        <f>G14-Capex_by_Purpose!G72/Thousands</f>
        <v>0</v>
      </c>
      <c r="H15" s="207">
        <f>H14-Direct_Summary!I69/Thousands</f>
        <v>0</v>
      </c>
    </row>
    <row r="17" spans="2:21" x14ac:dyDescent="0.3">
      <c r="B17" s="25" t="s">
        <v>460</v>
      </c>
      <c r="C17" s="4">
        <v>2016</v>
      </c>
      <c r="D17" s="4">
        <v>2017</v>
      </c>
      <c r="E17" s="4">
        <v>2018</v>
      </c>
      <c r="F17" s="4">
        <v>2019</v>
      </c>
      <c r="G17" s="4">
        <v>2020</v>
      </c>
      <c r="H17" s="4" t="s">
        <v>6</v>
      </c>
    </row>
    <row r="18" spans="2:21" x14ac:dyDescent="0.3">
      <c r="B18" t="s">
        <v>18</v>
      </c>
      <c r="C18" s="6">
        <f>Overheads!C79/Thousands</f>
        <v>0</v>
      </c>
      <c r="D18" s="6">
        <f>Overheads!D79/Thousands</f>
        <v>0</v>
      </c>
      <c r="E18" s="6">
        <f>Overheads!E79/Thousands</f>
        <v>0.11269128172120316</v>
      </c>
      <c r="F18" s="6">
        <f>Overheads!F79/Thousands</f>
        <v>0.51914894651069465</v>
      </c>
      <c r="G18" s="6">
        <f>Overheads!G79/Thousands</f>
        <v>0.16964239622072541</v>
      </c>
      <c r="H18" s="14">
        <f>SUM(C18:G18)</f>
        <v>0.80148262445262319</v>
      </c>
      <c r="K18" s="11"/>
      <c r="L18" s="11"/>
      <c r="M18" s="11"/>
      <c r="N18" s="11"/>
      <c r="O18" s="11"/>
      <c r="Q18" s="11"/>
      <c r="R18" s="11"/>
      <c r="S18" s="11"/>
      <c r="T18" s="11"/>
      <c r="U18" s="11"/>
    </row>
    <row r="19" spans="2:21" x14ac:dyDescent="0.3">
      <c r="B19" t="s">
        <v>19</v>
      </c>
      <c r="C19" s="6">
        <f>Overheads!C80/Thousands</f>
        <v>0</v>
      </c>
      <c r="D19" s="6">
        <f>Overheads!D80/Thousands</f>
        <v>0</v>
      </c>
      <c r="E19" s="6">
        <f>Overheads!E80/Thousands</f>
        <v>0.32121197376649896</v>
      </c>
      <c r="F19" s="6">
        <f>Overheads!F80/Thousands</f>
        <v>0.94425223870662922</v>
      </c>
      <c r="G19" s="6">
        <f>Overheads!G80/Thousands</f>
        <v>0.82506138029383924</v>
      </c>
      <c r="H19" s="14">
        <f t="shared" ref="H19:H24" si="3">SUM(C19:G19)</f>
        <v>2.0905255927669675</v>
      </c>
      <c r="K19" s="11"/>
      <c r="L19" s="11"/>
      <c r="M19" s="11"/>
      <c r="N19" s="11"/>
      <c r="O19" s="11"/>
      <c r="Q19" s="11"/>
      <c r="R19" s="11"/>
      <c r="S19" s="11"/>
      <c r="T19" s="11"/>
      <c r="U19" s="11"/>
    </row>
    <row r="20" spans="2:21" x14ac:dyDescent="0.3">
      <c r="B20" t="s">
        <v>20</v>
      </c>
      <c r="C20" s="6"/>
      <c r="D20" s="6"/>
      <c r="E20" s="6"/>
      <c r="F20" s="6"/>
      <c r="G20" s="6"/>
      <c r="H20" s="14">
        <f t="shared" si="3"/>
        <v>0</v>
      </c>
      <c r="K20" s="11"/>
      <c r="L20" s="11"/>
      <c r="M20" s="11"/>
      <c r="N20" s="11"/>
      <c r="O20" s="11"/>
      <c r="Q20" s="11"/>
      <c r="R20" s="11"/>
      <c r="S20" s="11"/>
      <c r="T20" s="11"/>
      <c r="U20" s="11"/>
    </row>
    <row r="21" spans="2:21" x14ac:dyDescent="0.3">
      <c r="B21" t="s">
        <v>21</v>
      </c>
      <c r="C21" s="6"/>
      <c r="D21" s="6"/>
      <c r="E21" s="6"/>
      <c r="F21" s="6"/>
      <c r="G21" s="6"/>
      <c r="H21" s="14">
        <f t="shared" si="3"/>
        <v>0</v>
      </c>
      <c r="K21" s="11"/>
      <c r="L21" s="11"/>
      <c r="M21" s="11"/>
      <c r="N21" s="11"/>
      <c r="O21" s="11"/>
      <c r="Q21" s="11"/>
      <c r="R21" s="11"/>
      <c r="S21" s="11"/>
      <c r="T21" s="11"/>
      <c r="U21" s="11"/>
    </row>
    <row r="22" spans="2:21" x14ac:dyDescent="0.3">
      <c r="B22" t="s">
        <v>22</v>
      </c>
      <c r="C22" s="6">
        <f>Overheads!C81/Thousands</f>
        <v>0</v>
      </c>
      <c r="D22" s="6">
        <f>Overheads!D81/Thousands</f>
        <v>0</v>
      </c>
      <c r="E22" s="6">
        <f>Overheads!E81/Thousands</f>
        <v>8.4456688251820483E-2</v>
      </c>
      <c r="F22" s="6">
        <f>Overheads!F81/Thousands</f>
        <v>0.57555614237461661</v>
      </c>
      <c r="G22" s="6">
        <f>Overheads!G81/Thousands</f>
        <v>0.1691976151110384</v>
      </c>
      <c r="H22" s="14">
        <f t="shared" si="3"/>
        <v>0.82921044573747549</v>
      </c>
      <c r="K22" s="11"/>
      <c r="L22" s="11"/>
      <c r="M22" s="11"/>
      <c r="N22" s="11"/>
      <c r="O22" s="11"/>
      <c r="Q22" s="11"/>
      <c r="R22" s="11"/>
      <c r="S22" s="11"/>
      <c r="T22" s="11"/>
      <c r="U22" s="11"/>
    </row>
    <row r="23" spans="2:21" x14ac:dyDescent="0.3">
      <c r="B23" t="s">
        <v>23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14">
        <f t="shared" si="3"/>
        <v>0</v>
      </c>
    </row>
    <row r="24" spans="2:21" x14ac:dyDescent="0.3">
      <c r="B24" t="s">
        <v>24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14">
        <f t="shared" si="3"/>
        <v>0</v>
      </c>
    </row>
    <row r="25" spans="2:21" ht="15" x14ac:dyDescent="0.25">
      <c r="B25" t="s">
        <v>195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14"/>
    </row>
    <row r="26" spans="2:21" x14ac:dyDescent="0.3">
      <c r="B26" s="25" t="s">
        <v>129</v>
      </c>
      <c r="C26" s="131">
        <f>SUM(C18:C25)</f>
        <v>0</v>
      </c>
      <c r="D26" s="131">
        <f t="shared" ref="D26:H26" si="4">SUM(D18:D25)</f>
        <v>0</v>
      </c>
      <c r="E26" s="131">
        <f t="shared" si="4"/>
        <v>0.51835994373952266</v>
      </c>
      <c r="F26" s="131">
        <f t="shared" si="4"/>
        <v>2.0389573275919406</v>
      </c>
      <c r="G26" s="131">
        <f t="shared" si="4"/>
        <v>1.1639013916256031</v>
      </c>
      <c r="H26" s="131">
        <f t="shared" si="4"/>
        <v>3.721218662957066</v>
      </c>
      <c r="I26" s="496">
        <f>H26/H14</f>
        <v>2.7264496303682828E-2</v>
      </c>
    </row>
    <row r="27" spans="2:21" x14ac:dyDescent="0.3">
      <c r="B27" s="40" t="s">
        <v>55</v>
      </c>
      <c r="C27" s="206">
        <f>C26-Overheads!C75/Thousands</f>
        <v>0</v>
      </c>
      <c r="D27" s="206">
        <f>D26-Overheads!D75/Thousands</f>
        <v>0</v>
      </c>
      <c r="E27" s="206">
        <f>E26-Overheads!E75/Thousands</f>
        <v>0</v>
      </c>
      <c r="F27" s="206">
        <f>F26-Overheads!F75/Thousands</f>
        <v>0</v>
      </c>
      <c r="G27" s="206">
        <f>G26-Overheads!G75/Thousands</f>
        <v>0</v>
      </c>
      <c r="H27" s="206">
        <f>H26-Overheads!H75/Thousands</f>
        <v>0</v>
      </c>
    </row>
    <row r="28" spans="2:21" x14ac:dyDescent="0.3">
      <c r="C28" s="11"/>
      <c r="D28" s="11"/>
      <c r="E28" s="11"/>
      <c r="F28" s="11"/>
      <c r="G28" s="11"/>
      <c r="H28" s="11"/>
    </row>
    <row r="29" spans="2:21" x14ac:dyDescent="0.3">
      <c r="B29" s="25" t="s">
        <v>461</v>
      </c>
      <c r="C29" s="11"/>
      <c r="D29" s="11"/>
      <c r="E29" s="11"/>
      <c r="F29" s="11"/>
      <c r="G29" s="11"/>
    </row>
    <row r="30" spans="2:21" x14ac:dyDescent="0.3">
      <c r="B30" s="22" t="s">
        <v>26</v>
      </c>
      <c r="C30" s="4">
        <v>2016</v>
      </c>
      <c r="D30" s="4">
        <v>2017</v>
      </c>
      <c r="E30" s="4">
        <v>2018</v>
      </c>
      <c r="F30" s="4">
        <v>2019</v>
      </c>
      <c r="G30" s="4">
        <v>2020</v>
      </c>
      <c r="H30" s="4" t="s">
        <v>6</v>
      </c>
    </row>
    <row r="31" spans="2:21" x14ac:dyDescent="0.3">
      <c r="B31" t="s">
        <v>18</v>
      </c>
      <c r="C31" s="6">
        <f>C18+C6</f>
        <v>0</v>
      </c>
      <c r="D31" s="6">
        <f t="shared" ref="D31:G31" si="5">D18+D6</f>
        <v>0</v>
      </c>
      <c r="E31" s="6">
        <f t="shared" si="5"/>
        <v>4.2502388975397896</v>
      </c>
      <c r="F31" s="6">
        <f t="shared" si="5"/>
        <v>19.435178576852323</v>
      </c>
      <c r="G31" s="6">
        <f t="shared" si="5"/>
        <v>6.1627470363269996</v>
      </c>
      <c r="H31" s="14">
        <f>SUM(C31:G31)</f>
        <v>29.848164510719108</v>
      </c>
    </row>
    <row r="32" spans="2:21" x14ac:dyDescent="0.3">
      <c r="B32" t="s">
        <v>19</v>
      </c>
      <c r="C32" s="6">
        <f t="shared" ref="C32:G32" si="6">C19+C7</f>
        <v>0</v>
      </c>
      <c r="D32" s="6">
        <f t="shared" si="6"/>
        <v>0</v>
      </c>
      <c r="E32" s="6">
        <f t="shared" si="6"/>
        <v>12.114758164127196</v>
      </c>
      <c r="F32" s="6">
        <f t="shared" si="6"/>
        <v>35.349606320501074</v>
      </c>
      <c r="G32" s="6">
        <f t="shared" si="6"/>
        <v>29.972723148628358</v>
      </c>
      <c r="H32" s="14">
        <f t="shared" ref="H32:H37" si="7">SUM(C32:G32)</f>
        <v>77.437087633256624</v>
      </c>
    </row>
    <row r="33" spans="2:15" x14ac:dyDescent="0.3">
      <c r="B33" t="s">
        <v>20</v>
      </c>
      <c r="C33" s="6">
        <f t="shared" ref="C33:G33" si="8">C20+C8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14">
        <f t="shared" si="7"/>
        <v>0</v>
      </c>
    </row>
    <row r="34" spans="2:15" x14ac:dyDescent="0.3">
      <c r="B34" t="s">
        <v>21</v>
      </c>
      <c r="C34" s="6">
        <f t="shared" ref="C34:G34" si="9">C21+C9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14">
        <f t="shared" si="7"/>
        <v>0</v>
      </c>
    </row>
    <row r="35" spans="2:15" x14ac:dyDescent="0.3">
      <c r="B35" t="s">
        <v>22</v>
      </c>
      <c r="C35" s="6">
        <f t="shared" ref="C35:G35" si="10">C22+C10</f>
        <v>0</v>
      </c>
      <c r="D35" s="6">
        <f t="shared" si="10"/>
        <v>0</v>
      </c>
      <c r="E35" s="6">
        <f t="shared" si="10"/>
        <v>3.1853493551821019</v>
      </c>
      <c r="F35" s="6">
        <f t="shared" si="10"/>
        <v>21.546872979784574</v>
      </c>
      <c r="G35" s="6">
        <f t="shared" si="10"/>
        <v>6.146589085681387</v>
      </c>
      <c r="H35" s="14">
        <f t="shared" si="7"/>
        <v>30.878811420648063</v>
      </c>
    </row>
    <row r="36" spans="2:15" x14ac:dyDescent="0.3">
      <c r="B36" t="s">
        <v>23</v>
      </c>
      <c r="C36" s="6">
        <f t="shared" ref="C36:G36" si="11">C23+C11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14">
        <f t="shared" si="7"/>
        <v>0</v>
      </c>
      <c r="K36" s="19"/>
      <c r="L36" s="19"/>
      <c r="M36" s="19"/>
      <c r="N36" s="19"/>
      <c r="O36" s="19"/>
    </row>
    <row r="37" spans="2:15" x14ac:dyDescent="0.3">
      <c r="B37" t="s">
        <v>24</v>
      </c>
      <c r="C37" s="6">
        <f t="shared" ref="C37:G38" si="12">C24+C12</f>
        <v>0</v>
      </c>
      <c r="D37" s="6">
        <f t="shared" si="12"/>
        <v>0</v>
      </c>
      <c r="E37" s="6">
        <f t="shared" si="12"/>
        <v>0</v>
      </c>
      <c r="F37" s="6">
        <f t="shared" si="12"/>
        <v>0.51075778604651156</v>
      </c>
      <c r="G37" s="6">
        <f t="shared" si="12"/>
        <v>1.5322733581395347</v>
      </c>
      <c r="H37" s="14">
        <f t="shared" si="7"/>
        <v>2.0430311441860463</v>
      </c>
    </row>
    <row r="38" spans="2:15" x14ac:dyDescent="0.3">
      <c r="B38" t="s">
        <v>195</v>
      </c>
      <c r="C38" s="6">
        <f t="shared" si="12"/>
        <v>0</v>
      </c>
      <c r="D38" s="6">
        <f t="shared" si="12"/>
        <v>0</v>
      </c>
      <c r="E38" s="6">
        <f t="shared" si="12"/>
        <v>0</v>
      </c>
      <c r="F38" s="6">
        <f t="shared" si="12"/>
        <v>0</v>
      </c>
      <c r="G38" s="6">
        <f t="shared" si="12"/>
        <v>0</v>
      </c>
      <c r="H38" s="14">
        <f t="shared" ref="H38" si="13">SUM(C38:G38)</f>
        <v>0</v>
      </c>
    </row>
    <row r="39" spans="2:15" x14ac:dyDescent="0.3">
      <c r="B39" s="25" t="s">
        <v>130</v>
      </c>
      <c r="C39" s="131">
        <f>SUM(C31:C38)</f>
        <v>0</v>
      </c>
      <c r="D39" s="131">
        <f t="shared" ref="D39:H39" si="14">SUM(D31:D38)</f>
        <v>0</v>
      </c>
      <c r="E39" s="131">
        <f t="shared" si="14"/>
        <v>19.550346416849084</v>
      </c>
      <c r="F39" s="131">
        <f t="shared" si="14"/>
        <v>76.842415663184482</v>
      </c>
      <c r="G39" s="131">
        <f t="shared" si="14"/>
        <v>43.814332628776278</v>
      </c>
      <c r="H39" s="131">
        <f t="shared" si="14"/>
        <v>140.20709470880985</v>
      </c>
      <c r="I39" s="5"/>
    </row>
    <row r="40" spans="2:15" x14ac:dyDescent="0.3">
      <c r="B40" s="40" t="s">
        <v>55</v>
      </c>
      <c r="C40" s="205">
        <f>C39-Capex_by_Purpose!C56/Thousands</f>
        <v>0</v>
      </c>
      <c r="D40" s="205">
        <f>D39-Capex_by_Purpose!D56/Thousands</f>
        <v>0</v>
      </c>
      <c r="E40" s="205">
        <f>E39-Capex_by_Purpose!E56/Thousands</f>
        <v>0</v>
      </c>
      <c r="F40" s="205">
        <f>F39-Capex_by_Purpose!F56/Thousands</f>
        <v>0</v>
      </c>
      <c r="G40" s="205">
        <f>G39-Capex_by_Purpose!G56/Thousands</f>
        <v>0</v>
      </c>
      <c r="H40" s="205">
        <f>H39-Capex_by_Purpose!H56/Thousands</f>
        <v>0</v>
      </c>
      <c r="I40" s="5"/>
    </row>
    <row r="41" spans="2:15" x14ac:dyDescent="0.3">
      <c r="B41" s="25" t="s">
        <v>462</v>
      </c>
    </row>
    <row r="42" spans="2:15" x14ac:dyDescent="0.3">
      <c r="B42" s="22" t="s">
        <v>463</v>
      </c>
      <c r="C42" s="4">
        <v>2016</v>
      </c>
      <c r="D42" s="4">
        <v>2017</v>
      </c>
      <c r="E42" s="4">
        <v>2018</v>
      </c>
      <c r="F42" s="4">
        <v>2019</v>
      </c>
      <c r="G42" s="4">
        <v>2020</v>
      </c>
      <c r="H42" s="4" t="s">
        <v>6</v>
      </c>
    </row>
    <row r="43" spans="2:15" x14ac:dyDescent="0.3">
      <c r="B43" t="s">
        <v>18</v>
      </c>
      <c r="C43" s="6">
        <f>T1_Allowance!C19</f>
        <v>48.651420843402605</v>
      </c>
      <c r="D43" s="6">
        <f>T1_Allowance!D19</f>
        <v>66.179791973733728</v>
      </c>
      <c r="E43" s="6">
        <f>T1_Allowance!E19</f>
        <v>54.698185609811269</v>
      </c>
      <c r="F43" s="6">
        <f>T1_Allowance!F19</f>
        <v>47.978828403830363</v>
      </c>
      <c r="G43" s="6">
        <f>T1_Allowance!G19</f>
        <v>43.844469431304645</v>
      </c>
      <c r="H43" s="14">
        <f t="shared" ref="H43:H50" si="15">SUM(C43:G43)</f>
        <v>261.35269626208265</v>
      </c>
    </row>
    <row r="44" spans="2:15" x14ac:dyDescent="0.3">
      <c r="B44" t="s">
        <v>19</v>
      </c>
      <c r="C44" s="6">
        <f>T1_Allowance!C20</f>
        <v>258.48852640980118</v>
      </c>
      <c r="D44" s="6">
        <f>T1_Allowance!D20</f>
        <v>295.37424082512246</v>
      </c>
      <c r="E44" s="6">
        <f>T1_Allowance!E20</f>
        <v>289.06470554265309</v>
      </c>
      <c r="F44" s="6">
        <f>T1_Allowance!F20</f>
        <v>255.73958661541312</v>
      </c>
      <c r="G44" s="6">
        <f>T1_Allowance!G20</f>
        <v>251.03690587651178</v>
      </c>
      <c r="H44" s="14">
        <f t="shared" si="15"/>
        <v>1349.7039652695016</v>
      </c>
    </row>
    <row r="45" spans="2:15" x14ac:dyDescent="0.3">
      <c r="B45" t="s">
        <v>20</v>
      </c>
      <c r="C45" s="6">
        <f>T1_Allowance!C21</f>
        <v>0</v>
      </c>
      <c r="D45" s="6">
        <f>T1_Allowance!D21</f>
        <v>0</v>
      </c>
      <c r="E45" s="6">
        <f>T1_Allowance!E21</f>
        <v>0</v>
      </c>
      <c r="F45" s="6">
        <f>T1_Allowance!F21</f>
        <v>0</v>
      </c>
      <c r="G45" s="6">
        <f>T1_Allowance!G21</f>
        <v>0</v>
      </c>
      <c r="H45" s="14">
        <f t="shared" si="15"/>
        <v>0</v>
      </c>
    </row>
    <row r="46" spans="2:15" x14ac:dyDescent="0.3">
      <c r="B46" t="s">
        <v>21</v>
      </c>
      <c r="C46" s="6">
        <f>T1_Allowance!C22</f>
        <v>0</v>
      </c>
      <c r="D46" s="6">
        <f>T1_Allowance!D22</f>
        <v>0</v>
      </c>
      <c r="E46" s="6">
        <f>T1_Allowance!E22</f>
        <v>0</v>
      </c>
      <c r="F46" s="6">
        <f>T1_Allowance!F22</f>
        <v>0</v>
      </c>
      <c r="G46" s="6">
        <f>T1_Allowance!G22</f>
        <v>0</v>
      </c>
      <c r="H46" s="14">
        <f t="shared" si="15"/>
        <v>0</v>
      </c>
    </row>
    <row r="47" spans="2:15" x14ac:dyDescent="0.3">
      <c r="B47" t="s">
        <v>22</v>
      </c>
      <c r="C47" s="6">
        <f>T1_Allowance!C23</f>
        <v>9.3897360740177618</v>
      </c>
      <c r="D47" s="6">
        <f>T1_Allowance!D23</f>
        <v>18.949761285291714</v>
      </c>
      <c r="E47" s="6">
        <f>T1_Allowance!E23</f>
        <v>10.474924024540176</v>
      </c>
      <c r="F47" s="6">
        <f>T1_Allowance!F23</f>
        <v>4.7095705321656087</v>
      </c>
      <c r="G47" s="6">
        <f>T1_Allowance!G23</f>
        <v>4.1606481079976545</v>
      </c>
      <c r="H47" s="14">
        <f t="shared" si="15"/>
        <v>47.684640024012907</v>
      </c>
    </row>
    <row r="48" spans="2:15" x14ac:dyDescent="0.3">
      <c r="B48" t="s">
        <v>23</v>
      </c>
      <c r="C48" s="6">
        <f>T1_Allowance!C24</f>
        <v>40.644500479653068</v>
      </c>
      <c r="D48" s="6">
        <f>T1_Allowance!D24</f>
        <v>54.13655604531742</v>
      </c>
      <c r="E48" s="6">
        <f>T1_Allowance!E24</f>
        <v>35.7467063849152</v>
      </c>
      <c r="F48" s="6">
        <f>T1_Allowance!F24</f>
        <v>40.356299247444582</v>
      </c>
      <c r="G48" s="6">
        <f>T1_Allowance!G24</f>
        <v>33.052518502325313</v>
      </c>
      <c r="H48" s="14">
        <f t="shared" si="15"/>
        <v>203.93658065965559</v>
      </c>
    </row>
    <row r="49" spans="2:9" x14ac:dyDescent="0.3">
      <c r="B49" t="s">
        <v>24</v>
      </c>
      <c r="C49" s="6">
        <f>T1_Allowance!C25</f>
        <v>5.2783165798982452</v>
      </c>
      <c r="D49" s="6">
        <f>T1_Allowance!D25</f>
        <v>6.1255858341373424</v>
      </c>
      <c r="E49" s="6">
        <f>T1_Allowance!E25</f>
        <v>6.5733958738108145</v>
      </c>
      <c r="F49" s="6">
        <f>T1_Allowance!F25</f>
        <v>8.1426519201259122</v>
      </c>
      <c r="G49" s="6">
        <f>T1_Allowance!G25</f>
        <v>7.7626562515413751</v>
      </c>
      <c r="H49" s="14">
        <f t="shared" si="15"/>
        <v>33.882606459513688</v>
      </c>
    </row>
    <row r="50" spans="2:9" x14ac:dyDescent="0.3">
      <c r="B50" t="s">
        <v>195</v>
      </c>
      <c r="C50" s="6">
        <f>T1_Allowance!C26</f>
        <v>6.1000306154218576E-4</v>
      </c>
      <c r="D50" s="6">
        <f>T1_Allowance!D26</f>
        <v>3.6710736616359665E-2</v>
      </c>
      <c r="E50" s="6">
        <f>T1_Allowance!E26</f>
        <v>1.7558279692917692E-2</v>
      </c>
      <c r="F50" s="6">
        <f>T1_Allowance!F26</f>
        <v>0</v>
      </c>
      <c r="G50" s="6">
        <f>T1_Allowance!G26</f>
        <v>0</v>
      </c>
      <c r="H50" s="14">
        <f t="shared" si="15"/>
        <v>5.4879019370819543E-2</v>
      </c>
    </row>
    <row r="51" spans="2:9" x14ac:dyDescent="0.3">
      <c r="B51" s="25" t="s">
        <v>132</v>
      </c>
      <c r="C51" s="131">
        <f t="shared" ref="C51:G51" si="16">SUM(C43:C50)</f>
        <v>362.45311038983436</v>
      </c>
      <c r="D51" s="131">
        <f t="shared" si="16"/>
        <v>440.80264670021904</v>
      </c>
      <c r="E51" s="131">
        <f t="shared" si="16"/>
        <v>396.57547571542352</v>
      </c>
      <c r="F51" s="131">
        <f t="shared" si="16"/>
        <v>356.92693671897962</v>
      </c>
      <c r="G51" s="131">
        <f t="shared" si="16"/>
        <v>339.85719816968077</v>
      </c>
      <c r="H51" s="131">
        <f>SUM(H43:H50)</f>
        <v>1896.6153676941374</v>
      </c>
      <c r="I51" s="5"/>
    </row>
    <row r="52" spans="2:9" x14ac:dyDescent="0.3">
      <c r="C52" s="204">
        <f>C51-T1_Allowance!C27</f>
        <v>0</v>
      </c>
      <c r="D52" s="204">
        <f>D51-T1_Allowance!D27</f>
        <v>0</v>
      </c>
      <c r="E52" s="204">
        <f>E51-T1_Allowance!E27</f>
        <v>0</v>
      </c>
      <c r="F52" s="204">
        <f>F51-T1_Allowance!F27</f>
        <v>0</v>
      </c>
      <c r="G52" s="204">
        <f>G51-T1_Allowance!G27</f>
        <v>0</v>
      </c>
      <c r="H52" s="204">
        <f>H51-T1_Allowance!H27</f>
        <v>0</v>
      </c>
    </row>
    <row r="53" spans="2:9" x14ac:dyDescent="0.3">
      <c r="B53" s="52"/>
    </row>
    <row r="54" spans="2:9" x14ac:dyDescent="0.3">
      <c r="B54" s="25" t="s">
        <v>470</v>
      </c>
      <c r="C54" s="4">
        <v>2016</v>
      </c>
      <c r="D54" s="4">
        <v>2017</v>
      </c>
      <c r="E54" s="4">
        <v>2018</v>
      </c>
      <c r="F54" s="4">
        <v>2019</v>
      </c>
      <c r="G54" s="4">
        <v>2020</v>
      </c>
      <c r="H54" s="4" t="s">
        <v>6</v>
      </c>
    </row>
    <row r="55" spans="2:9" x14ac:dyDescent="0.3">
      <c r="B55" t="s">
        <v>18</v>
      </c>
      <c r="C55" s="31">
        <f>C43+C31</f>
        <v>48.651420843402605</v>
      </c>
      <c r="D55" s="31">
        <f t="shared" ref="D55:G55" si="17">D43+D31</f>
        <v>66.179791973733728</v>
      </c>
      <c r="E55" s="31">
        <f t="shared" si="17"/>
        <v>58.948424507351056</v>
      </c>
      <c r="F55" s="31">
        <f t="shared" si="17"/>
        <v>67.414006980682686</v>
      </c>
      <c r="G55" s="31">
        <f t="shared" si="17"/>
        <v>50.007216467631643</v>
      </c>
      <c r="H55" s="14">
        <f t="shared" ref="H55:H62" si="18">SUM(C55:G55)</f>
        <v>291.20086077280172</v>
      </c>
    </row>
    <row r="56" spans="2:9" x14ac:dyDescent="0.3">
      <c r="B56" t="s">
        <v>19</v>
      </c>
      <c r="C56" s="31">
        <f t="shared" ref="C56:G56" si="19">C44+C32</f>
        <v>258.48852640980118</v>
      </c>
      <c r="D56" s="31">
        <f t="shared" si="19"/>
        <v>295.37424082512246</v>
      </c>
      <c r="E56" s="31">
        <f t="shared" si="19"/>
        <v>301.17946370678027</v>
      </c>
      <c r="F56" s="31">
        <f t="shared" si="19"/>
        <v>291.08919293591418</v>
      </c>
      <c r="G56" s="31">
        <f t="shared" si="19"/>
        <v>281.00962902514016</v>
      </c>
      <c r="H56" s="14">
        <f t="shared" si="18"/>
        <v>1427.1410529027582</v>
      </c>
    </row>
    <row r="57" spans="2:9" x14ac:dyDescent="0.3">
      <c r="B57" t="s">
        <v>20</v>
      </c>
      <c r="C57" s="31">
        <f t="shared" ref="C57:G57" si="20">C45+C33</f>
        <v>0</v>
      </c>
      <c r="D57" s="31">
        <f t="shared" si="20"/>
        <v>0</v>
      </c>
      <c r="E57" s="31">
        <f t="shared" si="20"/>
        <v>0</v>
      </c>
      <c r="F57" s="31">
        <f t="shared" si="20"/>
        <v>0</v>
      </c>
      <c r="G57" s="31">
        <f t="shared" si="20"/>
        <v>0</v>
      </c>
      <c r="H57" s="14">
        <f t="shared" si="18"/>
        <v>0</v>
      </c>
    </row>
    <row r="58" spans="2:9" x14ac:dyDescent="0.3">
      <c r="B58" t="s">
        <v>21</v>
      </c>
      <c r="C58" s="31">
        <f t="shared" ref="C58:G58" si="21">C46+C34</f>
        <v>0</v>
      </c>
      <c r="D58" s="31">
        <f t="shared" si="21"/>
        <v>0</v>
      </c>
      <c r="E58" s="31">
        <f t="shared" si="21"/>
        <v>0</v>
      </c>
      <c r="F58" s="31">
        <f t="shared" si="21"/>
        <v>0</v>
      </c>
      <c r="G58" s="31">
        <f t="shared" si="21"/>
        <v>0</v>
      </c>
      <c r="H58" s="14">
        <f t="shared" si="18"/>
        <v>0</v>
      </c>
    </row>
    <row r="59" spans="2:9" x14ac:dyDescent="0.3">
      <c r="B59" t="s">
        <v>22</v>
      </c>
      <c r="C59" s="31">
        <f t="shared" ref="C59:G59" si="22">C47+C35</f>
        <v>9.3897360740177618</v>
      </c>
      <c r="D59" s="31">
        <f t="shared" si="22"/>
        <v>18.949761285291714</v>
      </c>
      <c r="E59" s="31">
        <f t="shared" si="22"/>
        <v>13.660273379722277</v>
      </c>
      <c r="F59" s="31">
        <f t="shared" si="22"/>
        <v>26.256443511950181</v>
      </c>
      <c r="G59" s="31">
        <f t="shared" si="22"/>
        <v>10.307237193679041</v>
      </c>
      <c r="H59" s="14">
        <f t="shared" si="18"/>
        <v>78.563451444660984</v>
      </c>
    </row>
    <row r="60" spans="2:9" x14ac:dyDescent="0.3">
      <c r="B60" t="s">
        <v>23</v>
      </c>
      <c r="C60" s="31">
        <f t="shared" ref="C60:G60" si="23">C48+C36</f>
        <v>40.644500479653068</v>
      </c>
      <c r="D60" s="31">
        <f t="shared" si="23"/>
        <v>54.13655604531742</v>
      </c>
      <c r="E60" s="31">
        <f t="shared" si="23"/>
        <v>35.7467063849152</v>
      </c>
      <c r="F60" s="31">
        <f t="shared" si="23"/>
        <v>40.356299247444582</v>
      </c>
      <c r="G60" s="31">
        <f t="shared" si="23"/>
        <v>33.052518502325313</v>
      </c>
      <c r="H60" s="14">
        <f t="shared" si="18"/>
        <v>203.93658065965559</v>
      </c>
    </row>
    <row r="61" spans="2:9" x14ac:dyDescent="0.3">
      <c r="B61" t="s">
        <v>24</v>
      </c>
      <c r="C61" s="31">
        <f t="shared" ref="C61:G62" si="24">C49+C37</f>
        <v>5.2783165798982452</v>
      </c>
      <c r="D61" s="31">
        <f t="shared" si="24"/>
        <v>6.1255858341373424</v>
      </c>
      <c r="E61" s="31">
        <f t="shared" si="24"/>
        <v>6.5733958738108145</v>
      </c>
      <c r="F61" s="31">
        <f t="shared" si="24"/>
        <v>8.6534097061724236</v>
      </c>
      <c r="G61" s="31">
        <f t="shared" si="24"/>
        <v>9.29492960968091</v>
      </c>
      <c r="H61" s="14">
        <f t="shared" si="18"/>
        <v>35.925637603699741</v>
      </c>
    </row>
    <row r="62" spans="2:9" x14ac:dyDescent="0.3">
      <c r="B62" t="s">
        <v>195</v>
      </c>
      <c r="C62" s="31">
        <f t="shared" si="24"/>
        <v>6.1000306154218576E-4</v>
      </c>
      <c r="D62" s="31">
        <f t="shared" si="24"/>
        <v>3.6710736616359665E-2</v>
      </c>
      <c r="E62" s="31">
        <f t="shared" si="24"/>
        <v>1.7558279692917692E-2</v>
      </c>
      <c r="F62" s="31">
        <f t="shared" si="24"/>
        <v>0</v>
      </c>
      <c r="G62" s="31">
        <f t="shared" si="24"/>
        <v>0</v>
      </c>
      <c r="H62" s="14">
        <f t="shared" si="18"/>
        <v>5.4879019370819543E-2</v>
      </c>
    </row>
    <row r="63" spans="2:9" x14ac:dyDescent="0.3">
      <c r="B63" s="25" t="s">
        <v>131</v>
      </c>
      <c r="C63" s="131">
        <f>SUM(C55:C62)</f>
        <v>362.45311038983436</v>
      </c>
      <c r="D63" s="131">
        <f t="shared" ref="D63:H63" si="25">SUM(D55:D62)</f>
        <v>440.80264670021904</v>
      </c>
      <c r="E63" s="131">
        <f t="shared" si="25"/>
        <v>416.12582213227256</v>
      </c>
      <c r="F63" s="131">
        <f t="shared" si="25"/>
        <v>433.76935238216402</v>
      </c>
      <c r="G63" s="131">
        <f t="shared" si="25"/>
        <v>383.67153079845707</v>
      </c>
      <c r="H63" s="131">
        <f t="shared" si="25"/>
        <v>2036.8224624029472</v>
      </c>
      <c r="I63" s="164">
        <f>H63/H51</f>
        <v>1.0739248964745396</v>
      </c>
    </row>
    <row r="64" spans="2:9" x14ac:dyDescent="0.3">
      <c r="B64" s="40" t="s">
        <v>55</v>
      </c>
      <c r="C64" s="501">
        <f>C63-Capex_by_Purpose!C82/Thousands</f>
        <v>4.4926000782652409E-5</v>
      </c>
      <c r="D64" s="501">
        <f>D63-Capex_by_Purpose!D82/Thousands</f>
        <v>1.8931122741605577E-4</v>
      </c>
      <c r="E64" s="501">
        <f>E63-Capex_by_Purpose!E82/Thousands</f>
        <v>1.4568097486744591E-4</v>
      </c>
      <c r="F64" s="501">
        <f>F63-Capex_by_Purpose!F82/Thousands</f>
        <v>0</v>
      </c>
      <c r="G64" s="501">
        <f>G63-Capex_by_Purpose!G82/Thousands</f>
        <v>0</v>
      </c>
      <c r="H64" s="501">
        <f>H63-Capex_by_Purpose!H82/Thousands</f>
        <v>3.7991820317984093E-4</v>
      </c>
    </row>
    <row r="66" spans="3:8" x14ac:dyDescent="0.3">
      <c r="C66" s="45"/>
      <c r="D66" s="45"/>
      <c r="E66" s="45"/>
      <c r="F66" s="45"/>
      <c r="G66" s="45"/>
      <c r="H66" s="45"/>
    </row>
    <row r="67" spans="3:8" x14ac:dyDescent="0.3">
      <c r="C67" s="347"/>
      <c r="D67" s="347"/>
      <c r="E67" s="347"/>
      <c r="F67" s="347"/>
      <c r="G67" s="347"/>
      <c r="H67" s="347"/>
    </row>
  </sheetData>
  <pageMargins left="0.7" right="0.7" top="0.75" bottom="0.75" header="0.3" footer="0.3"/>
  <pageSetup paperSize="9" orientation="portrait" verticalDpi="0" r:id="rId1"/>
  <ignoredErrors>
    <ignoredError sqref="C51:G51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P70"/>
  <sheetViews>
    <sheetView zoomScale="85" zoomScaleNormal="85" workbookViewId="0">
      <selection activeCell="S49" sqref="S49"/>
    </sheetView>
  </sheetViews>
  <sheetFormatPr defaultRowHeight="14.4" x14ac:dyDescent="0.3"/>
  <cols>
    <col min="1" max="1" width="4" customWidth="1"/>
    <col min="2" max="2" width="39.6640625" customWidth="1"/>
    <col min="8" max="8" width="9.33203125" bestFit="1" customWidth="1"/>
    <col min="10" max="10" width="42.109375" customWidth="1"/>
  </cols>
  <sheetData>
    <row r="1" spans="2:16" x14ac:dyDescent="0.3">
      <c r="B1" s="25" t="s">
        <v>464</v>
      </c>
    </row>
    <row r="3" spans="2:16" x14ac:dyDescent="0.3">
      <c r="B3" s="25" t="s">
        <v>465</v>
      </c>
      <c r="C3" s="433">
        <v>2016</v>
      </c>
      <c r="D3" s="433">
        <v>2017</v>
      </c>
      <c r="E3" s="433">
        <v>2018</v>
      </c>
      <c r="F3" s="433">
        <v>2019</v>
      </c>
      <c r="G3" s="433">
        <v>2020</v>
      </c>
      <c r="H3" s="433" t="s">
        <v>6</v>
      </c>
      <c r="J3" s="25" t="s">
        <v>473</v>
      </c>
      <c r="K3" s="433">
        <v>2016</v>
      </c>
      <c r="L3" s="433">
        <v>2017</v>
      </c>
      <c r="M3" s="433">
        <v>2018</v>
      </c>
      <c r="N3" s="433">
        <v>2019</v>
      </c>
      <c r="O3" s="433">
        <v>2020</v>
      </c>
      <c r="P3" s="433" t="s">
        <v>6</v>
      </c>
    </row>
    <row r="4" spans="2:16" x14ac:dyDescent="0.3">
      <c r="B4" t="s">
        <v>18</v>
      </c>
      <c r="C4" s="6">
        <v>45.968112685057264</v>
      </c>
      <c r="D4" s="6">
        <v>49.998040007557236</v>
      </c>
      <c r="E4" s="6">
        <v>46.062607374835302</v>
      </c>
      <c r="F4" s="6">
        <v>47.912764965723284</v>
      </c>
      <c r="G4" s="6">
        <v>43.844469431304645</v>
      </c>
      <c r="H4" s="14">
        <f t="shared" ref="H4:H11" si="0">SUM(C4:G4)</f>
        <v>233.78599446447774</v>
      </c>
    </row>
    <row r="5" spans="2:16" x14ac:dyDescent="0.3">
      <c r="B5" t="s">
        <v>19</v>
      </c>
      <c r="C5" s="6">
        <v>256.55716088377756</v>
      </c>
      <c r="D5" s="6">
        <v>270.75483690142318</v>
      </c>
      <c r="E5" s="6">
        <v>264.42631551996362</v>
      </c>
      <c r="F5" s="6">
        <v>255.73958661541312</v>
      </c>
      <c r="G5" s="6">
        <v>251.03690587651178</v>
      </c>
      <c r="H5" s="14">
        <f t="shared" si="0"/>
        <v>1298.5148057970891</v>
      </c>
      <c r="J5" t="s">
        <v>471</v>
      </c>
      <c r="K5" s="6">
        <v>223.33983779974244</v>
      </c>
      <c r="L5" s="6">
        <v>226.835568610819</v>
      </c>
      <c r="M5" s="6">
        <v>232.12571908437201</v>
      </c>
      <c r="N5" s="6">
        <v>236.40378383273199</v>
      </c>
      <c r="O5" s="6">
        <v>241.31714802291501</v>
      </c>
      <c r="P5" s="14">
        <f t="shared" ref="P5:P6" si="1">SUM(K5:O5)</f>
        <v>1160.0220573505803</v>
      </c>
    </row>
    <row r="6" spans="2:16" x14ac:dyDescent="0.3">
      <c r="B6" t="s">
        <v>20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14">
        <f t="shared" si="0"/>
        <v>0</v>
      </c>
      <c r="J6" t="s">
        <v>472</v>
      </c>
      <c r="K6" s="6">
        <v>0</v>
      </c>
      <c r="L6" s="6">
        <v>0.61011502385528982</v>
      </c>
      <c r="M6" s="6">
        <v>0.71252208179027643</v>
      </c>
      <c r="N6" s="6">
        <v>0.78298932482447792</v>
      </c>
      <c r="O6" s="6">
        <v>0.72582367047894603</v>
      </c>
      <c r="P6" s="14">
        <f t="shared" si="1"/>
        <v>2.8314501009489907</v>
      </c>
    </row>
    <row r="7" spans="2:16" x14ac:dyDescent="0.3">
      <c r="B7" t="s">
        <v>21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14">
        <f t="shared" si="0"/>
        <v>0</v>
      </c>
      <c r="J7" t="s">
        <v>6</v>
      </c>
      <c r="K7" s="21">
        <f>SUM(K5:K6)</f>
        <v>223.33983779974244</v>
      </c>
      <c r="L7" s="21">
        <f t="shared" ref="L7:P7" si="2">SUM(L5:L6)</f>
        <v>227.44568363467428</v>
      </c>
      <c r="M7" s="21">
        <f t="shared" si="2"/>
        <v>232.83824116616228</v>
      </c>
      <c r="N7" s="21">
        <f t="shared" si="2"/>
        <v>237.18677315755647</v>
      </c>
      <c r="O7" s="21">
        <f t="shared" si="2"/>
        <v>242.04297169339395</v>
      </c>
      <c r="P7" s="21">
        <f t="shared" si="2"/>
        <v>1162.8535074515294</v>
      </c>
    </row>
    <row r="8" spans="2:16" x14ac:dyDescent="0.3">
      <c r="B8" t="s">
        <v>22</v>
      </c>
      <c r="C8" s="6">
        <v>7.0676186105918548</v>
      </c>
      <c r="D8" s="6">
        <v>6.8506149133021621</v>
      </c>
      <c r="E8" s="6">
        <v>4.7431185929478659</v>
      </c>
      <c r="F8" s="6">
        <v>4.6570258549617485</v>
      </c>
      <c r="G8" s="6">
        <v>4.1606481079976545</v>
      </c>
      <c r="H8" s="14">
        <f t="shared" si="0"/>
        <v>27.479026079801287</v>
      </c>
    </row>
    <row r="9" spans="2:16" x14ac:dyDescent="0.3">
      <c r="B9" t="s">
        <v>23</v>
      </c>
      <c r="C9" s="6">
        <v>40.644500479653068</v>
      </c>
      <c r="D9" s="6">
        <v>54.13655604531742</v>
      </c>
      <c r="E9" s="6">
        <v>35.7467063849152</v>
      </c>
      <c r="F9" s="6">
        <v>40.356299247444582</v>
      </c>
      <c r="G9" s="6">
        <v>33.052518502325313</v>
      </c>
      <c r="H9" s="14">
        <f t="shared" si="0"/>
        <v>203.93658065965559</v>
      </c>
      <c r="J9" s="40" t="s">
        <v>482</v>
      </c>
    </row>
    <row r="10" spans="2:16" x14ac:dyDescent="0.3">
      <c r="B10" t="s">
        <v>24</v>
      </c>
      <c r="C10" s="6">
        <v>5.2783165798982452</v>
      </c>
      <c r="D10" s="6">
        <v>5.8246195089499144</v>
      </c>
      <c r="E10" s="6">
        <v>6.0952506966100906</v>
      </c>
      <c r="F10" s="6">
        <v>8.1426519201259122</v>
      </c>
      <c r="G10" s="6">
        <v>7.7626562515413751</v>
      </c>
      <c r="H10" s="14">
        <f t="shared" si="0"/>
        <v>33.103494957125534</v>
      </c>
    </row>
    <row r="11" spans="2:16" x14ac:dyDescent="0.3">
      <c r="B11" t="s">
        <v>195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14">
        <f t="shared" si="0"/>
        <v>0</v>
      </c>
    </row>
    <row r="12" spans="2:16" x14ac:dyDescent="0.3">
      <c r="B12" t="s">
        <v>6</v>
      </c>
      <c r="C12" s="131">
        <f>SUM(C4:C11)</f>
        <v>355.51570923897793</v>
      </c>
      <c r="D12" s="131">
        <f t="shared" ref="D12:H12" si="3">SUM(D4:D11)</f>
        <v>387.56466737654989</v>
      </c>
      <c r="E12" s="131">
        <f t="shared" si="3"/>
        <v>357.07399856927208</v>
      </c>
      <c r="F12" s="131">
        <f t="shared" si="3"/>
        <v>356.80832860366866</v>
      </c>
      <c r="G12" s="131">
        <f t="shared" si="3"/>
        <v>339.85719816968077</v>
      </c>
      <c r="H12" s="131">
        <f t="shared" si="3"/>
        <v>1796.8199019581493</v>
      </c>
    </row>
    <row r="13" spans="2:16" x14ac:dyDescent="0.3">
      <c r="B13" s="209" t="s">
        <v>55</v>
      </c>
      <c r="C13" s="19">
        <f>C12-Capex_by_Purpose!C11/Thousands</f>
        <v>0</v>
      </c>
      <c r="D13" s="19">
        <f>D12-Capex_by_Purpose!D11/Thousands</f>
        <v>0</v>
      </c>
      <c r="E13" s="19">
        <f>E12-Capex_by_Purpose!E11/Thousands</f>
        <v>0</v>
      </c>
      <c r="F13" s="19">
        <f>F12-Capex_by_Purpose!F11/Thousands</f>
        <v>0</v>
      </c>
      <c r="G13" s="19">
        <f>G12-Capex_by_Purpose!G11/Thousands</f>
        <v>0</v>
      </c>
    </row>
    <row r="14" spans="2:16" x14ac:dyDescent="0.3">
      <c r="B14" s="40" t="s">
        <v>467</v>
      </c>
    </row>
    <row r="15" spans="2:16" x14ac:dyDescent="0.3">
      <c r="B15" s="40"/>
    </row>
    <row r="16" spans="2:16" x14ac:dyDescent="0.3">
      <c r="B16" s="22" t="s">
        <v>466</v>
      </c>
    </row>
    <row r="18" spans="2:8" x14ac:dyDescent="0.3">
      <c r="B18" s="25" t="s">
        <v>465</v>
      </c>
      <c r="C18" s="433">
        <v>2016</v>
      </c>
      <c r="D18" s="433">
        <v>2017</v>
      </c>
      <c r="E18" s="433">
        <v>2018</v>
      </c>
      <c r="F18" s="433">
        <v>2019</v>
      </c>
      <c r="G18" s="433">
        <v>2020</v>
      </c>
      <c r="H18" s="433" t="s">
        <v>6</v>
      </c>
    </row>
    <row r="19" spans="2:8" x14ac:dyDescent="0.3">
      <c r="B19" t="s">
        <v>18</v>
      </c>
      <c r="C19" s="6">
        <v>48.651420843402605</v>
      </c>
      <c r="D19" s="6">
        <v>66.179791973733728</v>
      </c>
      <c r="E19" s="6">
        <v>54.698185609811269</v>
      </c>
      <c r="F19" s="6">
        <v>47.978828403830363</v>
      </c>
      <c r="G19" s="6">
        <v>43.844469431304645</v>
      </c>
      <c r="H19" s="14">
        <f t="shared" ref="H19:H26" si="4">SUM(C19:G19)</f>
        <v>261.35269626208265</v>
      </c>
    </row>
    <row r="20" spans="2:8" x14ac:dyDescent="0.3">
      <c r="B20" t="s">
        <v>19</v>
      </c>
      <c r="C20" s="6">
        <v>258.48852640980118</v>
      </c>
      <c r="D20" s="6">
        <v>295.37424082512246</v>
      </c>
      <c r="E20" s="6">
        <v>289.06470554265309</v>
      </c>
      <c r="F20" s="6">
        <v>255.73958661541312</v>
      </c>
      <c r="G20" s="6">
        <v>251.03690587651178</v>
      </c>
      <c r="H20" s="14">
        <f t="shared" si="4"/>
        <v>1349.7039652695016</v>
      </c>
    </row>
    <row r="21" spans="2:8" x14ac:dyDescent="0.3">
      <c r="B21" t="s">
        <v>20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14">
        <f t="shared" si="4"/>
        <v>0</v>
      </c>
    </row>
    <row r="22" spans="2:8" x14ac:dyDescent="0.3">
      <c r="B22" t="s">
        <v>21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14">
        <f t="shared" si="4"/>
        <v>0</v>
      </c>
    </row>
    <row r="23" spans="2:8" x14ac:dyDescent="0.3">
      <c r="B23" t="s">
        <v>22</v>
      </c>
      <c r="C23" s="6">
        <v>9.3897360740177618</v>
      </c>
      <c r="D23" s="6">
        <v>18.949761285291714</v>
      </c>
      <c r="E23" s="6">
        <v>10.474924024540176</v>
      </c>
      <c r="F23" s="6">
        <v>4.7095705321656087</v>
      </c>
      <c r="G23" s="6">
        <v>4.1606481079976545</v>
      </c>
      <c r="H23" s="14">
        <f t="shared" si="4"/>
        <v>47.684640024012907</v>
      </c>
    </row>
    <row r="24" spans="2:8" x14ac:dyDescent="0.3">
      <c r="B24" t="s">
        <v>23</v>
      </c>
      <c r="C24" s="6">
        <v>40.644500479653068</v>
      </c>
      <c r="D24" s="6">
        <v>54.13655604531742</v>
      </c>
      <c r="E24" s="6">
        <v>35.7467063849152</v>
      </c>
      <c r="F24" s="6">
        <v>40.356299247444582</v>
      </c>
      <c r="G24" s="6">
        <v>33.052518502325313</v>
      </c>
      <c r="H24" s="14">
        <f t="shared" si="4"/>
        <v>203.93658065965559</v>
      </c>
    </row>
    <row r="25" spans="2:8" ht="15" x14ac:dyDescent="0.25">
      <c r="B25" t="s">
        <v>24</v>
      </c>
      <c r="C25" s="6">
        <v>5.2783165798982452</v>
      </c>
      <c r="D25" s="6">
        <v>6.1255858341373424</v>
      </c>
      <c r="E25" s="6">
        <v>6.5733958738108145</v>
      </c>
      <c r="F25" s="6">
        <v>8.1426519201259122</v>
      </c>
      <c r="G25" s="6">
        <v>7.7626562515413751</v>
      </c>
      <c r="H25" s="14">
        <f t="shared" si="4"/>
        <v>33.882606459513688</v>
      </c>
    </row>
    <row r="26" spans="2:8" ht="15" x14ac:dyDescent="0.25">
      <c r="B26" t="s">
        <v>195</v>
      </c>
      <c r="C26" s="6">
        <v>6.1000306154218576E-4</v>
      </c>
      <c r="D26" s="6">
        <v>3.6710736616359665E-2</v>
      </c>
      <c r="E26" s="6">
        <v>1.7558279692917692E-2</v>
      </c>
      <c r="F26" s="6">
        <v>0</v>
      </c>
      <c r="G26" s="6">
        <v>0</v>
      </c>
      <c r="H26" s="14">
        <f t="shared" si="4"/>
        <v>5.4879019370819543E-2</v>
      </c>
    </row>
    <row r="27" spans="2:8" ht="15" x14ac:dyDescent="0.25">
      <c r="B27" t="s">
        <v>6</v>
      </c>
      <c r="C27" s="131">
        <f>SUM(C19:C26)</f>
        <v>362.45311038983436</v>
      </c>
      <c r="D27" s="131">
        <f t="shared" ref="D27:H27" si="5">SUM(D19:D26)</f>
        <v>440.80264670021904</v>
      </c>
      <c r="E27" s="131">
        <f t="shared" si="5"/>
        <v>396.57547571542352</v>
      </c>
      <c r="F27" s="131">
        <f t="shared" si="5"/>
        <v>356.92693671897962</v>
      </c>
      <c r="G27" s="131">
        <f t="shared" si="5"/>
        <v>339.85719816968077</v>
      </c>
      <c r="H27" s="131">
        <f t="shared" si="5"/>
        <v>1896.6153676941374</v>
      </c>
    </row>
    <row r="29" spans="2:8" ht="15" x14ac:dyDescent="0.25">
      <c r="B29" s="40" t="s">
        <v>585</v>
      </c>
    </row>
    <row r="30" spans="2:8" ht="15" x14ac:dyDescent="0.25">
      <c r="B30" s="40"/>
    </row>
    <row r="31" spans="2:8" x14ac:dyDescent="0.3">
      <c r="B31" s="25" t="s">
        <v>566</v>
      </c>
    </row>
    <row r="32" spans="2:8" x14ac:dyDescent="0.3">
      <c r="B32" t="s">
        <v>559</v>
      </c>
      <c r="C32" s="434">
        <v>2016</v>
      </c>
      <c r="D32" s="434">
        <v>2017</v>
      </c>
      <c r="E32" s="434">
        <v>2018</v>
      </c>
      <c r="F32" s="434">
        <v>2019</v>
      </c>
      <c r="G32" s="434">
        <v>2020</v>
      </c>
      <c r="H32" s="434" t="s">
        <v>6</v>
      </c>
    </row>
    <row r="33" spans="2:8" x14ac:dyDescent="0.3">
      <c r="B33" t="s">
        <v>18</v>
      </c>
      <c r="C33" s="14">
        <f>C19-C4</f>
        <v>2.6833081583453406</v>
      </c>
      <c r="D33" s="14">
        <f t="shared" ref="D33:G33" si="6">D19-D4</f>
        <v>16.181751966176492</v>
      </c>
      <c r="E33" s="14">
        <f t="shared" si="6"/>
        <v>8.6355782349759664</v>
      </c>
      <c r="F33" s="14">
        <f t="shared" si="6"/>
        <v>6.6063438107079264E-2</v>
      </c>
      <c r="G33" s="14">
        <f t="shared" si="6"/>
        <v>0</v>
      </c>
      <c r="H33" s="14">
        <f>SUM(C33:G33)</f>
        <v>27.566701797604878</v>
      </c>
    </row>
    <row r="34" spans="2:8" x14ac:dyDescent="0.3">
      <c r="B34" t="s">
        <v>19</v>
      </c>
      <c r="C34" s="14">
        <f t="shared" ref="C34:G34" si="7">C20-C5</f>
        <v>1.931365526023626</v>
      </c>
      <c r="D34" s="14">
        <f t="shared" si="7"/>
        <v>24.619403923699281</v>
      </c>
      <c r="E34" s="14">
        <f t="shared" si="7"/>
        <v>24.638390022689464</v>
      </c>
      <c r="F34" s="14">
        <f t="shared" si="7"/>
        <v>0</v>
      </c>
      <c r="G34" s="14">
        <f t="shared" si="7"/>
        <v>0</v>
      </c>
      <c r="H34" s="14">
        <f t="shared" ref="H34:H40" si="8">SUM(C34:G34)</f>
        <v>51.189159472412371</v>
      </c>
    </row>
    <row r="35" spans="2:8" x14ac:dyDescent="0.3">
      <c r="B35" t="s">
        <v>20</v>
      </c>
      <c r="C35" s="14">
        <f t="shared" ref="C35:G35" si="9">C21-C6</f>
        <v>0</v>
      </c>
      <c r="D35" s="14">
        <f t="shared" si="9"/>
        <v>0</v>
      </c>
      <c r="E35" s="14">
        <f t="shared" si="9"/>
        <v>0</v>
      </c>
      <c r="F35" s="14">
        <f t="shared" si="9"/>
        <v>0</v>
      </c>
      <c r="G35" s="14">
        <f t="shared" si="9"/>
        <v>0</v>
      </c>
      <c r="H35" s="14">
        <f t="shared" si="8"/>
        <v>0</v>
      </c>
    </row>
    <row r="36" spans="2:8" x14ac:dyDescent="0.3">
      <c r="B36" t="s">
        <v>21</v>
      </c>
      <c r="C36" s="14">
        <f t="shared" ref="C36:G36" si="10">C22-C7</f>
        <v>0</v>
      </c>
      <c r="D36" s="14">
        <f t="shared" si="10"/>
        <v>0</v>
      </c>
      <c r="E36" s="14">
        <f t="shared" si="10"/>
        <v>0</v>
      </c>
      <c r="F36" s="14">
        <f t="shared" si="10"/>
        <v>0</v>
      </c>
      <c r="G36" s="14">
        <f t="shared" si="10"/>
        <v>0</v>
      </c>
      <c r="H36" s="14">
        <f t="shared" si="8"/>
        <v>0</v>
      </c>
    </row>
    <row r="37" spans="2:8" x14ac:dyDescent="0.3">
      <c r="B37" t="s">
        <v>22</v>
      </c>
      <c r="C37" s="14">
        <f t="shared" ref="C37:G37" si="11">C23-C8</f>
        <v>2.322117463425907</v>
      </c>
      <c r="D37" s="14">
        <f t="shared" si="11"/>
        <v>12.099146371989551</v>
      </c>
      <c r="E37" s="14">
        <f t="shared" si="11"/>
        <v>5.7318054315923099</v>
      </c>
      <c r="F37" s="14">
        <f t="shared" si="11"/>
        <v>5.2544677203860246E-2</v>
      </c>
      <c r="G37" s="14">
        <f t="shared" si="11"/>
        <v>0</v>
      </c>
      <c r="H37" s="14">
        <f t="shared" si="8"/>
        <v>20.205613944211628</v>
      </c>
    </row>
    <row r="38" spans="2:8" x14ac:dyDescent="0.3">
      <c r="B38" t="s">
        <v>23</v>
      </c>
      <c r="C38" s="14">
        <f t="shared" ref="C38:G38" si="12">C24-C9</f>
        <v>0</v>
      </c>
      <c r="D38" s="14">
        <f t="shared" si="12"/>
        <v>0</v>
      </c>
      <c r="E38" s="14">
        <f t="shared" si="12"/>
        <v>0</v>
      </c>
      <c r="F38" s="14">
        <f t="shared" si="12"/>
        <v>0</v>
      </c>
      <c r="G38" s="14">
        <f t="shared" si="12"/>
        <v>0</v>
      </c>
      <c r="H38" s="14">
        <f t="shared" si="8"/>
        <v>0</v>
      </c>
    </row>
    <row r="39" spans="2:8" x14ac:dyDescent="0.3">
      <c r="B39" t="s">
        <v>24</v>
      </c>
      <c r="C39" s="14">
        <f t="shared" ref="C39:G39" si="13">C25-C10</f>
        <v>0</v>
      </c>
      <c r="D39" s="14">
        <f t="shared" si="13"/>
        <v>0.30096632518742794</v>
      </c>
      <c r="E39" s="14">
        <f t="shared" si="13"/>
        <v>0.47814517720072391</v>
      </c>
      <c r="F39" s="14">
        <f t="shared" si="13"/>
        <v>0</v>
      </c>
      <c r="G39" s="14">
        <f t="shared" si="13"/>
        <v>0</v>
      </c>
      <c r="H39" s="14">
        <f t="shared" si="8"/>
        <v>0.77911150238815186</v>
      </c>
    </row>
    <row r="40" spans="2:8" x14ac:dyDescent="0.3">
      <c r="B40" t="s">
        <v>195</v>
      </c>
      <c r="C40" s="14">
        <f t="shared" ref="C40:G40" si="14">C26-C11</f>
        <v>6.1000306154218576E-4</v>
      </c>
      <c r="D40" s="11">
        <f t="shared" si="14"/>
        <v>3.6710736616359665E-2</v>
      </c>
      <c r="E40" s="11">
        <f t="shared" si="14"/>
        <v>1.7558279692917692E-2</v>
      </c>
      <c r="F40" s="14">
        <f t="shared" si="14"/>
        <v>0</v>
      </c>
      <c r="G40" s="14">
        <f t="shared" si="14"/>
        <v>0</v>
      </c>
      <c r="H40" s="14">
        <f t="shared" si="8"/>
        <v>5.4879019370819543E-2</v>
      </c>
    </row>
    <row r="41" spans="2:8" x14ac:dyDescent="0.3">
      <c r="B41" t="s">
        <v>560</v>
      </c>
      <c r="C41" s="21">
        <f>SUM(C33:C40)</f>
        <v>6.9374011508564157</v>
      </c>
      <c r="D41" s="21">
        <f t="shared" ref="D41:H41" si="15">SUM(D33:D40)</f>
        <v>53.237979323669109</v>
      </c>
      <c r="E41" s="21">
        <f t="shared" si="15"/>
        <v>39.50147714615138</v>
      </c>
      <c r="F41" s="21">
        <f t="shared" si="15"/>
        <v>0.11860811531093951</v>
      </c>
      <c r="G41" s="21">
        <f t="shared" si="15"/>
        <v>0</v>
      </c>
      <c r="H41" s="21">
        <f t="shared" si="15"/>
        <v>99.795465735987833</v>
      </c>
    </row>
    <row r="43" spans="2:8" x14ac:dyDescent="0.3">
      <c r="B43" s="25" t="s">
        <v>567</v>
      </c>
    </row>
    <row r="44" spans="2:8" x14ac:dyDescent="0.3">
      <c r="B44" s="140" t="s">
        <v>558</v>
      </c>
      <c r="C44" s="475">
        <v>2016</v>
      </c>
      <c r="D44" s="475">
        <v>2017</v>
      </c>
      <c r="E44" s="475">
        <v>2018</v>
      </c>
      <c r="F44" s="475">
        <v>2019</v>
      </c>
      <c r="G44" s="475">
        <v>2020</v>
      </c>
      <c r="H44" s="475" t="s">
        <v>6</v>
      </c>
    </row>
    <row r="45" spans="2:8" x14ac:dyDescent="0.3">
      <c r="B45" t="s">
        <v>18</v>
      </c>
      <c r="C45" s="14">
        <f>C33-C57</f>
        <v>2.6129085153712333</v>
      </c>
      <c r="D45" s="14">
        <f t="shared" ref="D45:G45" si="16">D33-D57</f>
        <v>15.761592542065532</v>
      </c>
      <c r="E45" s="14">
        <f t="shared" si="16"/>
        <v>8.4066291724371727</v>
      </c>
      <c r="F45" s="14">
        <f t="shared" si="16"/>
        <v>6.429876359377075E-2</v>
      </c>
      <c r="G45" s="14">
        <f t="shared" si="16"/>
        <v>0</v>
      </c>
      <c r="H45" s="14">
        <f>SUM(C45:G45)</f>
        <v>26.84542899346771</v>
      </c>
    </row>
    <row r="46" spans="2:8" x14ac:dyDescent="0.3">
      <c r="B46" t="s">
        <v>19</v>
      </c>
      <c r="C46" s="14">
        <f t="shared" ref="C46:G46" si="17">C34-C58</f>
        <v>1.8806939536730225</v>
      </c>
      <c r="D46" s="14">
        <f t="shared" si="17"/>
        <v>23.991465642208283</v>
      </c>
      <c r="E46" s="14">
        <f t="shared" si="17"/>
        <v>23.984575322504305</v>
      </c>
      <c r="F46" s="14">
        <f t="shared" si="17"/>
        <v>0</v>
      </c>
      <c r="G46" s="14">
        <f t="shared" si="17"/>
        <v>0</v>
      </c>
      <c r="H46" s="14">
        <f t="shared" ref="H46:H52" si="18">SUM(C46:G46)</f>
        <v>49.856734918385612</v>
      </c>
    </row>
    <row r="47" spans="2:8" x14ac:dyDescent="0.3">
      <c r="B47" t="s">
        <v>20</v>
      </c>
      <c r="C47" s="14">
        <f t="shared" ref="C47:G47" si="19">C35-C59</f>
        <v>0</v>
      </c>
      <c r="D47" s="14">
        <f t="shared" si="19"/>
        <v>0</v>
      </c>
      <c r="E47" s="14">
        <f t="shared" si="19"/>
        <v>0</v>
      </c>
      <c r="F47" s="14">
        <f t="shared" si="19"/>
        <v>0</v>
      </c>
      <c r="G47" s="14">
        <f t="shared" si="19"/>
        <v>0</v>
      </c>
      <c r="H47" s="14">
        <f t="shared" si="18"/>
        <v>0</v>
      </c>
    </row>
    <row r="48" spans="2:8" x14ac:dyDescent="0.3">
      <c r="B48" t="s">
        <v>21</v>
      </c>
      <c r="C48" s="14">
        <f t="shared" ref="C48:G48" si="20">C36-C60</f>
        <v>0</v>
      </c>
      <c r="D48" s="14">
        <f t="shared" si="20"/>
        <v>0</v>
      </c>
      <c r="E48" s="14">
        <f t="shared" si="20"/>
        <v>0</v>
      </c>
      <c r="F48" s="14">
        <f t="shared" si="20"/>
        <v>0</v>
      </c>
      <c r="G48" s="14">
        <f t="shared" si="20"/>
        <v>0</v>
      </c>
      <c r="H48" s="14">
        <f t="shared" si="18"/>
        <v>0</v>
      </c>
    </row>
    <row r="49" spans="2:8" x14ac:dyDescent="0.3">
      <c r="B49" t="s">
        <v>22</v>
      </c>
      <c r="C49" s="14">
        <f t="shared" ref="C49:G49" si="21">C37-C61</f>
        <v>2.261194069345843</v>
      </c>
      <c r="D49" s="14">
        <f t="shared" si="21"/>
        <v>11.784965580439852</v>
      </c>
      <c r="E49" s="14">
        <f t="shared" si="21"/>
        <v>5.5798420720453183</v>
      </c>
      <c r="F49" s="14">
        <f t="shared" si="21"/>
        <v>5.1141113366910365E-2</v>
      </c>
      <c r="G49" s="14">
        <f t="shared" si="21"/>
        <v>0</v>
      </c>
      <c r="H49" s="14">
        <f t="shared" si="18"/>
        <v>19.677142835197923</v>
      </c>
    </row>
    <row r="50" spans="2:8" x14ac:dyDescent="0.3">
      <c r="B50" t="s">
        <v>23</v>
      </c>
      <c r="C50" s="14">
        <f t="shared" ref="C50:G50" si="22">C38-C62</f>
        <v>0</v>
      </c>
      <c r="D50" s="14">
        <f t="shared" si="22"/>
        <v>0</v>
      </c>
      <c r="E50" s="14">
        <f t="shared" si="22"/>
        <v>0</v>
      </c>
      <c r="F50" s="14">
        <f t="shared" si="22"/>
        <v>0</v>
      </c>
      <c r="G50" s="14">
        <f t="shared" si="22"/>
        <v>0</v>
      </c>
      <c r="H50" s="14">
        <f t="shared" si="18"/>
        <v>0</v>
      </c>
    </row>
    <row r="51" spans="2:8" x14ac:dyDescent="0.3">
      <c r="B51" t="s">
        <v>24</v>
      </c>
      <c r="C51" s="14">
        <f t="shared" ref="C51:G51" si="23">C39-C63</f>
        <v>0</v>
      </c>
      <c r="D51" s="14">
        <f t="shared" si="23"/>
        <v>0.30096632518742794</v>
      </c>
      <c r="E51" s="14">
        <f t="shared" si="23"/>
        <v>0.47814517720072391</v>
      </c>
      <c r="F51" s="14">
        <f t="shared" si="23"/>
        <v>0</v>
      </c>
      <c r="G51" s="14">
        <f t="shared" si="23"/>
        <v>0</v>
      </c>
      <c r="H51" s="14">
        <f t="shared" si="18"/>
        <v>0.77911150238815186</v>
      </c>
    </row>
    <row r="52" spans="2:8" x14ac:dyDescent="0.3">
      <c r="B52" t="s">
        <v>195</v>
      </c>
      <c r="C52" s="14">
        <f t="shared" ref="C52:G52" si="24">C40-C64</f>
        <v>6.1000306154218576E-4</v>
      </c>
      <c r="D52" s="11">
        <f t="shared" si="24"/>
        <v>3.6710736616359665E-2</v>
      </c>
      <c r="E52" s="11">
        <f t="shared" si="24"/>
        <v>1.7558279692917692E-2</v>
      </c>
      <c r="F52" s="14">
        <f t="shared" si="24"/>
        <v>0</v>
      </c>
      <c r="G52" s="14">
        <f t="shared" si="24"/>
        <v>0</v>
      </c>
      <c r="H52" s="14">
        <f t="shared" si="18"/>
        <v>5.4879019370819543E-2</v>
      </c>
    </row>
    <row r="53" spans="2:8" x14ac:dyDescent="0.3">
      <c r="B53" t="s">
        <v>561</v>
      </c>
      <c r="C53" s="21">
        <f>SUM(C45:C52)</f>
        <v>6.7554065414516415</v>
      </c>
      <c r="D53" s="21">
        <f t="shared" ref="D53:H53" si="25">SUM(D45:D52)</f>
        <v>51.875700826517445</v>
      </c>
      <c r="E53" s="21">
        <f t="shared" si="25"/>
        <v>38.466750023880437</v>
      </c>
      <c r="F53" s="21">
        <f t="shared" si="25"/>
        <v>0.11543987696068111</v>
      </c>
      <c r="G53" s="21">
        <f t="shared" si="25"/>
        <v>0</v>
      </c>
      <c r="H53" s="21">
        <f t="shared" si="25"/>
        <v>97.213297268810209</v>
      </c>
    </row>
    <row r="55" spans="2:8" x14ac:dyDescent="0.3">
      <c r="B55" s="25" t="s">
        <v>568</v>
      </c>
    </row>
    <row r="56" spans="2:8" x14ac:dyDescent="0.3">
      <c r="B56" s="140" t="s">
        <v>564</v>
      </c>
      <c r="C56" s="475">
        <v>2016</v>
      </c>
      <c r="D56" s="475">
        <v>2017</v>
      </c>
      <c r="E56" s="475">
        <v>2018</v>
      </c>
      <c r="F56" s="475">
        <v>2019</v>
      </c>
      <c r="G56" s="475">
        <v>2020</v>
      </c>
      <c r="H56" s="475" t="s">
        <v>6</v>
      </c>
    </row>
    <row r="57" spans="2:8" x14ac:dyDescent="0.3">
      <c r="B57" t="s">
        <v>18</v>
      </c>
      <c r="C57" s="14">
        <v>7.0399642974107488E-2</v>
      </c>
      <c r="D57" s="14">
        <v>0.4201594241109588</v>
      </c>
      <c r="E57" s="14">
        <v>0.22894906253879416</v>
      </c>
      <c r="F57" s="14">
        <v>1.7646745133085106E-3</v>
      </c>
      <c r="G57" s="14">
        <v>0</v>
      </c>
      <c r="H57" s="14">
        <f>SUM(C57:G57)</f>
        <v>0.72127280413716899</v>
      </c>
    </row>
    <row r="58" spans="2:8" x14ac:dyDescent="0.3">
      <c r="B58" t="s">
        <v>19</v>
      </c>
      <c r="C58" s="14">
        <v>5.0671572350603586E-2</v>
      </c>
      <c r="D58" s="14">
        <v>0.62793828149099828</v>
      </c>
      <c r="E58" s="14">
        <v>0.65381470018516008</v>
      </c>
      <c r="F58" s="14">
        <v>0</v>
      </c>
      <c r="G58" s="14">
        <v>0</v>
      </c>
      <c r="H58" s="14">
        <f t="shared" ref="H58:H64" si="26">SUM(C58:G58)</f>
        <v>1.3324245540267619</v>
      </c>
    </row>
    <row r="59" spans="2:8" x14ac:dyDescent="0.3">
      <c r="B59" t="s">
        <v>20</v>
      </c>
      <c r="C59" s="14"/>
      <c r="D59" s="14"/>
      <c r="E59" s="14"/>
      <c r="F59" s="14"/>
      <c r="G59" s="14"/>
      <c r="H59" s="14">
        <f t="shared" si="26"/>
        <v>0</v>
      </c>
    </row>
    <row r="60" spans="2:8" x14ac:dyDescent="0.3">
      <c r="B60" t="s">
        <v>21</v>
      </c>
      <c r="C60" s="14"/>
      <c r="D60" s="14"/>
      <c r="E60" s="14"/>
      <c r="F60" s="14"/>
      <c r="G60" s="14"/>
      <c r="H60" s="14">
        <f t="shared" si="26"/>
        <v>0</v>
      </c>
    </row>
    <row r="61" spans="2:8" x14ac:dyDescent="0.3">
      <c r="B61" t="s">
        <v>22</v>
      </c>
      <c r="C61" s="14">
        <v>6.0923394080063968E-2</v>
      </c>
      <c r="D61" s="14">
        <v>0.31418079154969819</v>
      </c>
      <c r="E61" s="14">
        <v>0.15196335954699156</v>
      </c>
      <c r="F61" s="14">
        <v>1.4035638369498814E-3</v>
      </c>
      <c r="G61" s="14">
        <v>0</v>
      </c>
      <c r="H61" s="14">
        <f t="shared" si="26"/>
        <v>0.52847110901370353</v>
      </c>
    </row>
    <row r="62" spans="2:8" x14ac:dyDescent="0.3">
      <c r="B62" t="s">
        <v>23</v>
      </c>
      <c r="C62" s="14"/>
      <c r="D62" s="14"/>
      <c r="E62" s="14"/>
      <c r="F62" s="14"/>
      <c r="G62" s="14"/>
      <c r="H62" s="14">
        <f t="shared" si="26"/>
        <v>0</v>
      </c>
    </row>
    <row r="63" spans="2:8" x14ac:dyDescent="0.3">
      <c r="B63" t="s">
        <v>24</v>
      </c>
      <c r="C63" s="14"/>
      <c r="D63" s="14"/>
      <c r="E63" s="14"/>
      <c r="F63" s="14"/>
      <c r="G63" s="14"/>
      <c r="H63" s="14">
        <f t="shared" si="26"/>
        <v>0</v>
      </c>
    </row>
    <row r="64" spans="2:8" x14ac:dyDescent="0.3">
      <c r="B64" t="s">
        <v>195</v>
      </c>
      <c r="C64" s="14"/>
      <c r="D64" s="14"/>
      <c r="E64" s="14"/>
      <c r="F64" s="14"/>
      <c r="G64" s="14"/>
      <c r="H64" s="14">
        <f t="shared" si="26"/>
        <v>0</v>
      </c>
    </row>
    <row r="65" spans="2:8" x14ac:dyDescent="0.3">
      <c r="B65" t="s">
        <v>565</v>
      </c>
      <c r="C65" s="21">
        <f>SUM(C57:C64)</f>
        <v>0.18199460940477505</v>
      </c>
      <c r="D65" s="21">
        <f t="shared" ref="D65:H65" si="27">SUM(D57:D64)</f>
        <v>1.3622784971516553</v>
      </c>
      <c r="E65" s="21">
        <f t="shared" si="27"/>
        <v>1.0347271222709458</v>
      </c>
      <c r="F65" s="21">
        <f t="shared" si="27"/>
        <v>3.168238350258392E-3</v>
      </c>
      <c r="G65" s="21">
        <f t="shared" si="27"/>
        <v>0</v>
      </c>
      <c r="H65" s="21">
        <f t="shared" si="27"/>
        <v>2.5821684671776346</v>
      </c>
    </row>
    <row r="67" spans="2:8" x14ac:dyDescent="0.3">
      <c r="B67" t="s">
        <v>569</v>
      </c>
      <c r="C67" s="14">
        <f>SUM(C57:C61)</f>
        <v>0.18199460940477505</v>
      </c>
      <c r="D67" s="14">
        <f t="shared" ref="D67:G67" si="28">SUM(D57:D61)</f>
        <v>1.3622784971516553</v>
      </c>
      <c r="E67" s="14">
        <f t="shared" si="28"/>
        <v>1.0347271222709458</v>
      </c>
      <c r="F67" s="14">
        <f t="shared" si="28"/>
        <v>3.168238350258392E-3</v>
      </c>
      <c r="G67" s="14">
        <f t="shared" si="28"/>
        <v>0</v>
      </c>
      <c r="H67" s="14">
        <f t="shared" ref="H67:H68" si="29">SUM(C67:G67)</f>
        <v>2.5821684671776346</v>
      </c>
    </row>
    <row r="68" spans="2:8" x14ac:dyDescent="0.3">
      <c r="B68" t="s">
        <v>570</v>
      </c>
      <c r="C68" s="11">
        <f>C62</f>
        <v>0</v>
      </c>
      <c r="D68" s="11">
        <f t="shared" ref="D68:G68" si="30">D62</f>
        <v>0</v>
      </c>
      <c r="E68" s="11">
        <f t="shared" si="30"/>
        <v>0</v>
      </c>
      <c r="F68" s="11">
        <f t="shared" si="30"/>
        <v>0</v>
      </c>
      <c r="G68" s="11">
        <f t="shared" si="30"/>
        <v>0</v>
      </c>
      <c r="H68" s="11">
        <f t="shared" si="29"/>
        <v>0</v>
      </c>
    </row>
    <row r="70" spans="2:8" x14ac:dyDescent="0.3">
      <c r="C70" s="11"/>
      <c r="D70" s="11"/>
      <c r="E70" s="11"/>
      <c r="F70" s="11"/>
      <c r="G70" s="11"/>
    </row>
  </sheetData>
  <pageMargins left="0.7" right="0.7" top="0.75" bottom="0.75" header="0.3" footer="0.3"/>
  <pageSetup paperSize="9" orientation="portrait" verticalDpi="0" r:id="rId1"/>
  <ignoredErrors>
    <ignoredError sqref="C12:G12 C27:G27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"/>
  <sheetViews>
    <sheetView zoomScale="85" zoomScaleNormal="85" workbookViewId="0">
      <selection activeCell="C12" sqref="C12"/>
    </sheetView>
  </sheetViews>
  <sheetFormatPr defaultRowHeight="14.4" x14ac:dyDescent="0.3"/>
  <cols>
    <col min="1" max="1" width="3.5546875" customWidth="1"/>
    <col min="2" max="2" width="15.109375" customWidth="1"/>
  </cols>
  <sheetData>
    <row r="2" spans="2:12" x14ac:dyDescent="0.3">
      <c r="B2" t="s">
        <v>592</v>
      </c>
    </row>
    <row r="4" spans="2:12" x14ac:dyDescent="0.3">
      <c r="C4" s="605" t="s">
        <v>593</v>
      </c>
      <c r="D4" s="606"/>
      <c r="E4" s="606"/>
      <c r="F4" s="606"/>
      <c r="G4" s="607"/>
      <c r="H4" s="514" t="s">
        <v>541</v>
      </c>
      <c r="I4" s="608" t="s">
        <v>594</v>
      </c>
      <c r="J4" s="608"/>
      <c r="K4" s="608"/>
      <c r="L4" s="18" t="s">
        <v>542</v>
      </c>
    </row>
    <row r="5" spans="2:12" x14ac:dyDescent="0.3">
      <c r="B5" s="338" t="s">
        <v>215</v>
      </c>
      <c r="C5" s="18">
        <v>2016</v>
      </c>
      <c r="D5" s="18">
        <v>2017</v>
      </c>
      <c r="E5" s="18">
        <v>2018</v>
      </c>
      <c r="F5" s="18">
        <v>2019</v>
      </c>
      <c r="G5" s="18">
        <v>2020</v>
      </c>
      <c r="H5" s="514" t="s">
        <v>6</v>
      </c>
      <c r="I5" s="18">
        <v>2021</v>
      </c>
      <c r="J5" s="18">
        <v>2022</v>
      </c>
      <c r="K5" s="18">
        <v>2023</v>
      </c>
      <c r="L5" s="18" t="s">
        <v>6</v>
      </c>
    </row>
    <row r="6" spans="2:12" x14ac:dyDescent="0.3">
      <c r="B6" s="338" t="s">
        <v>595</v>
      </c>
      <c r="C6" s="366">
        <f>Other_Tables!C18*Escalators!D$7</f>
        <v>0</v>
      </c>
      <c r="D6" s="366">
        <f>Other_Tables!D18*Escalators!E$7</f>
        <v>0</v>
      </c>
      <c r="E6" s="366">
        <f>Other_Tables!E18*Escalators!F$7</f>
        <v>20.944754181981466</v>
      </c>
      <c r="F6" s="366">
        <f>Other_Tables!F18*Escalators!G$7</f>
        <v>84.235551406621596</v>
      </c>
      <c r="G6" s="366">
        <f>Other_Tables!G18*Escalators!H$7</f>
        <v>49.14555211834103</v>
      </c>
      <c r="H6" s="515">
        <f>SUM(C6:G6)</f>
        <v>154.32585770694408</v>
      </c>
      <c r="I6" s="366">
        <f>Other_Tables!I18*Escalators!I7</f>
        <v>2.4029351117376518</v>
      </c>
      <c r="J6" s="366">
        <f>Other_Tables!J18*Escalators!J7</f>
        <v>2.0072834569634113</v>
      </c>
      <c r="K6" s="366">
        <f>Other_Tables!K18*Escalators!K7</f>
        <v>2.0539142539022732</v>
      </c>
      <c r="L6" s="516">
        <f>SUM(I6:K6)</f>
        <v>6.4641328226033368</v>
      </c>
    </row>
    <row r="7" spans="2:12" x14ac:dyDescent="0.3">
      <c r="B7" s="338" t="s">
        <v>254</v>
      </c>
      <c r="C7" s="366">
        <f>PTRM_Inputs!K8*Escalators!D$7</f>
        <v>0</v>
      </c>
      <c r="D7" s="366">
        <f>PTRM_Inputs!L8*Escalators!E$7</f>
        <v>0</v>
      </c>
      <c r="E7" s="366">
        <f>PTRM_Inputs!M8*Escalators!F$7</f>
        <v>2.6415097418812383E-2</v>
      </c>
      <c r="F7" s="366">
        <f>PTRM_Inputs!N8*Escalators!G$7</f>
        <v>2.3353692811233482</v>
      </c>
      <c r="G7" s="366">
        <f>PTRM_Inputs!O8*Escalators!H$7</f>
        <v>2.5512799537314024</v>
      </c>
      <c r="H7" s="515">
        <f>SUM(C7:G7)</f>
        <v>4.9130643322735628</v>
      </c>
      <c r="I7" s="366">
        <v>0</v>
      </c>
      <c r="J7" s="366">
        <v>0</v>
      </c>
      <c r="K7" s="366">
        <v>0</v>
      </c>
      <c r="L7" s="516">
        <f>SUM(I7:K7)</f>
        <v>0</v>
      </c>
    </row>
    <row r="8" spans="2:12" x14ac:dyDescent="0.3">
      <c r="B8" s="236" t="s">
        <v>639</v>
      </c>
    </row>
    <row r="9" spans="2:12" x14ac:dyDescent="0.3">
      <c r="B9" t="s">
        <v>596</v>
      </c>
    </row>
  </sheetData>
  <mergeCells count="2">
    <mergeCell ref="C4:G4"/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20</vt:i4>
      </vt:variant>
    </vt:vector>
  </HeadingPairs>
  <TitlesOfParts>
    <vt:vector size="49" baseType="lpstr">
      <vt:lpstr>Contents</vt:lpstr>
      <vt:lpstr>Escalators</vt:lpstr>
      <vt:lpstr>Lab_Rates</vt:lpstr>
      <vt:lpstr>Rpt_Cat</vt:lpstr>
      <vt:lpstr>Unit_Rates</vt:lpstr>
      <vt:lpstr>Feeder_Vols</vt:lpstr>
      <vt:lpstr>Schedule</vt:lpstr>
      <vt:lpstr>Opex_Inputs</vt:lpstr>
      <vt:lpstr>RWN_Det</vt:lpstr>
      <vt:lpstr>ELM_Det</vt:lpstr>
      <vt:lpstr>FGY_Det</vt:lpstr>
      <vt:lpstr>WOTS22_Det</vt:lpstr>
      <vt:lpstr>MOE_Det</vt:lpstr>
      <vt:lpstr>BGE_Det</vt:lpstr>
      <vt:lpstr>LDL_Det</vt:lpstr>
      <vt:lpstr>BDL_Det</vt:lpstr>
      <vt:lpstr>Spare</vt:lpstr>
      <vt:lpstr>Stat_Phasing</vt:lpstr>
      <vt:lpstr>Other_Capex</vt:lpstr>
      <vt:lpstr>Direct_Capex_Totals</vt:lpstr>
      <vt:lpstr>Direct_Capex_Composition</vt:lpstr>
      <vt:lpstr>Direct_Summary</vt:lpstr>
      <vt:lpstr>Overheads</vt:lpstr>
      <vt:lpstr>Capex_by_Purpose</vt:lpstr>
      <vt:lpstr>Station_Summary</vt:lpstr>
      <vt:lpstr>Other_Tables</vt:lpstr>
      <vt:lpstr>PTRM_Inputs</vt:lpstr>
      <vt:lpstr>T1_Allowance</vt:lpstr>
      <vt:lpstr>T2 Costs - $Nom</vt:lpstr>
      <vt:lpstr>BDL_Det!Print_Area</vt:lpstr>
      <vt:lpstr>BGE_Det!Print_Area</vt:lpstr>
      <vt:lpstr>ELM_Det!Print_Area</vt:lpstr>
      <vt:lpstr>FGY_Det!Print_Area</vt:lpstr>
      <vt:lpstr>LDL_Det!Print_Area</vt:lpstr>
      <vt:lpstr>MOE_Det!Print_Area</vt:lpstr>
      <vt:lpstr>Other_Capex!Print_Area</vt:lpstr>
      <vt:lpstr>RWN_Det!Print_Area</vt:lpstr>
      <vt:lpstr>Spare!Print_Area</vt:lpstr>
      <vt:lpstr>WOTS22_Det!Print_Area</vt:lpstr>
      <vt:lpstr>STN_1</vt:lpstr>
      <vt:lpstr>STN_2</vt:lpstr>
      <vt:lpstr>STN_3</vt:lpstr>
      <vt:lpstr>STN_4</vt:lpstr>
      <vt:lpstr>STN_5</vt:lpstr>
      <vt:lpstr>STN_6</vt:lpstr>
      <vt:lpstr>STN_7</vt:lpstr>
      <vt:lpstr>STN_8</vt:lpstr>
      <vt:lpstr>STN_9</vt:lpstr>
      <vt:lpstr>Thousands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Steven Martin</cp:lastModifiedBy>
  <cp:lastPrinted>2018-03-05T02:26:20Z</cp:lastPrinted>
  <dcterms:created xsi:type="dcterms:W3CDTF">2017-02-22T23:29:09Z</dcterms:created>
  <dcterms:modified xsi:type="dcterms:W3CDTF">2018-04-20T04:20:12Z</dcterms:modified>
</cp:coreProperties>
</file>