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460C82FC-8908-4E56-B17E-0FE94994C7F0}" xr6:coauthVersionLast="47" xr6:coauthVersionMax="47" xr10:uidLastSave="{00000000-0000-0000-0000-000000000000}"/>
  <bookViews>
    <workbookView xWindow="-28920" yWindow="-120" windowWidth="29040" windowHeight="16440" tabRatio="621" xr2:uid="{DE40AC98-3C62-49EE-97CD-3F3491E4D175}"/>
  </bookViews>
  <sheets>
    <sheet name="Scenario 1" sheetId="1" r:id="rId1"/>
    <sheet name="Scenario 1a" sheetId="24" r:id="rId2"/>
    <sheet name="Scenario 2" sheetId="25" r:id="rId3"/>
    <sheet name="Scenario 2a" sheetId="26" r:id="rId4"/>
    <sheet name="Scenario 3" sheetId="27" r:id="rId5"/>
    <sheet name="Scenario 3a" sheetId="28" r:id="rId6"/>
    <sheet name="Scenario 4" sheetId="29" r:id="rId7"/>
    <sheet name="Scenario 5" sheetId="30" r:id="rId8"/>
    <sheet name="Scenario 5a" sheetId="31" r:id="rId9"/>
    <sheet name="Scenario 6" sheetId="32" r:id="rId10"/>
    <sheet name="Scenario 6a" sheetId="3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33" l="1"/>
  <c r="C3" i="33"/>
  <c r="M37" i="33"/>
  <c r="K37" i="33"/>
  <c r="F37" i="33"/>
  <c r="D37" i="33"/>
  <c r="U36" i="33"/>
  <c r="S36" i="33"/>
  <c r="B36" i="33"/>
  <c r="R36" i="33" s="1"/>
  <c r="U35" i="33"/>
  <c r="S35" i="33"/>
  <c r="B35" i="33"/>
  <c r="R35" i="33" s="1"/>
  <c r="U34" i="33"/>
  <c r="S34" i="33"/>
  <c r="B34" i="33"/>
  <c r="R34" i="33" s="1"/>
  <c r="U33" i="33"/>
  <c r="S33" i="33"/>
  <c r="B33" i="33"/>
  <c r="R33" i="33" s="1"/>
  <c r="U32" i="33"/>
  <c r="S32" i="33"/>
  <c r="B32" i="33"/>
  <c r="R32" i="33" s="1"/>
  <c r="U31" i="33"/>
  <c r="S31" i="33"/>
  <c r="B31" i="33"/>
  <c r="R31" i="33" s="1"/>
  <c r="U30" i="33"/>
  <c r="S30" i="33"/>
  <c r="B30" i="33"/>
  <c r="R30" i="33" s="1"/>
  <c r="U29" i="33"/>
  <c r="S29" i="33"/>
  <c r="B29" i="33"/>
  <c r="R29" i="33" s="1"/>
  <c r="U28" i="33"/>
  <c r="S28" i="33"/>
  <c r="B28" i="33"/>
  <c r="R28" i="33" s="1"/>
  <c r="U27" i="33"/>
  <c r="S27" i="33"/>
  <c r="B27" i="33"/>
  <c r="R27" i="33" s="1"/>
  <c r="U26" i="33"/>
  <c r="S26" i="33"/>
  <c r="B26" i="33"/>
  <c r="R26" i="33" s="1"/>
  <c r="U25" i="33"/>
  <c r="S25" i="33"/>
  <c r="R25" i="33"/>
  <c r="N25" i="33"/>
  <c r="M25" i="33"/>
  <c r="K25" i="33"/>
  <c r="H25" i="33"/>
  <c r="G25" i="33"/>
  <c r="F25" i="33"/>
  <c r="E25" i="33"/>
  <c r="D25" i="33"/>
  <c r="C25" i="33"/>
  <c r="V23" i="33"/>
  <c r="U23" i="33"/>
  <c r="R23" i="33"/>
  <c r="U22" i="33"/>
  <c r="W22" i="33" s="1"/>
  <c r="R22" i="33"/>
  <c r="V21" i="33"/>
  <c r="U21" i="33"/>
  <c r="R21" i="33"/>
  <c r="U20" i="33"/>
  <c r="R20" i="33"/>
  <c r="W19" i="33"/>
  <c r="U19" i="33"/>
  <c r="R19" i="33"/>
  <c r="U18" i="33"/>
  <c r="V18" i="33" s="1"/>
  <c r="R18" i="33"/>
  <c r="U17" i="33"/>
  <c r="R17" i="33"/>
  <c r="U16" i="33"/>
  <c r="V16" i="33" s="1"/>
  <c r="R16" i="33"/>
  <c r="U15" i="33"/>
  <c r="V15" i="33" s="1"/>
  <c r="R15" i="33"/>
  <c r="U14" i="33"/>
  <c r="R14" i="33"/>
  <c r="U13" i="33"/>
  <c r="V13" i="33" s="1"/>
  <c r="R13" i="33"/>
  <c r="O12" i="33"/>
  <c r="O25" i="33" s="1"/>
  <c r="N12" i="33"/>
  <c r="M12" i="33"/>
  <c r="L12" i="33"/>
  <c r="L25" i="33" s="1"/>
  <c r="K12" i="33"/>
  <c r="J12" i="33"/>
  <c r="J25" i="33" s="1"/>
  <c r="O7" i="33"/>
  <c r="R7" i="33" s="1"/>
  <c r="G4" i="33"/>
  <c r="G3" i="33"/>
  <c r="K8" i="33" s="1"/>
  <c r="M37" i="32"/>
  <c r="K37" i="32"/>
  <c r="O37" i="32" s="1"/>
  <c r="F37" i="32"/>
  <c r="H37" i="32" s="1"/>
  <c r="D37" i="32"/>
  <c r="U36" i="32"/>
  <c r="S36" i="32"/>
  <c r="R36" i="32"/>
  <c r="B36" i="32"/>
  <c r="U35" i="32"/>
  <c r="S35" i="32"/>
  <c r="B35" i="32"/>
  <c r="R35" i="32" s="1"/>
  <c r="U34" i="32"/>
  <c r="S34" i="32"/>
  <c r="R34" i="32"/>
  <c r="B34" i="32"/>
  <c r="U33" i="32"/>
  <c r="S33" i="32"/>
  <c r="B33" i="32"/>
  <c r="R33" i="32" s="1"/>
  <c r="U32" i="32"/>
  <c r="V19" i="32" s="1"/>
  <c r="S32" i="32"/>
  <c r="R32" i="32"/>
  <c r="B32" i="32"/>
  <c r="U31" i="32"/>
  <c r="S31" i="32"/>
  <c r="B31" i="32"/>
  <c r="R31" i="32" s="1"/>
  <c r="U30" i="32"/>
  <c r="V17" i="32" s="1"/>
  <c r="S30" i="32"/>
  <c r="R30" i="32"/>
  <c r="B30" i="32"/>
  <c r="U29" i="32"/>
  <c r="S29" i="32"/>
  <c r="B29" i="32"/>
  <c r="R29" i="32" s="1"/>
  <c r="U28" i="32"/>
  <c r="S28" i="32"/>
  <c r="R28" i="32"/>
  <c r="B28" i="32"/>
  <c r="U27" i="32"/>
  <c r="S27" i="32"/>
  <c r="B27" i="32"/>
  <c r="R27" i="32" s="1"/>
  <c r="U26" i="32"/>
  <c r="S26" i="32"/>
  <c r="Q4" i="32" s="1"/>
  <c r="R26" i="32"/>
  <c r="B26" i="32"/>
  <c r="U25" i="32"/>
  <c r="S25" i="32"/>
  <c r="R25" i="32"/>
  <c r="N25" i="32"/>
  <c r="M25" i="32"/>
  <c r="K25" i="32"/>
  <c r="J25" i="32"/>
  <c r="H25" i="32"/>
  <c r="G25" i="32"/>
  <c r="F25" i="32"/>
  <c r="E25" i="32"/>
  <c r="D25" i="32"/>
  <c r="C25" i="32"/>
  <c r="U23" i="32"/>
  <c r="O6" i="32" s="1"/>
  <c r="R23" i="32"/>
  <c r="U22" i="32"/>
  <c r="W22" i="32" s="1"/>
  <c r="R22" i="32"/>
  <c r="U21" i="32"/>
  <c r="R21" i="32"/>
  <c r="U20" i="32"/>
  <c r="W20" i="32" s="1"/>
  <c r="R20" i="32"/>
  <c r="U19" i="32"/>
  <c r="R19" i="32"/>
  <c r="U18" i="32"/>
  <c r="V18" i="32" s="1"/>
  <c r="R18" i="32"/>
  <c r="U17" i="32"/>
  <c r="R17" i="32"/>
  <c r="U16" i="32"/>
  <c r="R16" i="32"/>
  <c r="U15" i="32"/>
  <c r="V15" i="32" s="1"/>
  <c r="R15" i="32"/>
  <c r="U14" i="32"/>
  <c r="V14" i="32" s="1"/>
  <c r="R14" i="32"/>
  <c r="U13" i="32"/>
  <c r="R13" i="32"/>
  <c r="O12" i="32"/>
  <c r="O25" i="32" s="1"/>
  <c r="N12" i="32"/>
  <c r="M12" i="32"/>
  <c r="L12" i="32"/>
  <c r="L25" i="32" s="1"/>
  <c r="K12" i="32"/>
  <c r="J12" i="32"/>
  <c r="O7" i="32"/>
  <c r="R7" i="32" s="1"/>
  <c r="G4" i="32"/>
  <c r="G3" i="32"/>
  <c r="M37" i="31"/>
  <c r="O37" i="31" s="1"/>
  <c r="K37" i="31"/>
  <c r="F37" i="31"/>
  <c r="H37" i="31" s="1"/>
  <c r="D37" i="31"/>
  <c r="U36" i="31"/>
  <c r="S36" i="31"/>
  <c r="B36" i="31"/>
  <c r="R36" i="31" s="1"/>
  <c r="U35" i="31"/>
  <c r="S35" i="31"/>
  <c r="B35" i="31"/>
  <c r="R35" i="31" s="1"/>
  <c r="U34" i="31"/>
  <c r="S34" i="31"/>
  <c r="B34" i="31"/>
  <c r="R34" i="31" s="1"/>
  <c r="U33" i="31"/>
  <c r="S33" i="31"/>
  <c r="B33" i="31"/>
  <c r="R33" i="31" s="1"/>
  <c r="U32" i="31"/>
  <c r="S32" i="31"/>
  <c r="B32" i="31"/>
  <c r="R32" i="31" s="1"/>
  <c r="U31" i="31"/>
  <c r="S31" i="31"/>
  <c r="B31" i="31"/>
  <c r="R31" i="31" s="1"/>
  <c r="U30" i="31"/>
  <c r="S30" i="31"/>
  <c r="B30" i="31"/>
  <c r="R30" i="31" s="1"/>
  <c r="U29" i="31"/>
  <c r="S29" i="31"/>
  <c r="B29" i="31"/>
  <c r="R29" i="31" s="1"/>
  <c r="U28" i="31"/>
  <c r="S28" i="31"/>
  <c r="B28" i="31"/>
  <c r="R28" i="31" s="1"/>
  <c r="U27" i="31"/>
  <c r="S27" i="31"/>
  <c r="B27" i="31"/>
  <c r="R27" i="31" s="1"/>
  <c r="U26" i="31"/>
  <c r="S26" i="31"/>
  <c r="B26" i="31"/>
  <c r="R26" i="31" s="1"/>
  <c r="U25" i="31"/>
  <c r="S25" i="31"/>
  <c r="R25" i="31"/>
  <c r="O25" i="31"/>
  <c r="L25" i="31"/>
  <c r="K25" i="31"/>
  <c r="H25" i="31"/>
  <c r="G25" i="31"/>
  <c r="F25" i="31"/>
  <c r="E25" i="31"/>
  <c r="D25" i="31"/>
  <c r="C25" i="31"/>
  <c r="U23" i="31"/>
  <c r="W23" i="31" s="1"/>
  <c r="R23" i="31"/>
  <c r="W22" i="31"/>
  <c r="U22" i="31"/>
  <c r="R22" i="31"/>
  <c r="W21" i="31"/>
  <c r="U21" i="31"/>
  <c r="V21" i="31" s="1"/>
  <c r="R21" i="31"/>
  <c r="U20" i="31"/>
  <c r="V20" i="31" s="1"/>
  <c r="R20" i="31"/>
  <c r="W19" i="31"/>
  <c r="V19" i="31"/>
  <c r="U19" i="31"/>
  <c r="R19" i="31"/>
  <c r="U18" i="31"/>
  <c r="V18" i="31" s="1"/>
  <c r="R18" i="31"/>
  <c r="U17" i="31"/>
  <c r="V17" i="31" s="1"/>
  <c r="R17" i="31"/>
  <c r="U16" i="31"/>
  <c r="V16" i="31" s="1"/>
  <c r="R16" i="31"/>
  <c r="U15" i="31"/>
  <c r="R15" i="31"/>
  <c r="U14" i="31"/>
  <c r="V14" i="31" s="1"/>
  <c r="R14" i="31"/>
  <c r="U13" i="31"/>
  <c r="V13" i="31" s="1"/>
  <c r="R13" i="31"/>
  <c r="O12" i="31"/>
  <c r="N12" i="31"/>
  <c r="N25" i="31" s="1"/>
  <c r="M12" i="31"/>
  <c r="M25" i="31" s="1"/>
  <c r="L12" i="31"/>
  <c r="K12" i="31"/>
  <c r="J12" i="31"/>
  <c r="J25" i="31" s="1"/>
  <c r="O7" i="31"/>
  <c r="R7" i="31" s="1"/>
  <c r="G4" i="31"/>
  <c r="K8" i="31" s="1"/>
  <c r="G3" i="31"/>
  <c r="W23" i="30"/>
  <c r="W22" i="30"/>
  <c r="W21" i="30"/>
  <c r="W20" i="30"/>
  <c r="W19" i="30"/>
  <c r="M37" i="30"/>
  <c r="O37" i="30" s="1"/>
  <c r="K37" i="30"/>
  <c r="F37" i="30"/>
  <c r="H37" i="30" s="1"/>
  <c r="D37" i="30"/>
  <c r="U36" i="30"/>
  <c r="S36" i="30"/>
  <c r="B36" i="30"/>
  <c r="R36" i="30" s="1"/>
  <c r="U35" i="30"/>
  <c r="S35" i="30"/>
  <c r="B35" i="30"/>
  <c r="R35" i="30" s="1"/>
  <c r="U34" i="30"/>
  <c r="S34" i="30"/>
  <c r="B34" i="30"/>
  <c r="R34" i="30" s="1"/>
  <c r="U33" i="30"/>
  <c r="S33" i="30"/>
  <c r="R33" i="30"/>
  <c r="B33" i="30"/>
  <c r="U32" i="30"/>
  <c r="S32" i="30"/>
  <c r="B32" i="30"/>
  <c r="R32" i="30" s="1"/>
  <c r="U31" i="30"/>
  <c r="S31" i="30"/>
  <c r="B31" i="30"/>
  <c r="R31" i="30" s="1"/>
  <c r="U30" i="30"/>
  <c r="S30" i="30"/>
  <c r="B30" i="30"/>
  <c r="R30" i="30" s="1"/>
  <c r="U29" i="30"/>
  <c r="S29" i="30"/>
  <c r="B29" i="30"/>
  <c r="R29" i="30" s="1"/>
  <c r="U28" i="30"/>
  <c r="V15" i="30" s="1"/>
  <c r="S28" i="30"/>
  <c r="B28" i="30"/>
  <c r="R28" i="30" s="1"/>
  <c r="U27" i="30"/>
  <c r="S27" i="30"/>
  <c r="B27" i="30"/>
  <c r="R27" i="30" s="1"/>
  <c r="U26" i="30"/>
  <c r="S26" i="30"/>
  <c r="B26" i="30"/>
  <c r="R26" i="30" s="1"/>
  <c r="U25" i="30"/>
  <c r="S25" i="30"/>
  <c r="R25" i="30"/>
  <c r="N25" i="30"/>
  <c r="M25" i="30"/>
  <c r="H25" i="30"/>
  <c r="G25" i="30"/>
  <c r="F25" i="30"/>
  <c r="E25" i="30"/>
  <c r="D25" i="30"/>
  <c r="C25" i="30"/>
  <c r="U23" i="30"/>
  <c r="R23" i="30"/>
  <c r="V22" i="30"/>
  <c r="U22" i="30"/>
  <c r="R22" i="30"/>
  <c r="V21" i="30"/>
  <c r="U21" i="30"/>
  <c r="R21" i="30"/>
  <c r="U20" i="30"/>
  <c r="R20" i="30"/>
  <c r="U19" i="30"/>
  <c r="R19" i="30"/>
  <c r="U18" i="30"/>
  <c r="V18" i="30" s="1"/>
  <c r="R18" i="30"/>
  <c r="U17" i="30"/>
  <c r="V17" i="30" s="1"/>
  <c r="R17" i="30"/>
  <c r="U16" i="30"/>
  <c r="R16" i="30"/>
  <c r="U15" i="30"/>
  <c r="R15" i="30"/>
  <c r="V14" i="30"/>
  <c r="U14" i="30"/>
  <c r="R14" i="30"/>
  <c r="U13" i="30"/>
  <c r="V13" i="30" s="1"/>
  <c r="R13" i="30"/>
  <c r="O12" i="30"/>
  <c r="O25" i="30" s="1"/>
  <c r="N12" i="30"/>
  <c r="M12" i="30"/>
  <c r="L12" i="30"/>
  <c r="L25" i="30" s="1"/>
  <c r="K12" i="30"/>
  <c r="K25" i="30" s="1"/>
  <c r="J12" i="30"/>
  <c r="J25" i="30" s="1"/>
  <c r="O7" i="30"/>
  <c r="R7" i="30" s="1"/>
  <c r="O6" i="30"/>
  <c r="O4" i="30"/>
  <c r="G4" i="30"/>
  <c r="G3" i="30"/>
  <c r="T9" i="29"/>
  <c r="M37" i="29"/>
  <c r="O37" i="29" s="1"/>
  <c r="K37" i="29"/>
  <c r="F37" i="29"/>
  <c r="D37" i="29"/>
  <c r="U36" i="29"/>
  <c r="S36" i="29"/>
  <c r="B36" i="29"/>
  <c r="R36" i="29" s="1"/>
  <c r="U35" i="29"/>
  <c r="S35" i="29"/>
  <c r="R35" i="29"/>
  <c r="B35" i="29"/>
  <c r="U34" i="29"/>
  <c r="S34" i="29"/>
  <c r="B34" i="29"/>
  <c r="R34" i="29" s="1"/>
  <c r="U33" i="29"/>
  <c r="S33" i="29"/>
  <c r="R33" i="29"/>
  <c r="B33" i="29"/>
  <c r="U32" i="29"/>
  <c r="S32" i="29"/>
  <c r="B32" i="29"/>
  <c r="R32" i="29" s="1"/>
  <c r="U31" i="29"/>
  <c r="S31" i="29"/>
  <c r="R31" i="29"/>
  <c r="B31" i="29"/>
  <c r="U30" i="29"/>
  <c r="S30" i="29"/>
  <c r="B30" i="29"/>
  <c r="R30" i="29" s="1"/>
  <c r="U29" i="29"/>
  <c r="S29" i="29"/>
  <c r="R29" i="29"/>
  <c r="B29" i="29"/>
  <c r="U28" i="29"/>
  <c r="S28" i="29"/>
  <c r="B28" i="29"/>
  <c r="R28" i="29" s="1"/>
  <c r="U27" i="29"/>
  <c r="S27" i="29"/>
  <c r="R27" i="29"/>
  <c r="B27" i="29"/>
  <c r="U26" i="29"/>
  <c r="S26" i="29"/>
  <c r="Q6" i="29" s="1"/>
  <c r="B26" i="29"/>
  <c r="R26" i="29" s="1"/>
  <c r="U25" i="29"/>
  <c r="S25" i="29"/>
  <c r="R25" i="29"/>
  <c r="N25" i="29"/>
  <c r="M25" i="29"/>
  <c r="H25" i="29"/>
  <c r="G25" i="29"/>
  <c r="F25" i="29"/>
  <c r="E25" i="29"/>
  <c r="D25" i="29"/>
  <c r="C25" i="29"/>
  <c r="U23" i="29"/>
  <c r="V23" i="29" s="1"/>
  <c r="R23" i="29"/>
  <c r="V22" i="29"/>
  <c r="U22" i="29"/>
  <c r="R22" i="29"/>
  <c r="V21" i="29"/>
  <c r="U21" i="29"/>
  <c r="R21" i="29"/>
  <c r="V20" i="29"/>
  <c r="U20" i="29"/>
  <c r="R20" i="29"/>
  <c r="U19" i="29"/>
  <c r="V19" i="29" s="1"/>
  <c r="R19" i="29"/>
  <c r="U18" i="29"/>
  <c r="R18" i="29"/>
  <c r="U17" i="29"/>
  <c r="R17" i="29"/>
  <c r="U16" i="29"/>
  <c r="R16" i="29"/>
  <c r="U15" i="29"/>
  <c r="V15" i="29" s="1"/>
  <c r="R15" i="29"/>
  <c r="V14" i="29"/>
  <c r="U14" i="29"/>
  <c r="R14" i="29"/>
  <c r="U13" i="29"/>
  <c r="R13" i="29"/>
  <c r="O12" i="29"/>
  <c r="O25" i="29" s="1"/>
  <c r="N12" i="29"/>
  <c r="M12" i="29"/>
  <c r="L12" i="29"/>
  <c r="L25" i="29" s="1"/>
  <c r="K12" i="29"/>
  <c r="K25" i="29" s="1"/>
  <c r="J12" i="29"/>
  <c r="J25" i="29" s="1"/>
  <c r="O7" i="29"/>
  <c r="R7" i="29" s="1"/>
  <c r="O6" i="29"/>
  <c r="O4" i="29"/>
  <c r="G4" i="29"/>
  <c r="G3" i="29"/>
  <c r="M37" i="28"/>
  <c r="O37" i="28" s="1"/>
  <c r="K37" i="28"/>
  <c r="F37" i="28"/>
  <c r="H37" i="28" s="1"/>
  <c r="D37" i="28"/>
  <c r="U36" i="28"/>
  <c r="S36" i="28"/>
  <c r="B36" i="28"/>
  <c r="R36" i="28" s="1"/>
  <c r="U35" i="28"/>
  <c r="S35" i="28"/>
  <c r="R35" i="28"/>
  <c r="B35" i="28"/>
  <c r="U34" i="28"/>
  <c r="S34" i="28"/>
  <c r="B34" i="28"/>
  <c r="R34" i="28" s="1"/>
  <c r="U33" i="28"/>
  <c r="S33" i="28"/>
  <c r="R33" i="28"/>
  <c r="B33" i="28"/>
  <c r="U32" i="28"/>
  <c r="S32" i="28"/>
  <c r="B32" i="28"/>
  <c r="R32" i="28" s="1"/>
  <c r="U31" i="28"/>
  <c r="S31" i="28"/>
  <c r="R31" i="28"/>
  <c r="B31" i="28"/>
  <c r="U30" i="28"/>
  <c r="S30" i="28"/>
  <c r="B30" i="28"/>
  <c r="R30" i="28" s="1"/>
  <c r="U29" i="28"/>
  <c r="S29" i="28"/>
  <c r="R29" i="28"/>
  <c r="B29" i="28"/>
  <c r="U28" i="28"/>
  <c r="S28" i="28"/>
  <c r="B28" i="28"/>
  <c r="R28" i="28" s="1"/>
  <c r="U27" i="28"/>
  <c r="S27" i="28"/>
  <c r="R27" i="28"/>
  <c r="B27" i="28"/>
  <c r="U26" i="28"/>
  <c r="S26" i="28"/>
  <c r="Q6" i="28" s="1"/>
  <c r="B26" i="28"/>
  <c r="R26" i="28" s="1"/>
  <c r="U25" i="28"/>
  <c r="S25" i="28"/>
  <c r="R25" i="28"/>
  <c r="M25" i="28"/>
  <c r="H25" i="28"/>
  <c r="G25" i="28"/>
  <c r="F25" i="28"/>
  <c r="E25" i="28"/>
  <c r="D25" i="28"/>
  <c r="C25" i="28"/>
  <c r="U23" i="28"/>
  <c r="V23" i="28" s="1"/>
  <c r="R23" i="28"/>
  <c r="V22" i="28"/>
  <c r="U22" i="28"/>
  <c r="R22" i="28"/>
  <c r="V21" i="28"/>
  <c r="U21" i="28"/>
  <c r="R21" i="28"/>
  <c r="V20" i="28"/>
  <c r="U20" i="28"/>
  <c r="R20" i="28"/>
  <c r="U19" i="28"/>
  <c r="R19" i="28"/>
  <c r="U18" i="28"/>
  <c r="R18" i="28"/>
  <c r="U17" i="28"/>
  <c r="R17" i="28"/>
  <c r="U16" i="28"/>
  <c r="V16" i="28" s="1"/>
  <c r="R16" i="28"/>
  <c r="U15" i="28"/>
  <c r="V15" i="28" s="1"/>
  <c r="R15" i="28"/>
  <c r="U14" i="28"/>
  <c r="V14" i="28" s="1"/>
  <c r="R14" i="28"/>
  <c r="U13" i="28"/>
  <c r="R13" i="28"/>
  <c r="O12" i="28"/>
  <c r="O25" i="28" s="1"/>
  <c r="N12" i="28"/>
  <c r="N25" i="28" s="1"/>
  <c r="M12" i="28"/>
  <c r="L12" i="28"/>
  <c r="L25" i="28" s="1"/>
  <c r="K12" i="28"/>
  <c r="K25" i="28" s="1"/>
  <c r="J12" i="28"/>
  <c r="J25" i="28" s="1"/>
  <c r="O7" i="28"/>
  <c r="R7" i="28" s="1"/>
  <c r="O6" i="28"/>
  <c r="O4" i="28"/>
  <c r="G4" i="28"/>
  <c r="G3" i="28"/>
  <c r="M37" i="27"/>
  <c r="O37" i="27" s="1"/>
  <c r="K37" i="27"/>
  <c r="F37" i="27"/>
  <c r="H37" i="27" s="1"/>
  <c r="D37" i="27"/>
  <c r="U36" i="27"/>
  <c r="S36" i="27"/>
  <c r="B36" i="27"/>
  <c r="R36" i="27" s="1"/>
  <c r="U35" i="27"/>
  <c r="S35" i="27"/>
  <c r="R35" i="27"/>
  <c r="B35" i="27"/>
  <c r="U34" i="27"/>
  <c r="S34" i="27"/>
  <c r="B34" i="27"/>
  <c r="R34" i="27" s="1"/>
  <c r="U33" i="27"/>
  <c r="S33" i="27"/>
  <c r="R33" i="27"/>
  <c r="B33" i="27"/>
  <c r="U32" i="27"/>
  <c r="V19" i="27" s="1"/>
  <c r="S32" i="27"/>
  <c r="B32" i="27"/>
  <c r="R32" i="27" s="1"/>
  <c r="U31" i="27"/>
  <c r="S31" i="27"/>
  <c r="R31" i="27"/>
  <c r="B31" i="27"/>
  <c r="U30" i="27"/>
  <c r="S30" i="27"/>
  <c r="B30" i="27"/>
  <c r="R30" i="27" s="1"/>
  <c r="U29" i="27"/>
  <c r="S29" i="27"/>
  <c r="R29" i="27"/>
  <c r="B29" i="27"/>
  <c r="U28" i="27"/>
  <c r="S28" i="27"/>
  <c r="B28" i="27"/>
  <c r="R28" i="27" s="1"/>
  <c r="U27" i="27"/>
  <c r="S27" i="27"/>
  <c r="R27" i="27"/>
  <c r="B27" i="27"/>
  <c r="U26" i="27"/>
  <c r="V13" i="27" s="1"/>
  <c r="S26" i="27"/>
  <c r="Q4" i="27" s="1"/>
  <c r="B26" i="27"/>
  <c r="R26" i="27" s="1"/>
  <c r="U25" i="27"/>
  <c r="S25" i="27"/>
  <c r="R25" i="27"/>
  <c r="M25" i="27"/>
  <c r="H25" i="27"/>
  <c r="G25" i="27"/>
  <c r="F25" i="27"/>
  <c r="E25" i="27"/>
  <c r="D25" i="27"/>
  <c r="C25" i="27"/>
  <c r="U23" i="27"/>
  <c r="V23" i="27" s="1"/>
  <c r="R23" i="27"/>
  <c r="U22" i="27"/>
  <c r="V22" i="27" s="1"/>
  <c r="R22" i="27"/>
  <c r="V21" i="27"/>
  <c r="U21" i="27"/>
  <c r="R21" i="27"/>
  <c r="V20" i="27"/>
  <c r="U20" i="27"/>
  <c r="R20" i="27"/>
  <c r="U19" i="27"/>
  <c r="R19" i="27"/>
  <c r="U18" i="27"/>
  <c r="R18" i="27"/>
  <c r="U17" i="27"/>
  <c r="V17" i="27" s="1"/>
  <c r="R17" i="27"/>
  <c r="U16" i="27"/>
  <c r="V16" i="27" s="1"/>
  <c r="R16" i="27"/>
  <c r="U15" i="27"/>
  <c r="V15" i="27" s="1"/>
  <c r="R15" i="27"/>
  <c r="U14" i="27"/>
  <c r="R14" i="27"/>
  <c r="U13" i="27"/>
  <c r="R13" i="27"/>
  <c r="O12" i="27"/>
  <c r="O25" i="27" s="1"/>
  <c r="N12" i="27"/>
  <c r="N25" i="27" s="1"/>
  <c r="M12" i="27"/>
  <c r="L12" i="27"/>
  <c r="L25" i="27" s="1"/>
  <c r="K12" i="27"/>
  <c r="K25" i="27" s="1"/>
  <c r="J12" i="27"/>
  <c r="J25" i="27" s="1"/>
  <c r="O7" i="27"/>
  <c r="R7" i="27" s="1"/>
  <c r="O6" i="27"/>
  <c r="O4" i="27"/>
  <c r="G4" i="27"/>
  <c r="G3" i="27"/>
  <c r="T9" i="26"/>
  <c r="T7" i="26"/>
  <c r="T6" i="26"/>
  <c r="T7" i="25"/>
  <c r="T6" i="25"/>
  <c r="T7" i="24"/>
  <c r="T6" i="24"/>
  <c r="V7" i="1"/>
  <c r="V6" i="1"/>
  <c r="V5" i="1"/>
  <c r="V4" i="1"/>
  <c r="U7" i="1"/>
  <c r="U6" i="1"/>
  <c r="U5" i="1"/>
  <c r="U4" i="1"/>
  <c r="T7" i="1"/>
  <c r="T6" i="1"/>
  <c r="T5" i="1"/>
  <c r="T4" i="1"/>
  <c r="T5" i="26"/>
  <c r="T4" i="26"/>
  <c r="C3" i="26"/>
  <c r="K37" i="26" s="1"/>
  <c r="M37" i="26"/>
  <c r="F37" i="26"/>
  <c r="D37" i="26"/>
  <c r="U36" i="26"/>
  <c r="S36" i="26"/>
  <c r="B36" i="26"/>
  <c r="R36" i="26" s="1"/>
  <c r="U35" i="26"/>
  <c r="S35" i="26"/>
  <c r="R35" i="26"/>
  <c r="B35" i="26"/>
  <c r="U34" i="26"/>
  <c r="S34" i="26"/>
  <c r="B34" i="26"/>
  <c r="R34" i="26" s="1"/>
  <c r="U33" i="26"/>
  <c r="S33" i="26"/>
  <c r="R33" i="26"/>
  <c r="B33" i="26"/>
  <c r="U32" i="26"/>
  <c r="S32" i="26"/>
  <c r="B32" i="26"/>
  <c r="R32" i="26" s="1"/>
  <c r="U31" i="26"/>
  <c r="S31" i="26"/>
  <c r="R31" i="26"/>
  <c r="B31" i="26"/>
  <c r="U30" i="26"/>
  <c r="S30" i="26"/>
  <c r="B30" i="26"/>
  <c r="R30" i="26" s="1"/>
  <c r="U29" i="26"/>
  <c r="S29" i="26"/>
  <c r="R29" i="26"/>
  <c r="B29" i="26"/>
  <c r="U28" i="26"/>
  <c r="S28" i="26"/>
  <c r="B28" i="26"/>
  <c r="R28" i="26" s="1"/>
  <c r="U27" i="26"/>
  <c r="S27" i="26"/>
  <c r="R27" i="26"/>
  <c r="B27" i="26"/>
  <c r="U26" i="26"/>
  <c r="S26" i="26"/>
  <c r="Q6" i="26" s="1"/>
  <c r="B26" i="26"/>
  <c r="R26" i="26" s="1"/>
  <c r="U25" i="26"/>
  <c r="S25" i="26"/>
  <c r="R25" i="26"/>
  <c r="M25" i="26"/>
  <c r="H25" i="26"/>
  <c r="G25" i="26"/>
  <c r="F25" i="26"/>
  <c r="E25" i="26"/>
  <c r="D25" i="26"/>
  <c r="C25" i="26"/>
  <c r="U23" i="26"/>
  <c r="V23" i="26" s="1"/>
  <c r="R23" i="26"/>
  <c r="V22" i="26"/>
  <c r="U22" i="26"/>
  <c r="R22" i="26"/>
  <c r="V21" i="26"/>
  <c r="U21" i="26"/>
  <c r="R21" i="26"/>
  <c r="U20" i="26"/>
  <c r="V20" i="26" s="1"/>
  <c r="R20" i="26"/>
  <c r="U19" i="26"/>
  <c r="V19" i="26" s="1"/>
  <c r="R19" i="26"/>
  <c r="U18" i="26"/>
  <c r="V18" i="26" s="1"/>
  <c r="R18" i="26"/>
  <c r="U17" i="26"/>
  <c r="V17" i="26" s="1"/>
  <c r="R17" i="26"/>
  <c r="U16" i="26"/>
  <c r="R16" i="26"/>
  <c r="U15" i="26"/>
  <c r="V15" i="26" s="1"/>
  <c r="R15" i="26"/>
  <c r="U14" i="26"/>
  <c r="V14" i="26" s="1"/>
  <c r="R14" i="26"/>
  <c r="U13" i="26"/>
  <c r="R13" i="26"/>
  <c r="O12" i="26"/>
  <c r="O25" i="26" s="1"/>
  <c r="N12" i="26"/>
  <c r="N25" i="26" s="1"/>
  <c r="M12" i="26"/>
  <c r="L12" i="26"/>
  <c r="L25" i="26" s="1"/>
  <c r="K12" i="26"/>
  <c r="K25" i="26" s="1"/>
  <c r="J12" i="26"/>
  <c r="J25" i="26" s="1"/>
  <c r="O7" i="26"/>
  <c r="R7" i="26" s="1"/>
  <c r="O6" i="26"/>
  <c r="Q4" i="26"/>
  <c r="O4" i="26"/>
  <c r="G4" i="26"/>
  <c r="G3" i="26"/>
  <c r="M37" i="25"/>
  <c r="O37" i="25" s="1"/>
  <c r="K37" i="25"/>
  <c r="F37" i="25"/>
  <c r="H37" i="25" s="1"/>
  <c r="D37" i="25"/>
  <c r="U36" i="25"/>
  <c r="S36" i="25"/>
  <c r="B36" i="25"/>
  <c r="R36" i="25" s="1"/>
  <c r="U35" i="25"/>
  <c r="S35" i="25"/>
  <c r="R35" i="25"/>
  <c r="B35" i="25"/>
  <c r="U34" i="25"/>
  <c r="S34" i="25"/>
  <c r="B34" i="25"/>
  <c r="R34" i="25" s="1"/>
  <c r="U33" i="25"/>
  <c r="S33" i="25"/>
  <c r="R33" i="25"/>
  <c r="B33" i="25"/>
  <c r="U32" i="25"/>
  <c r="S32" i="25"/>
  <c r="B32" i="25"/>
  <c r="R32" i="25" s="1"/>
  <c r="U31" i="25"/>
  <c r="S31" i="25"/>
  <c r="R31" i="25"/>
  <c r="B31" i="25"/>
  <c r="U30" i="25"/>
  <c r="S30" i="25"/>
  <c r="B30" i="25"/>
  <c r="R30" i="25" s="1"/>
  <c r="U29" i="25"/>
  <c r="S29" i="25"/>
  <c r="R29" i="25"/>
  <c r="B29" i="25"/>
  <c r="U28" i="25"/>
  <c r="S28" i="25"/>
  <c r="B28" i="25"/>
  <c r="R28" i="25" s="1"/>
  <c r="U27" i="25"/>
  <c r="S27" i="25"/>
  <c r="R27" i="25"/>
  <c r="B27" i="25"/>
  <c r="U26" i="25"/>
  <c r="S26" i="25"/>
  <c r="Q4" i="25" s="1"/>
  <c r="B26" i="25"/>
  <c r="R26" i="25" s="1"/>
  <c r="U25" i="25"/>
  <c r="S25" i="25"/>
  <c r="R25" i="25"/>
  <c r="N25" i="25"/>
  <c r="M25" i="25"/>
  <c r="H25" i="25"/>
  <c r="G25" i="25"/>
  <c r="F25" i="25"/>
  <c r="E25" i="25"/>
  <c r="D25" i="25"/>
  <c r="C25" i="25"/>
  <c r="U23" i="25"/>
  <c r="V23" i="25" s="1"/>
  <c r="R23" i="25"/>
  <c r="V22" i="25"/>
  <c r="U22" i="25"/>
  <c r="R22" i="25"/>
  <c r="V21" i="25"/>
  <c r="U21" i="25"/>
  <c r="R21" i="25"/>
  <c r="U20" i="25"/>
  <c r="V20" i="25" s="1"/>
  <c r="R20" i="25"/>
  <c r="U19" i="25"/>
  <c r="O6" i="25" s="1"/>
  <c r="R19" i="25"/>
  <c r="U18" i="25"/>
  <c r="V18" i="25" s="1"/>
  <c r="R18" i="25"/>
  <c r="U17" i="25"/>
  <c r="V17" i="25" s="1"/>
  <c r="R17" i="25"/>
  <c r="U16" i="25"/>
  <c r="V16" i="25" s="1"/>
  <c r="R16" i="25"/>
  <c r="U15" i="25"/>
  <c r="V15" i="25" s="1"/>
  <c r="R15" i="25"/>
  <c r="U14" i="25"/>
  <c r="V14" i="25" s="1"/>
  <c r="R14" i="25"/>
  <c r="U13" i="25"/>
  <c r="V13" i="25" s="1"/>
  <c r="R13" i="25"/>
  <c r="O12" i="25"/>
  <c r="O25" i="25" s="1"/>
  <c r="N12" i="25"/>
  <c r="M12" i="25"/>
  <c r="L12" i="25"/>
  <c r="L25" i="25" s="1"/>
  <c r="K12" i="25"/>
  <c r="K25" i="25" s="1"/>
  <c r="J12" i="25"/>
  <c r="J25" i="25" s="1"/>
  <c r="O7" i="25"/>
  <c r="R7" i="25" s="1"/>
  <c r="O4" i="25"/>
  <c r="G4" i="25"/>
  <c r="G3" i="25"/>
  <c r="M37" i="24"/>
  <c r="O37" i="24" s="1"/>
  <c r="K37" i="24"/>
  <c r="F37" i="24"/>
  <c r="D37" i="24"/>
  <c r="U36" i="24"/>
  <c r="S36" i="24"/>
  <c r="B36" i="24"/>
  <c r="R36" i="24" s="1"/>
  <c r="U35" i="24"/>
  <c r="S35" i="24"/>
  <c r="R35" i="24"/>
  <c r="B35" i="24"/>
  <c r="U34" i="24"/>
  <c r="S34" i="24"/>
  <c r="B34" i="24"/>
  <c r="R34" i="24" s="1"/>
  <c r="U33" i="24"/>
  <c r="S33" i="24"/>
  <c r="R33" i="24"/>
  <c r="B33" i="24"/>
  <c r="U32" i="24"/>
  <c r="S32" i="24"/>
  <c r="B32" i="24"/>
  <c r="R32" i="24" s="1"/>
  <c r="U31" i="24"/>
  <c r="S31" i="24"/>
  <c r="R31" i="24"/>
  <c r="B31" i="24"/>
  <c r="U30" i="24"/>
  <c r="S30" i="24"/>
  <c r="B30" i="24"/>
  <c r="R30" i="24" s="1"/>
  <c r="U29" i="24"/>
  <c r="S29" i="24"/>
  <c r="R29" i="24"/>
  <c r="B29" i="24"/>
  <c r="U28" i="24"/>
  <c r="S28" i="24"/>
  <c r="B28" i="24"/>
  <c r="R28" i="24" s="1"/>
  <c r="U27" i="24"/>
  <c r="S27" i="24"/>
  <c r="R27" i="24"/>
  <c r="B27" i="24"/>
  <c r="U26" i="24"/>
  <c r="S26" i="24"/>
  <c r="B26" i="24"/>
  <c r="R26" i="24" s="1"/>
  <c r="U25" i="24"/>
  <c r="S25" i="24"/>
  <c r="R25" i="24"/>
  <c r="J25" i="24"/>
  <c r="H25" i="24"/>
  <c r="G25" i="24"/>
  <c r="F25" i="24"/>
  <c r="E25" i="24"/>
  <c r="D25" i="24"/>
  <c r="C25" i="24"/>
  <c r="U23" i="24"/>
  <c r="V23" i="24" s="1"/>
  <c r="R23" i="24"/>
  <c r="U22" i="24"/>
  <c r="V22" i="24" s="1"/>
  <c r="R22" i="24"/>
  <c r="V21" i="24"/>
  <c r="U21" i="24"/>
  <c r="R21" i="24"/>
  <c r="V20" i="24"/>
  <c r="U20" i="24"/>
  <c r="R20" i="24"/>
  <c r="U19" i="24"/>
  <c r="O6" i="24" s="1"/>
  <c r="R6" i="24" s="1"/>
  <c r="R19" i="24"/>
  <c r="U18" i="24"/>
  <c r="V18" i="24" s="1"/>
  <c r="R18" i="24"/>
  <c r="V17" i="24"/>
  <c r="U17" i="24"/>
  <c r="R17" i="24"/>
  <c r="U16" i="24"/>
  <c r="R16" i="24"/>
  <c r="U15" i="24"/>
  <c r="V15" i="24" s="1"/>
  <c r="R15" i="24"/>
  <c r="U14" i="24"/>
  <c r="V14" i="24" s="1"/>
  <c r="R14" i="24"/>
  <c r="U13" i="24"/>
  <c r="V13" i="24" s="1"/>
  <c r="R13" i="24"/>
  <c r="O12" i="24"/>
  <c r="O25" i="24" s="1"/>
  <c r="N12" i="24"/>
  <c r="N25" i="24" s="1"/>
  <c r="M12" i="24"/>
  <c r="M25" i="24" s="1"/>
  <c r="L12" i="24"/>
  <c r="L25" i="24" s="1"/>
  <c r="K12" i="24"/>
  <c r="K25" i="24" s="1"/>
  <c r="J12" i="24"/>
  <c r="O7" i="24"/>
  <c r="R7" i="24" s="1"/>
  <c r="Q6" i="24"/>
  <c r="Q5" i="24"/>
  <c r="O5" i="24"/>
  <c r="R5" i="24" s="1"/>
  <c r="Q4" i="24"/>
  <c r="Q8" i="24" s="1"/>
  <c r="O4" i="24"/>
  <c r="G4" i="24"/>
  <c r="G3" i="24"/>
  <c r="K8" i="24" s="1"/>
  <c r="Q6" i="33" l="1"/>
  <c r="W23" i="33"/>
  <c r="O5" i="33"/>
  <c r="V17" i="33"/>
  <c r="V14" i="33"/>
  <c r="W21" i="33"/>
  <c r="O37" i="33"/>
  <c r="W20" i="33"/>
  <c r="H37" i="33"/>
  <c r="Q4" i="33"/>
  <c r="V19" i="33"/>
  <c r="T7" i="33"/>
  <c r="S7" i="33"/>
  <c r="V7" i="33" s="1"/>
  <c r="U7" i="33"/>
  <c r="O4" i="33"/>
  <c r="V20" i="33"/>
  <c r="V22" i="33"/>
  <c r="Q5" i="33"/>
  <c r="O6" i="33"/>
  <c r="R6" i="33" s="1"/>
  <c r="O4" i="32"/>
  <c r="V16" i="32"/>
  <c r="V13" i="32"/>
  <c r="V23" i="32"/>
  <c r="V21" i="32"/>
  <c r="W23" i="32"/>
  <c r="U7" i="32"/>
  <c r="T7" i="32"/>
  <c r="S7" i="32"/>
  <c r="V7" i="32" s="1"/>
  <c r="O5" i="32"/>
  <c r="V22" i="32"/>
  <c r="Q5" i="32"/>
  <c r="V20" i="32"/>
  <c r="R4" i="32"/>
  <c r="K8" i="32"/>
  <c r="Q6" i="32"/>
  <c r="R6" i="32" s="1"/>
  <c r="W19" i="32"/>
  <c r="W21" i="32"/>
  <c r="Q6" i="31"/>
  <c r="Q5" i="31"/>
  <c r="V22" i="31"/>
  <c r="V15" i="31"/>
  <c r="V23" i="31"/>
  <c r="W20" i="31"/>
  <c r="U7" i="31"/>
  <c r="S7" i="31"/>
  <c r="V7" i="31" s="1"/>
  <c r="T7" i="31"/>
  <c r="O4" i="31"/>
  <c r="Q4" i="31"/>
  <c r="O5" i="31"/>
  <c r="O6" i="31"/>
  <c r="V16" i="30"/>
  <c r="V23" i="30"/>
  <c r="V19" i="30"/>
  <c r="V20" i="30"/>
  <c r="Q6" i="30"/>
  <c r="R6" i="30" s="1"/>
  <c r="U7" i="30"/>
  <c r="T7" i="30"/>
  <c r="S7" i="30"/>
  <c r="V7" i="30" s="1"/>
  <c r="Q4" i="30"/>
  <c r="Q5" i="30"/>
  <c r="K8" i="30"/>
  <c r="O5" i="30"/>
  <c r="H37" i="29"/>
  <c r="V16" i="29"/>
  <c r="V17" i="29"/>
  <c r="V13" i="29"/>
  <c r="V18" i="29"/>
  <c r="U7" i="29"/>
  <c r="T7" i="29"/>
  <c r="S7" i="29"/>
  <c r="V7" i="29" s="1"/>
  <c r="R6" i="29"/>
  <c r="Q4" i="29"/>
  <c r="O5" i="29"/>
  <c r="Q5" i="29"/>
  <c r="K8" i="29"/>
  <c r="V19" i="28"/>
  <c r="V13" i="28"/>
  <c r="V17" i="28"/>
  <c r="V18" i="28"/>
  <c r="R6" i="28"/>
  <c r="U7" i="28"/>
  <c r="S7" i="28"/>
  <c r="V7" i="28" s="1"/>
  <c r="T7" i="28"/>
  <c r="Q4" i="28"/>
  <c r="Q8" i="28" s="1"/>
  <c r="O5" i="28"/>
  <c r="Q5" i="28"/>
  <c r="K8" i="28"/>
  <c r="V14" i="27"/>
  <c r="V18" i="27"/>
  <c r="R4" i="27"/>
  <c r="U7" i="27"/>
  <c r="T7" i="27"/>
  <c r="S7" i="27"/>
  <c r="V7" i="27" s="1"/>
  <c r="O5" i="27"/>
  <c r="Q5" i="27"/>
  <c r="Q8" i="27" s="1"/>
  <c r="K8" i="27"/>
  <c r="Q6" i="27"/>
  <c r="R6" i="27" s="1"/>
  <c r="V16" i="26"/>
  <c r="V13" i="26"/>
  <c r="R4" i="26"/>
  <c r="H37" i="26"/>
  <c r="O37" i="26"/>
  <c r="R6" i="26"/>
  <c r="U7" i="26"/>
  <c r="S7" i="26"/>
  <c r="V7" i="26" s="1"/>
  <c r="O5" i="26"/>
  <c r="Q5" i="26"/>
  <c r="Q8" i="26" s="1"/>
  <c r="K8" i="26"/>
  <c r="U7" i="25"/>
  <c r="S7" i="25"/>
  <c r="V7" i="25" s="1"/>
  <c r="R4" i="25"/>
  <c r="Q5" i="25"/>
  <c r="Q8" i="25" s="1"/>
  <c r="K8" i="25"/>
  <c r="V19" i="25"/>
  <c r="O5" i="25"/>
  <c r="O8" i="25" s="1"/>
  <c r="R8" i="25" s="1"/>
  <c r="Q6" i="25"/>
  <c r="R6" i="25" s="1"/>
  <c r="O8" i="24"/>
  <c r="R8" i="24" s="1"/>
  <c r="S8" i="24" s="1"/>
  <c r="L8" i="24" s="1"/>
  <c r="V16" i="24"/>
  <c r="V19" i="24"/>
  <c r="H37" i="24"/>
  <c r="U7" i="24"/>
  <c r="S7" i="24"/>
  <c r="V7" i="24" s="1"/>
  <c r="K3" i="24"/>
  <c r="G7" i="24"/>
  <c r="S5" i="24" s="1"/>
  <c r="V5" i="24" s="1"/>
  <c r="G8" i="24"/>
  <c r="S6" i="24" s="1"/>
  <c r="V6" i="24" s="1"/>
  <c r="G6" i="24"/>
  <c r="R4" i="24"/>
  <c r="F37" i="1"/>
  <c r="H37" i="1" s="1"/>
  <c r="D37" i="1"/>
  <c r="M37" i="1"/>
  <c r="K37" i="1"/>
  <c r="Q8" i="33" l="1"/>
  <c r="G7" i="33"/>
  <c r="K3" i="33" s="1"/>
  <c r="G8" i="33"/>
  <c r="G6" i="33"/>
  <c r="O8" i="33"/>
  <c r="R8" i="33" s="1"/>
  <c r="R4" i="33"/>
  <c r="R5" i="33"/>
  <c r="Q8" i="32"/>
  <c r="U9" i="32" s="1"/>
  <c r="G7" i="32"/>
  <c r="K3" i="32" s="1"/>
  <c r="T4" i="32" s="1"/>
  <c r="G8" i="32"/>
  <c r="S6" i="32" s="1"/>
  <c r="V6" i="32" s="1"/>
  <c r="G6" i="32"/>
  <c r="K6" i="32" s="1"/>
  <c r="U4" i="32" s="1"/>
  <c r="R5" i="32"/>
  <c r="T6" i="32"/>
  <c r="O8" i="32"/>
  <c r="R8" i="32" s="1"/>
  <c r="R5" i="31"/>
  <c r="R6" i="31"/>
  <c r="Q8" i="31"/>
  <c r="G7" i="31" s="1"/>
  <c r="K3" i="31" s="1"/>
  <c r="T5" i="31" s="1"/>
  <c r="G6" i="31"/>
  <c r="O8" i="31"/>
  <c r="R8" i="31" s="1"/>
  <c r="R4" i="31"/>
  <c r="Q8" i="30"/>
  <c r="R5" i="30"/>
  <c r="O8" i="30"/>
  <c r="R8" i="30" s="1"/>
  <c r="R4" i="30"/>
  <c r="R5" i="29"/>
  <c r="Q8" i="29"/>
  <c r="O8" i="29"/>
  <c r="R4" i="29"/>
  <c r="R5" i="28"/>
  <c r="R4" i="28"/>
  <c r="G7" i="28"/>
  <c r="K3" i="28" s="1"/>
  <c r="G6" i="28"/>
  <c r="G8" i="28"/>
  <c r="O8" i="28"/>
  <c r="R8" i="28" s="1"/>
  <c r="G7" i="27"/>
  <c r="K3" i="27" s="1"/>
  <c r="G8" i="27"/>
  <c r="S4" i="27" s="1"/>
  <c r="V4" i="27" s="1"/>
  <c r="G6" i="27"/>
  <c r="K6" i="27" s="1"/>
  <c r="U6" i="27" s="1"/>
  <c r="R5" i="27"/>
  <c r="T6" i="27"/>
  <c r="T4" i="27"/>
  <c r="O8" i="27"/>
  <c r="R8" i="27" s="1"/>
  <c r="S8" i="27" s="1"/>
  <c r="L8" i="27" s="1"/>
  <c r="R5" i="26"/>
  <c r="G6" i="26"/>
  <c r="G7" i="26"/>
  <c r="G8" i="26"/>
  <c r="O8" i="26"/>
  <c r="R8" i="26" s="1"/>
  <c r="S6" i="25"/>
  <c r="V6" i="25" s="1"/>
  <c r="G8" i="25"/>
  <c r="G7" i="25"/>
  <c r="K3" i="25" s="1"/>
  <c r="T4" i="25" s="1"/>
  <c r="G6" i="25"/>
  <c r="R5" i="25"/>
  <c r="T4" i="24"/>
  <c r="S4" i="24"/>
  <c r="V4" i="24" s="1"/>
  <c r="K6" i="24"/>
  <c r="K5" i="24"/>
  <c r="L5" i="24" s="1"/>
  <c r="L3" i="24"/>
  <c r="T5" i="24"/>
  <c r="S6" i="33" l="1"/>
  <c r="V6" i="33" s="1"/>
  <c r="T4" i="33"/>
  <c r="S4" i="33"/>
  <c r="V4" i="33" s="1"/>
  <c r="T5" i="33"/>
  <c r="S5" i="33"/>
  <c r="V5" i="33" s="1"/>
  <c r="L3" i="33"/>
  <c r="K5" i="33"/>
  <c r="L5" i="33" s="1"/>
  <c r="S8" i="33"/>
  <c r="L8" i="33" s="1"/>
  <c r="K6" i="33"/>
  <c r="U5" i="33" s="1"/>
  <c r="T6" i="33"/>
  <c r="S8" i="32"/>
  <c r="L8" i="32" s="1"/>
  <c r="S4" i="32"/>
  <c r="V4" i="32" s="1"/>
  <c r="U5" i="32"/>
  <c r="T5" i="32"/>
  <c r="S5" i="32"/>
  <c r="V5" i="32" s="1"/>
  <c r="L6" i="32"/>
  <c r="K5" i="32"/>
  <c r="L5" i="32" s="1"/>
  <c r="L3" i="32"/>
  <c r="U6" i="32"/>
  <c r="U10" i="32"/>
  <c r="G8" i="31"/>
  <c r="S5" i="31" s="1"/>
  <c r="V5" i="31" s="1"/>
  <c r="U9" i="31"/>
  <c r="T6" i="31"/>
  <c r="G7" i="30"/>
  <c r="K3" i="30" s="1"/>
  <c r="U9" i="30"/>
  <c r="L3" i="31"/>
  <c r="S6" i="31"/>
  <c r="V6" i="31" s="1"/>
  <c r="K6" i="31"/>
  <c r="U4" i="31" s="1"/>
  <c r="S4" i="31"/>
  <c r="V4" i="31" s="1"/>
  <c r="T4" i="31"/>
  <c r="T9" i="31"/>
  <c r="G8" i="30"/>
  <c r="G6" i="30"/>
  <c r="G6" i="29"/>
  <c r="G7" i="29"/>
  <c r="G8" i="29"/>
  <c r="R8" i="29"/>
  <c r="S8" i="29" s="1"/>
  <c r="L8" i="29" s="1"/>
  <c r="S4" i="29"/>
  <c r="V4" i="29" s="1"/>
  <c r="S8" i="28"/>
  <c r="L8" i="28" s="1"/>
  <c r="S6" i="28"/>
  <c r="V6" i="28" s="1"/>
  <c r="K6" i="28"/>
  <c r="K5" i="28"/>
  <c r="L5" i="28" s="1"/>
  <c r="L3" i="28"/>
  <c r="T4" i="28"/>
  <c r="T5" i="28"/>
  <c r="T6" i="28"/>
  <c r="S4" i="28"/>
  <c r="V4" i="28" s="1"/>
  <c r="S5" i="28"/>
  <c r="V5" i="28" s="1"/>
  <c r="S6" i="27"/>
  <c r="V6" i="27" s="1"/>
  <c r="U5" i="27"/>
  <c r="S5" i="27"/>
  <c r="V5" i="27" s="1"/>
  <c r="T5" i="27"/>
  <c r="L6" i="27"/>
  <c r="U4" i="27"/>
  <c r="K5" i="27"/>
  <c r="L5" i="27" s="1"/>
  <c r="L3" i="27"/>
  <c r="S5" i="26"/>
  <c r="V5" i="26" s="1"/>
  <c r="K6" i="26"/>
  <c r="S4" i="26"/>
  <c r="V4" i="26" s="1"/>
  <c r="K3" i="26"/>
  <c r="S8" i="26"/>
  <c r="L8" i="26" s="1"/>
  <c r="S6" i="26"/>
  <c r="V6" i="26" s="1"/>
  <c r="K6" i="25"/>
  <c r="K5" i="25"/>
  <c r="L5" i="25" s="1"/>
  <c r="L3" i="25"/>
  <c r="U5" i="25"/>
  <c r="S5" i="25"/>
  <c r="V5" i="25" s="1"/>
  <c r="T5" i="25"/>
  <c r="S8" i="25"/>
  <c r="L8" i="25" s="1"/>
  <c r="S4" i="25"/>
  <c r="V4" i="25" s="1"/>
  <c r="L6" i="24"/>
  <c r="U6" i="24"/>
  <c r="U5" i="24"/>
  <c r="U4" i="24"/>
  <c r="L6" i="33" l="1"/>
  <c r="U6" i="33"/>
  <c r="U4" i="33"/>
  <c r="K5" i="31"/>
  <c r="L5" i="31" s="1"/>
  <c r="S8" i="31"/>
  <c r="L8" i="31" s="1"/>
  <c r="K6" i="30"/>
  <c r="U10" i="30" s="1"/>
  <c r="T4" i="30"/>
  <c r="T9" i="30"/>
  <c r="S4" i="30"/>
  <c r="V4" i="30" s="1"/>
  <c r="S6" i="30"/>
  <c r="V6" i="30" s="1"/>
  <c r="L6" i="31"/>
  <c r="U6" i="31"/>
  <c r="U5" i="31"/>
  <c r="U10" i="31"/>
  <c r="S8" i="30"/>
  <c r="L8" i="30" s="1"/>
  <c r="S5" i="30"/>
  <c r="V5" i="30" s="1"/>
  <c r="K5" i="30"/>
  <c r="L5" i="30" s="1"/>
  <c r="L3" i="30"/>
  <c r="T6" i="30"/>
  <c r="T5" i="30"/>
  <c r="K3" i="29"/>
  <c r="S6" i="29"/>
  <c r="V6" i="29" s="1"/>
  <c r="S5" i="29"/>
  <c r="V5" i="29" s="1"/>
  <c r="K6" i="29"/>
  <c r="L6" i="28"/>
  <c r="U5" i="28"/>
  <c r="U4" i="28"/>
  <c r="U6" i="28"/>
  <c r="K5" i="26"/>
  <c r="L5" i="26" s="1"/>
  <c r="L3" i="26"/>
  <c r="L6" i="26"/>
  <c r="U4" i="26"/>
  <c r="U6" i="26"/>
  <c r="U5" i="26"/>
  <c r="L6" i="25"/>
  <c r="U4" i="25"/>
  <c r="U6" i="25"/>
  <c r="U4" i="30" l="1"/>
  <c r="U5" i="30"/>
  <c r="U6" i="30"/>
  <c r="L6" i="30"/>
  <c r="K5" i="29"/>
  <c r="L5" i="29" s="1"/>
  <c r="L3" i="29"/>
  <c r="T6" i="29"/>
  <c r="T5" i="29"/>
  <c r="T4" i="29"/>
  <c r="L6" i="29"/>
  <c r="U6" i="29"/>
  <c r="U5" i="29"/>
  <c r="U4" i="29"/>
  <c r="G4" i="1" l="1"/>
  <c r="G3" i="1"/>
  <c r="K8" i="1" l="1"/>
  <c r="U27" i="1" l="1"/>
  <c r="U28" i="1"/>
  <c r="U29" i="1"/>
  <c r="U30" i="1"/>
  <c r="U31" i="1"/>
  <c r="U32" i="1"/>
  <c r="U33" i="1"/>
  <c r="U34" i="1"/>
  <c r="U35" i="1"/>
  <c r="U36" i="1"/>
  <c r="U25" i="1"/>
  <c r="O7" i="1" l="1"/>
  <c r="R7" i="1" s="1"/>
  <c r="S27" i="1"/>
  <c r="S28" i="1"/>
  <c r="S29" i="1"/>
  <c r="S30" i="1"/>
  <c r="S31" i="1"/>
  <c r="S32" i="1"/>
  <c r="S33" i="1"/>
  <c r="S34" i="1"/>
  <c r="S35" i="1"/>
  <c r="S36" i="1"/>
  <c r="S26" i="1"/>
  <c r="R14" i="1"/>
  <c r="R15" i="1"/>
  <c r="R16" i="1"/>
  <c r="R17" i="1"/>
  <c r="R18" i="1"/>
  <c r="R19" i="1"/>
  <c r="R20" i="1"/>
  <c r="R21" i="1"/>
  <c r="R22" i="1"/>
  <c r="R23" i="1"/>
  <c r="R13" i="1"/>
  <c r="B27" i="1"/>
  <c r="R27" i="1" s="1"/>
  <c r="B28" i="1"/>
  <c r="R28" i="1" s="1"/>
  <c r="B29" i="1"/>
  <c r="R29" i="1" s="1"/>
  <c r="B30" i="1"/>
  <c r="R30" i="1" s="1"/>
  <c r="B31" i="1"/>
  <c r="R31" i="1" s="1"/>
  <c r="B32" i="1"/>
  <c r="R32" i="1" s="1"/>
  <c r="B33" i="1"/>
  <c r="R33" i="1" s="1"/>
  <c r="B34" i="1"/>
  <c r="R34" i="1" s="1"/>
  <c r="B35" i="1"/>
  <c r="R35" i="1" s="1"/>
  <c r="B36" i="1"/>
  <c r="R36" i="1" s="1"/>
  <c r="B26" i="1"/>
  <c r="R26" i="1" s="1"/>
  <c r="U14" i="1"/>
  <c r="V14" i="1" s="1"/>
  <c r="U15" i="1"/>
  <c r="V15" i="1" s="1"/>
  <c r="U16" i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S25" i="1"/>
  <c r="R25" i="1"/>
  <c r="D25" i="1"/>
  <c r="E25" i="1"/>
  <c r="F25" i="1"/>
  <c r="G25" i="1"/>
  <c r="H25" i="1"/>
  <c r="C25" i="1"/>
  <c r="K12" i="1"/>
  <c r="K25" i="1" s="1"/>
  <c r="L12" i="1"/>
  <c r="L25" i="1" s="1"/>
  <c r="M12" i="1"/>
  <c r="U13" i="1" s="1"/>
  <c r="N12" i="1"/>
  <c r="N25" i="1" s="1"/>
  <c r="O12" i="1"/>
  <c r="O25" i="1" s="1"/>
  <c r="J12" i="1"/>
  <c r="J25" i="1" s="1"/>
  <c r="S7" i="1" l="1"/>
  <c r="O5" i="1"/>
  <c r="M25" i="1"/>
  <c r="O37" i="1" s="1"/>
  <c r="U26" i="1"/>
  <c r="V13" i="1" s="1"/>
  <c r="O6" i="1"/>
  <c r="Q6" i="1"/>
  <c r="Q5" i="1"/>
  <c r="V16" i="1"/>
  <c r="O4" i="1"/>
  <c r="R5" i="1" l="1"/>
  <c r="R6" i="1"/>
  <c r="Q4" i="1"/>
  <c r="R4" i="1" s="1"/>
  <c r="O8" i="1"/>
  <c r="Q8" i="1" l="1"/>
  <c r="G8" i="1" l="1"/>
  <c r="G6" i="1"/>
  <c r="G7" i="1"/>
  <c r="R8" i="1"/>
  <c r="S8" i="1" l="1"/>
  <c r="L8" i="1" s="1"/>
  <c r="K3" i="1"/>
  <c r="S5" i="1"/>
  <c r="S4" i="1"/>
  <c r="S6" i="1"/>
  <c r="K6" i="1"/>
  <c r="K5" i="1"/>
  <c r="L5" i="1" s="1"/>
  <c r="L6" i="1" l="1"/>
  <c r="L3" i="1"/>
</calcChain>
</file>

<file path=xl/sharedStrings.xml><?xml version="1.0" encoding="utf-8"?>
<sst xmlns="http://schemas.openxmlformats.org/spreadsheetml/2006/main" count="887" uniqueCount="76">
  <si>
    <t>Tariffs</t>
  </si>
  <si>
    <t>Tariffs year t</t>
  </si>
  <si>
    <t>Prices</t>
  </si>
  <si>
    <t>Fixed</t>
  </si>
  <si>
    <t>Anytime</t>
  </si>
  <si>
    <t>Peak</t>
  </si>
  <si>
    <t>Off-peak</t>
  </si>
  <si>
    <t>Shoulder</t>
  </si>
  <si>
    <t>Demand</t>
  </si>
  <si>
    <t>Quantities</t>
  </si>
  <si>
    <t>Residential</t>
  </si>
  <si>
    <t>Residential flat</t>
  </si>
  <si>
    <t>Residential TOU</t>
  </si>
  <si>
    <t>SB flat</t>
  </si>
  <si>
    <t>SB TOU</t>
  </si>
  <si>
    <t>SB Demand</t>
  </si>
  <si>
    <t>Other</t>
  </si>
  <si>
    <t>Tariff year t-1</t>
  </si>
  <si>
    <t>'I' factor</t>
  </si>
  <si>
    <t>'C' factor</t>
  </si>
  <si>
    <t>'B' factor</t>
  </si>
  <si>
    <t>TAR</t>
  </si>
  <si>
    <t>2%</t>
  </si>
  <si>
    <t>'Q' factor</t>
  </si>
  <si>
    <t>Tariff class</t>
  </si>
  <si>
    <t>SB</t>
  </si>
  <si>
    <t>Status</t>
  </si>
  <si>
    <t>Existing</t>
  </si>
  <si>
    <t>Revenue</t>
  </si>
  <si>
    <t>Movement</t>
  </si>
  <si>
    <t>Total</t>
  </si>
  <si>
    <t>Compliant?</t>
  </si>
  <si>
    <t>Residential Dmd</t>
  </si>
  <si>
    <t>t-1 base</t>
  </si>
  <si>
    <t>year t-1</t>
  </si>
  <si>
    <t>year t</t>
  </si>
  <si>
    <t>t-1 TAR</t>
  </si>
  <si>
    <t>t-1 revenue</t>
  </si>
  <si>
    <t>'X' factor</t>
  </si>
  <si>
    <t>new</t>
  </si>
  <si>
    <t>New tariff 1</t>
  </si>
  <si>
    <t>New tariff 2</t>
  </si>
  <si>
    <t>New tariff 3</t>
  </si>
  <si>
    <t>New tariff 4</t>
  </si>
  <si>
    <t>New tariff 5</t>
  </si>
  <si>
    <t>X</t>
  </si>
  <si>
    <t>Current PP</t>
  </si>
  <si>
    <t>PP with Q, no AAR share</t>
  </si>
  <si>
    <t>PP with AAR share and Q</t>
  </si>
  <si>
    <t>D factor</t>
  </si>
  <si>
    <t>AA factor</t>
  </si>
  <si>
    <t>Alternate PP (CPI-X+2%)</t>
  </si>
  <si>
    <t>Scenario 1 - fixed quantities, increasing prices</t>
  </si>
  <si>
    <t>Scenario 2 - fixed quantities, deliberate under-recovery</t>
  </si>
  <si>
    <t>Scenario 1a - Scenario 1 with changed CPI and X</t>
  </si>
  <si>
    <t>Scenario 3 - fixed prices, increasing quantities</t>
  </si>
  <si>
    <t>Scenario 3a - Scenario 3 with no annual adjustments (only CPI-X)</t>
  </si>
  <si>
    <t>Scenario 4 - decreasing quantities and large unders true-up</t>
  </si>
  <si>
    <t>Scenario 5 - new tariffs, existing customers</t>
  </si>
  <si>
    <t>Scenario 5a - Scenario 5 with all new tariffs in single tariff class</t>
  </si>
  <si>
    <t>Scenario 6 - new tariffs, new customers</t>
  </si>
  <si>
    <t>Under trial tariff threshold?</t>
  </si>
  <si>
    <t>Scenario 6a - Scenario 6 in next year, new tariffs retired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</si>
  <si>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CPI</t>
    </r>
  </si>
  <si>
    <t>ΔCPI</t>
  </si>
  <si>
    <t>t revenue</t>
  </si>
  <si>
    <t>Side constraint revenue</t>
  </si>
  <si>
    <t>Year t</t>
  </si>
  <si>
    <t>Year t-1</t>
  </si>
  <si>
    <t>Alternate</t>
  </si>
  <si>
    <t>Current</t>
  </si>
  <si>
    <t>Proposed</t>
  </si>
  <si>
    <t>Revenue recovery of Total Allowed Revenue (TAR) under current mechanism</t>
  </si>
  <si>
    <t>Scenario 2a - Scenario 2 in next year</t>
  </si>
  <si>
    <t>Revenue recovery of Total Allowed Revenue (TAR) with new tariffs factor</t>
  </si>
  <si>
    <t>&lt;- New tariffs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</si>
</sst>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;\-#;;@"/>
    <numFmt numFmtId="165" formatCode="0.00%;\-0.00%;;@"/>
    <numFmt numFmtId="166" formatCode="0.00##;\-0.00##;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10" fontId="0" fillId="0" borderId="0" xfId="1" applyNumberFormat="1" applyFont="1"/>
    <xf numFmtId="164" fontId="0" fillId="0" borderId="0" xfId="0" applyNumberFormat="1"/>
    <xf numFmtId="164" fontId="0" fillId="0" borderId="3" xfId="0" applyNumberFormat="1" applyBorder="1"/>
    <xf numFmtId="164" fontId="0" fillId="0" borderId="5" xfId="0" applyNumberFormat="1" applyBorder="1"/>
    <xf numFmtId="164" fontId="0" fillId="0" borderId="3" xfId="0" applyNumberFormat="1" applyBorder="1" applyAlignment="1"/>
    <xf numFmtId="164" fontId="0" fillId="0" borderId="4" xfId="0" applyNumberFormat="1" applyBorder="1" applyAlignment="1"/>
    <xf numFmtId="164" fontId="0" fillId="0" borderId="6" xfId="0" applyNumberFormat="1" applyBorder="1"/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7" xfId="0" applyNumberFormat="1" applyBorder="1"/>
    <xf numFmtId="164" fontId="0" fillId="0" borderId="6" xfId="0" applyNumberFormat="1" applyBorder="1" applyAlignment="1"/>
    <xf numFmtId="164" fontId="0" fillId="0" borderId="0" xfId="0" applyNumberFormat="1" applyBorder="1" applyAlignment="1"/>
    <xf numFmtId="164" fontId="3" fillId="0" borderId="6" xfId="0" quotePrefix="1" applyNumberFormat="1" applyFont="1" applyBorder="1" applyAlignment="1"/>
    <xf numFmtId="164" fontId="0" fillId="0" borderId="0" xfId="0" applyNumberFormat="1" applyBorder="1"/>
    <xf numFmtId="164" fontId="0" fillId="0" borderId="6" xfId="0" quotePrefix="1" applyNumberFormat="1" applyBorder="1" applyAlignment="1"/>
    <xf numFmtId="164" fontId="3" fillId="0" borderId="6" xfId="0" applyNumberFormat="1" applyFont="1" applyBorder="1" applyAlignment="1"/>
    <xf numFmtId="164" fontId="0" fillId="0" borderId="12" xfId="0" applyNumberFormat="1" applyBorder="1"/>
    <xf numFmtId="164" fontId="0" fillId="0" borderId="14" xfId="0" applyNumberFormat="1" applyBorder="1"/>
    <xf numFmtId="164" fontId="0" fillId="0" borderId="12" xfId="0" quotePrefix="1" applyNumberFormat="1" applyBorder="1" applyAlignment="1"/>
    <xf numFmtId="164" fontId="0" fillId="0" borderId="13" xfId="0" quotePrefix="1" applyNumberFormat="1" applyBorder="1" applyAlignment="1"/>
    <xf numFmtId="164" fontId="0" fillId="0" borderId="13" xfId="0" applyNumberFormat="1" applyBorder="1"/>
    <xf numFmtId="164" fontId="0" fillId="2" borderId="15" xfId="0" applyNumberFormat="1" applyFill="1" applyBorder="1"/>
    <xf numFmtId="164" fontId="2" fillId="0" borderId="6" xfId="0" applyNumberFormat="1" applyFont="1" applyBorder="1"/>
    <xf numFmtId="164" fontId="0" fillId="2" borderId="16" xfId="0" applyNumberFormat="1" applyFill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2" fillId="0" borderId="7" xfId="0" applyNumberFormat="1" applyFont="1" applyBorder="1"/>
    <xf numFmtId="164" fontId="0" fillId="0" borderId="0" xfId="0" applyNumberFormat="1" applyFont="1" applyBorder="1"/>
    <xf numFmtId="164" fontId="0" fillId="0" borderId="8" xfId="0" applyNumberFormat="1" applyBorder="1"/>
    <xf numFmtId="164" fontId="0" fillId="2" borderId="6" xfId="0" applyNumberFormat="1" applyFill="1" applyBorder="1"/>
    <xf numFmtId="164" fontId="0" fillId="2" borderId="0" xfId="0" applyNumberFormat="1" applyFill="1" applyBorder="1"/>
    <xf numFmtId="164" fontId="0" fillId="2" borderId="7" xfId="0" applyNumberFormat="1" applyFill="1" applyBorder="1"/>
    <xf numFmtId="164" fontId="0" fillId="3" borderId="19" xfId="0" applyNumberFormat="1" applyFill="1" applyBorder="1"/>
    <xf numFmtId="164" fontId="0" fillId="3" borderId="20" xfId="0" applyNumberFormat="1" applyFill="1" applyBorder="1"/>
    <xf numFmtId="164" fontId="0" fillId="3" borderId="21" xfId="0" applyNumberFormat="1" applyFill="1" applyBorder="1"/>
    <xf numFmtId="164" fontId="2" fillId="0" borderId="10" xfId="0" applyNumberFormat="1" applyFont="1" applyBorder="1"/>
    <xf numFmtId="164" fontId="0" fillId="0" borderId="1" xfId="0" applyNumberFormat="1" applyBorder="1"/>
    <xf numFmtId="164" fontId="0" fillId="0" borderId="11" xfId="0" applyNumberFormat="1" applyBorder="1"/>
    <xf numFmtId="164" fontId="0" fillId="2" borderId="17" xfId="0" applyNumberFormat="1" applyFill="1" applyBorder="1"/>
    <xf numFmtId="165" fontId="0" fillId="0" borderId="7" xfId="1" applyNumberFormat="1" applyFont="1" applyBorder="1"/>
    <xf numFmtId="165" fontId="0" fillId="0" borderId="0" xfId="0" applyNumberFormat="1" applyBorder="1"/>
    <xf numFmtId="165" fontId="0" fillId="0" borderId="13" xfId="0" applyNumberFormat="1" applyBorder="1"/>
    <xf numFmtId="166" fontId="0" fillId="0" borderId="0" xfId="0" applyNumberFormat="1" applyBorder="1"/>
    <xf numFmtId="166" fontId="0" fillId="0" borderId="2" xfId="0" applyNumberFormat="1" applyBorder="1"/>
    <xf numFmtId="166" fontId="0" fillId="0" borderId="13" xfId="0" applyNumberFormat="1" applyBorder="1"/>
    <xf numFmtId="166" fontId="0" fillId="0" borderId="7" xfId="0" applyNumberFormat="1" applyBorder="1"/>
    <xf numFmtId="166" fontId="0" fillId="0" borderId="9" xfId="0" applyNumberFormat="1" applyBorder="1"/>
    <xf numFmtId="166" fontId="0" fillId="0" borderId="14" xfId="0" applyNumberFormat="1" applyBorder="1"/>
    <xf numFmtId="165" fontId="0" fillId="2" borderId="0" xfId="0" applyNumberFormat="1" applyFill="1" applyBorder="1" applyAlignment="1"/>
    <xf numFmtId="164" fontId="0" fillId="0" borderId="4" xfId="0" applyNumberFormat="1" applyFill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164" fontId="2" fillId="0" borderId="22" xfId="0" applyNumberFormat="1" applyFont="1" applyBorder="1"/>
    <xf numFmtId="164" fontId="0" fillId="0" borderId="23" xfId="0" applyNumberFormat="1" applyBorder="1"/>
    <xf numFmtId="164" fontId="2" fillId="0" borderId="23" xfId="0" applyNumberFormat="1" applyFont="1" applyBorder="1"/>
    <xf numFmtId="164" fontId="0" fillId="2" borderId="0" xfId="0" applyNumberFormat="1" applyFill="1" applyBorder="1" applyAlignment="1"/>
    <xf numFmtId="165" fontId="0" fillId="0" borderId="0" xfId="0" applyNumberFormat="1" applyFill="1" applyBorder="1"/>
    <xf numFmtId="10" fontId="0" fillId="0" borderId="0" xfId="1" applyNumberFormat="1" applyFont="1" applyBorder="1"/>
    <xf numFmtId="10" fontId="0" fillId="0" borderId="7" xfId="1" applyNumberFormat="1" applyFont="1" applyBorder="1"/>
    <xf numFmtId="165" fontId="0" fillId="0" borderId="7" xfId="0" applyNumberFormat="1" applyBorder="1" applyAlignment="1"/>
    <xf numFmtId="165" fontId="0" fillId="0" borderId="14" xfId="0" applyNumberFormat="1" applyBorder="1" applyAlignment="1"/>
    <xf numFmtId="164" fontId="0" fillId="0" borderId="0" xfId="0" applyNumberFormat="1" applyFill="1" applyBorder="1"/>
    <xf numFmtId="10" fontId="0" fillId="0" borderId="13" xfId="1" applyNumberFormat="1" applyFont="1" applyBorder="1"/>
    <xf numFmtId="164" fontId="0" fillId="0" borderId="0" xfId="0" applyNumberForma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0" fontId="4" fillId="0" borderId="0" xfId="1" applyNumberFormat="1" applyFont="1" applyBorder="1"/>
    <xf numFmtId="164" fontId="0" fillId="0" borderId="22" xfId="0" applyNumberFormat="1" applyBorder="1"/>
    <xf numFmtId="164" fontId="0" fillId="0" borderId="18" xfId="0" applyNumberFormat="1" applyBorder="1"/>
    <xf numFmtId="164" fontId="0" fillId="0" borderId="0" xfId="0" quotePrefix="1" applyNumberFormat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10" fontId="0" fillId="0" borderId="6" xfId="1" applyNumberFormat="1" applyFont="1" applyBorder="1"/>
    <xf numFmtId="164" fontId="2" fillId="5" borderId="22" xfId="0" applyNumberFormat="1" applyFont="1" applyFill="1" applyBorder="1" applyAlignment="1">
      <alignment horizontal="left"/>
    </xf>
    <xf numFmtId="164" fontId="2" fillId="5" borderId="23" xfId="0" applyNumberFormat="1" applyFont="1" applyFill="1" applyBorder="1" applyAlignment="1">
      <alignment horizontal="left"/>
    </xf>
    <xf numFmtId="164" fontId="2" fillId="5" borderId="23" xfId="0" applyNumberFormat="1" applyFont="1" applyFill="1" applyBorder="1"/>
    <xf numFmtId="165" fontId="2" fillId="5" borderId="18" xfId="0" applyNumberFormat="1" applyFont="1" applyFill="1" applyBorder="1"/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/>
    <xf numFmtId="165" fontId="2" fillId="0" borderId="0" xfId="0" applyNumberFormat="1" applyFont="1" applyFill="1" applyBorder="1"/>
    <xf numFmtId="164" fontId="2" fillId="6" borderId="12" xfId="0" applyNumberFormat="1" applyFont="1" applyFill="1" applyBorder="1" applyAlignment="1">
      <alignment horizontal="left"/>
    </xf>
    <xf numFmtId="164" fontId="2" fillId="6" borderId="13" xfId="0" applyNumberFormat="1" applyFont="1" applyFill="1" applyBorder="1" applyAlignment="1">
      <alignment horizontal="left"/>
    </xf>
    <xf numFmtId="164" fontId="2" fillId="6" borderId="13" xfId="0" applyNumberFormat="1" applyFont="1" applyFill="1" applyBorder="1"/>
    <xf numFmtId="165" fontId="2" fillId="6" borderId="14" xfId="0" applyNumberFormat="1" applyFont="1" applyFill="1" applyBorder="1"/>
    <xf numFmtId="164" fontId="2" fillId="7" borderId="22" xfId="0" applyNumberFormat="1" applyFont="1" applyFill="1" applyBorder="1" applyAlignment="1">
      <alignment horizontal="left"/>
    </xf>
    <xf numFmtId="164" fontId="2" fillId="7" borderId="23" xfId="0" applyNumberFormat="1" applyFont="1" applyFill="1" applyBorder="1" applyAlignment="1">
      <alignment horizontal="left"/>
    </xf>
    <xf numFmtId="164" fontId="2" fillId="7" borderId="23" xfId="0" applyNumberFormat="1" applyFont="1" applyFill="1" applyBorder="1"/>
    <xf numFmtId="10" fontId="2" fillId="7" borderId="18" xfId="1" applyNumberFormat="1" applyFont="1" applyFill="1" applyBorder="1"/>
    <xf numFmtId="164" fontId="2" fillId="8" borderId="3" xfId="0" applyNumberFormat="1" applyFont="1" applyFill="1" applyBorder="1" applyAlignment="1">
      <alignment horizontal="left"/>
    </xf>
    <xf numFmtId="164" fontId="2" fillId="8" borderId="4" xfId="0" applyNumberFormat="1" applyFont="1" applyFill="1" applyBorder="1" applyAlignment="1">
      <alignment horizontal="left"/>
    </xf>
    <xf numFmtId="164" fontId="2" fillId="8" borderId="4" xfId="0" applyNumberFormat="1" applyFont="1" applyFill="1" applyBorder="1"/>
    <xf numFmtId="10" fontId="2" fillId="8" borderId="5" xfId="1" applyNumberFormat="1" applyFont="1" applyFill="1" applyBorder="1"/>
    <xf numFmtId="164" fontId="2" fillId="0" borderId="0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4" borderId="22" xfId="0" applyNumberFormat="1" applyFont="1" applyFill="1" applyBorder="1" applyAlignment="1">
      <alignment horizontal="center"/>
    </xf>
    <xf numFmtId="164" fontId="2" fillId="4" borderId="23" xfId="0" applyNumberFormat="1" applyFont="1" applyFill="1" applyBorder="1" applyAlignment="1">
      <alignment horizontal="center"/>
    </xf>
    <xf numFmtId="164" fontId="2" fillId="4" borderId="18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76"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2E216-7815-4C1C-A41E-840B8BCE44EE}">
  <dimension ref="B1:V37"/>
  <sheetViews>
    <sheetView showGridLines="0" tabSelected="1" workbookViewId="0">
      <selection activeCell="V8" sqref="V8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3" t="s">
        <v>52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1.1006910243887564</v>
      </c>
      <c r="L3" s="41">
        <f>(K3-R8)/(1+G3)/(1-G4)</f>
        <v>2.0497304449756719E-2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3915</v>
      </c>
      <c r="P4" s="64"/>
      <c r="Q4" s="14">
        <f>SUMIF(S26:S36,N4,U26:U36)</f>
        <v>3673.2</v>
      </c>
      <c r="R4" s="58">
        <f>IF(O4=0,"",O4/Q4)</f>
        <v>1.065828160731787</v>
      </c>
      <c r="S4" s="58">
        <f>IF(R4="","",((R4)-(G7+G8)-1)/(G6)+1)</f>
        <v>1.0364757840574976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1.100700925476886</v>
      </c>
      <c r="L5" s="41">
        <f>(K5-R8)/(1+G3)/(1-G4)</f>
        <v>2.0506734165267364E-2</v>
      </c>
      <c r="N5" s="7" t="s">
        <v>25</v>
      </c>
      <c r="O5" s="64">
        <f>SUMIF(S13:S23,N5,U13:U23)</f>
        <v>5410</v>
      </c>
      <c r="P5" s="64"/>
      <c r="Q5" s="14">
        <f>SUMIF(S26:S36,N5,U26:U36)</f>
        <v>4961.2</v>
      </c>
      <c r="R5" s="58">
        <f>IF(O5=0,"",O5/Q5)</f>
        <v>1.0904619850036281</v>
      </c>
      <c r="S5" s="58">
        <f>IF(R5="","",((R5)-(G7+G8)-1)/(G6)+1)</f>
        <v>1.0613557002338143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0.99010881295854414</v>
      </c>
      <c r="H6" s="79" t="s">
        <v>48</v>
      </c>
      <c r="I6" s="80"/>
      <c r="J6" s="81"/>
      <c r="K6" s="82">
        <f>1+((1+G3)*(1-G4)*(1+G5)-1)*G6+G7+G8</f>
        <v>1.0999987722650721</v>
      </c>
      <c r="L6" s="58">
        <f>(K6-R8)/(1+G3)/(1-G4)/G6</f>
        <v>2.003619088980077E-2</v>
      </c>
      <c r="N6" s="7" t="s">
        <v>16</v>
      </c>
      <c r="O6" s="64">
        <f>SUMIF(S13:S23,N6,U13:U23)</f>
        <v>1574.5</v>
      </c>
      <c r="P6" s="64"/>
      <c r="Q6" s="14">
        <f>SUMIF(S26:S36,N6,U26:U36)</f>
        <v>1465.5</v>
      </c>
      <c r="R6" s="58">
        <f>IF(O6=0,"",O6/Q6)</f>
        <v>1.0743773456158308</v>
      </c>
      <c r="S6" s="58">
        <f>IF(R6="","",((R6)-(G7+G8)-1)/(G6)+1)</f>
        <v>1.0451103752985329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2.9703264388756326E-2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9.9010881295935604E-6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2.0036190889800659E-2</v>
      </c>
      <c r="N8" s="51" t="s">
        <v>30</v>
      </c>
      <c r="O8" s="65">
        <f>SUM(O4:O7)</f>
        <v>10899.5</v>
      </c>
      <c r="P8" s="65"/>
      <c r="Q8" s="52">
        <f>SUM(Q4:Q7)</f>
        <v>10099.9</v>
      </c>
      <c r="R8" s="42">
        <f>IF(O8=0,0,O8/Q8)</f>
        <v>1.0791691006841653</v>
      </c>
      <c r="S8" s="63">
        <f>((R8)-(G7+G8)-1)/(G6)+1</f>
        <v>1.0499500000000002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2800</v>
      </c>
      <c r="V13" s="40">
        <f>IF(U13=0,0,U13/U26)</f>
        <v>1.06544901065449</v>
      </c>
    </row>
    <row r="14" spans="2:22" x14ac:dyDescent="0.25">
      <c r="B14" s="7" t="s">
        <v>12</v>
      </c>
      <c r="C14" s="43">
        <v>10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775</v>
      </c>
      <c r="V14" s="40">
        <f t="shared" ref="V14:V23" si="3">IF(U14=0,0,U14/U27)</f>
        <v>1.0674931129476584</v>
      </c>
    </row>
    <row r="15" spans="2:22" x14ac:dyDescent="0.25">
      <c r="B15" s="7" t="s">
        <v>32</v>
      </c>
      <c r="C15" s="43">
        <v>10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340</v>
      </c>
      <c r="V15" s="40">
        <f t="shared" si="3"/>
        <v>1.0651629072681705</v>
      </c>
    </row>
    <row r="16" spans="2:22" x14ac:dyDescent="0.25">
      <c r="B16" s="7" t="s">
        <v>13</v>
      </c>
      <c r="C16" s="43">
        <v>20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3600</v>
      </c>
      <c r="V16" s="40">
        <f t="shared" si="3"/>
        <v>1.0955569080949483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1350</v>
      </c>
      <c r="V17" s="40">
        <f t="shared" si="3"/>
        <v>1.0817307692307692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460</v>
      </c>
      <c r="V18" s="40">
        <f t="shared" si="3"/>
        <v>1.0767790262172285</v>
      </c>
    </row>
    <row r="19" spans="2:22" x14ac:dyDescent="0.25">
      <c r="B19" s="7" t="s">
        <v>16</v>
      </c>
      <c r="C19" s="43">
        <v>50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1574.5</v>
      </c>
      <c r="V19" s="40">
        <f t="shared" si="3"/>
        <v>1.0743773456158308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2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726</v>
      </c>
      <c r="V27" s="10"/>
    </row>
    <row r="28" spans="2:22" x14ac:dyDescent="0.25">
      <c r="B28" s="7" t="str">
        <f t="shared" si="5"/>
        <v>Residential Dmd</v>
      </c>
      <c r="C28" s="43">
        <v>9.6</v>
      </c>
      <c r="D28" s="43"/>
      <c r="E28" s="43">
        <v>0.18</v>
      </c>
      <c r="F28" s="43">
        <v>3.5000000000000003E-2</v>
      </c>
      <c r="G28" s="43">
        <v>6.2E-2</v>
      </c>
      <c r="H28" s="43">
        <v>9.6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319.2</v>
      </c>
      <c r="V28" s="10"/>
    </row>
    <row r="29" spans="2:22" x14ac:dyDescent="0.25">
      <c r="B29" s="7" t="str">
        <f t="shared" si="5"/>
        <v>SB flat</v>
      </c>
      <c r="C29" s="43">
        <v>19.2</v>
      </c>
      <c r="D29" s="43">
        <v>0.17499999999999999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3286</v>
      </c>
      <c r="V29" s="10"/>
    </row>
    <row r="30" spans="2:22" x14ac:dyDescent="0.25">
      <c r="B30" s="7" t="str">
        <f t="shared" si="5"/>
        <v>SB TOU</v>
      </c>
      <c r="C30" s="43">
        <v>19.2</v>
      </c>
      <c r="D30" s="43"/>
      <c r="E30" s="43">
        <v>0.36</v>
      </c>
      <c r="F30" s="43">
        <v>7.0000000000000007E-2</v>
      </c>
      <c r="G30" s="43">
        <v>0.124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1248</v>
      </c>
      <c r="V30" s="10"/>
    </row>
    <row r="31" spans="2:22" x14ac:dyDescent="0.25">
      <c r="B31" s="7" t="str">
        <f t="shared" si="5"/>
        <v>SB Demand</v>
      </c>
      <c r="C31" s="43">
        <v>19.2</v>
      </c>
      <c r="D31" s="43"/>
      <c r="E31" s="43">
        <v>0.36</v>
      </c>
      <c r="F31" s="43">
        <v>7.0000000000000007E-2</v>
      </c>
      <c r="G31" s="43">
        <v>0.124</v>
      </c>
      <c r="H31" s="43">
        <v>19.2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427.2</v>
      </c>
      <c r="V31" s="10"/>
    </row>
    <row r="32" spans="2:22" x14ac:dyDescent="0.25">
      <c r="B32" s="7" t="str">
        <f t="shared" si="5"/>
        <v>Other</v>
      </c>
      <c r="C32" s="43">
        <v>46.8</v>
      </c>
      <c r="D32" s="43"/>
      <c r="E32" s="43">
        <v>0.55000000000000004</v>
      </c>
      <c r="F32" s="43">
        <v>0.105</v>
      </c>
      <c r="G32" s="43">
        <v>0.21</v>
      </c>
      <c r="H32" s="43">
        <v>47.5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1465.5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10099.9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75" priority="27">
      <formula>E6="NON-COMPLIANT"</formula>
    </cfRule>
    <cfRule type="expression" dxfId="174" priority="28">
      <formula>E6="COMPLIANT"</formula>
    </cfRule>
  </conditionalFormatting>
  <conditionalFormatting sqref="U4:U7">
    <cfRule type="expression" dxfId="173" priority="22">
      <formula>U4="NON-COMPLIANT"</formula>
    </cfRule>
    <cfRule type="expression" dxfId="172" priority="26">
      <formula>U4="COMPLIANT"</formula>
    </cfRule>
  </conditionalFormatting>
  <conditionalFormatting sqref="E5">
    <cfRule type="expression" dxfId="171" priority="17">
      <formula>E5="NON-COMPLIANT"</formula>
    </cfRule>
    <cfRule type="expression" dxfId="170" priority="18">
      <formula>E5="COMPLIANT"</formula>
    </cfRule>
  </conditionalFormatting>
  <conditionalFormatting sqref="O37:P37">
    <cfRule type="expression" dxfId="169" priority="13">
      <formula>O37="NON-COMPLIANT"</formula>
    </cfRule>
    <cfRule type="expression" dxfId="168" priority="14">
      <formula>O37="COMPLIANT"</formula>
    </cfRule>
  </conditionalFormatting>
  <conditionalFormatting sqref="V4:V7">
    <cfRule type="expression" dxfId="167" priority="11">
      <formula>V4="NON-COMPLIANT"</formula>
    </cfRule>
    <cfRule type="expression" dxfId="166" priority="12">
      <formula>V4="COMPLIANT"</formula>
    </cfRule>
  </conditionalFormatting>
  <conditionalFormatting sqref="H37">
    <cfRule type="expression" dxfId="165" priority="9">
      <formula>H37="NON-COMPLIANT"</formula>
    </cfRule>
    <cfRule type="expression" dxfId="164" priority="10">
      <formula>H37="COMPLIANT"</formula>
    </cfRule>
  </conditionalFormatting>
  <conditionalFormatting sqref="T8">
    <cfRule type="expression" dxfId="163" priority="3">
      <formula>T8="NON-COMPLIANT"</formula>
    </cfRule>
    <cfRule type="expression" dxfId="162" priority="4">
      <formula>T8="COMPLIANT"</formula>
    </cfRule>
  </conditionalFormatting>
  <conditionalFormatting sqref="T4:T7">
    <cfRule type="expression" dxfId="161" priority="1">
      <formula>T4="NON-COMPLIANT"</formula>
    </cfRule>
    <cfRule type="expression" dxfId="160" priority="2">
      <formula>T4="COMPLIANT"</formula>
    </cfRule>
  </conditionalFormatting>
  <dataValidations count="2">
    <dataValidation type="list" allowBlank="1" showInputMessage="1" showErrorMessage="1" sqref="T13:T23" xr:uid="{B0C8ADCA-ED88-4624-937B-38C2EAE0D76E}">
      <formula1>"new,existing"</formula1>
    </dataValidation>
    <dataValidation type="list" allowBlank="1" showInputMessage="1" showErrorMessage="1" sqref="S13:S23" xr:uid="{8C4B9190-C073-440A-800C-3C1AA9D97053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19AD0-37C1-4D6F-9D6A-625D1A67192F}">
  <dimension ref="B1:W37"/>
  <sheetViews>
    <sheetView showGridLines="0" workbookViewId="0">
      <selection activeCell="E5" sqref="E5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3" t="s">
        <v>60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3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1.1006907302970299</v>
      </c>
      <c r="L3" s="41">
        <f>(K3-R8)/(1+G3)/(1-G4)</f>
        <v>2.0478911649608252E-2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3992</v>
      </c>
      <c r="P4" s="64"/>
      <c r="Q4" s="14">
        <f>SUMIF(S26:S36,N4,U26:U36)</f>
        <v>3669</v>
      </c>
      <c r="R4" s="58">
        <f>IF(O4=0,"",O4/Q4)</f>
        <v>1.0880348868901608</v>
      </c>
      <c r="S4" s="58">
        <f>IF(R4="","",((R4)-(G7+G8)-1)/(G6)+1)</f>
        <v>1.0589152357590623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1.1006907302970299</v>
      </c>
      <c r="L5" s="41">
        <f>(K5-R8)/(1+G3)/(1-G4)</f>
        <v>2.0478911649608252E-2</v>
      </c>
      <c r="N5" s="7" t="s">
        <v>25</v>
      </c>
      <c r="O5" s="64">
        <f>SUMIF(S13:S23,N5,U13:U23)</f>
        <v>5304.3</v>
      </c>
      <c r="P5" s="64"/>
      <c r="Q5" s="14">
        <f>SUMIF(S26:S36,N5,U26:U36)</f>
        <v>4972</v>
      </c>
      <c r="R5" s="58">
        <f>IF(O5=0,"",O5/Q5)</f>
        <v>1.0668342719227675</v>
      </c>
      <c r="S5" s="58">
        <f>IF(R5="","",((R5)-(G7+G8)-1)/(G6)+1)</f>
        <v>1.0375026146419952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0.99009900990099009</v>
      </c>
      <c r="H6" s="79" t="s">
        <v>48</v>
      </c>
      <c r="I6" s="80"/>
      <c r="J6" s="81"/>
      <c r="K6" s="82">
        <f>1+((1+G3)*(1-G4)*(1+G5)-1)*G6+G7+G8</f>
        <v>1.099987881188119</v>
      </c>
      <c r="L6" s="58">
        <f>(K6-R8)/(1+G3)/(1-G4)/G6</f>
        <v>2.0007619134695162E-2</v>
      </c>
      <c r="N6" s="7" t="s">
        <v>16</v>
      </c>
      <c r="O6" s="64">
        <f>SUMIF(S13:S23,N6,U13:U23)</f>
        <v>1603.5</v>
      </c>
      <c r="P6" s="64"/>
      <c r="Q6" s="14">
        <f>SUMIF(S26:S36,N6,U26:U36)</f>
        <v>1459</v>
      </c>
      <c r="R6" s="58">
        <f>IF(O6=0,"",O6/Q6)</f>
        <v>1.0990404386566142</v>
      </c>
      <c r="S6" s="58">
        <f>IF(R6="","",((R6)-(G7+G8)-1)/(G6)+1)</f>
        <v>1.0700308430431802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2.9702970297029702E-2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0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2.0007619134695124E-2</v>
      </c>
      <c r="N8" s="51" t="s">
        <v>30</v>
      </c>
      <c r="O8" s="65">
        <f>SUM(O4:O7)</f>
        <v>10899.8</v>
      </c>
      <c r="P8" s="65"/>
      <c r="Q8" s="52">
        <f>SUM(Q4:Q7)</f>
        <v>10100</v>
      </c>
      <c r="R8" s="42">
        <f>IF(O8=0,0,O8/Q8)</f>
        <v>1.079188118811881</v>
      </c>
      <c r="S8" s="63">
        <f>((R8)-(G7+G8)-1)/(G6)+1</f>
        <v>1.0499799999999999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/>
      <c r="O9" s="58"/>
      <c r="P9" s="14"/>
      <c r="Q9" s="14"/>
      <c r="R9" s="14"/>
      <c r="S9" s="14"/>
      <c r="T9" s="58"/>
      <c r="U9" s="66">
        <f>IF(Q8=0,0,-(SUMIF(T13:T23,"New",U13:U23)/Q8))</f>
        <v>-5.0693069306930696E-2</v>
      </c>
      <c r="V9" s="58" t="s">
        <v>75</v>
      </c>
    </row>
    <row r="10" spans="2:23" ht="15.75" thickBot="1" x14ac:dyDescent="0.3">
      <c r="O10" s="1" t="s">
        <v>74</v>
      </c>
      <c r="P10" s="1"/>
      <c r="U10" s="1">
        <f>(Q8*(K6+U9))/D37</f>
        <v>0.97229305276755329</v>
      </c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9.6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2728</v>
      </c>
      <c r="V13" s="40">
        <f>IF(U13=0,0,U13/U26)</f>
        <v>1.0380517503805176</v>
      </c>
    </row>
    <row r="14" spans="2:23" x14ac:dyDescent="0.25">
      <c r="B14" s="7" t="s">
        <v>12</v>
      </c>
      <c r="C14" s="43">
        <v>9.6</v>
      </c>
      <c r="D14" s="43"/>
      <c r="E14" s="43">
        <v>0.19</v>
      </c>
      <c r="F14" s="43">
        <v>3.5000000000000003E-2</v>
      </c>
      <c r="G14" s="43">
        <v>6.2E-2</v>
      </c>
      <c r="H14" s="43"/>
      <c r="I14" s="24"/>
      <c r="J14" s="43">
        <v>70</v>
      </c>
      <c r="K14" s="43"/>
      <c r="L14" s="43">
        <v>1500</v>
      </c>
      <c r="M14" s="43">
        <v>1500</v>
      </c>
      <c r="N14" s="43">
        <v>750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1056</v>
      </c>
      <c r="V14" s="40">
        <f t="shared" ref="V14:V23" si="3">IF(U14=0,0,U14/U27)</f>
        <v>1.0144092219020173</v>
      </c>
    </row>
    <row r="15" spans="2:23" x14ac:dyDescent="0.25">
      <c r="B15" s="7" t="s">
        <v>13</v>
      </c>
      <c r="C15" s="43">
        <v>19.36</v>
      </c>
      <c r="D15" s="43">
        <v>0.18</v>
      </c>
      <c r="E15" s="43"/>
      <c r="F15" s="43"/>
      <c r="G15" s="43"/>
      <c r="H15" s="43"/>
      <c r="I15" s="24"/>
      <c r="J15" s="43">
        <v>80</v>
      </c>
      <c r="K15" s="43">
        <v>10000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3348.8</v>
      </c>
      <c r="V15" s="40">
        <f t="shared" si="3"/>
        <v>1.0191113816189896</v>
      </c>
    </row>
    <row r="16" spans="2:23" x14ac:dyDescent="0.25">
      <c r="B16" s="7" t="s">
        <v>14</v>
      </c>
      <c r="C16" s="43">
        <v>19.350000000000001</v>
      </c>
      <c r="D16" s="43"/>
      <c r="E16" s="43">
        <v>0.38</v>
      </c>
      <c r="F16" s="43">
        <v>0.08</v>
      </c>
      <c r="G16" s="43">
        <v>0.13</v>
      </c>
      <c r="H16" s="43"/>
      <c r="I16" s="24"/>
      <c r="J16" s="43">
        <v>40</v>
      </c>
      <c r="K16" s="43"/>
      <c r="L16" s="43">
        <v>2000</v>
      </c>
      <c r="M16" s="43">
        <v>1500</v>
      </c>
      <c r="N16" s="43">
        <v>750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1751.5</v>
      </c>
      <c r="V16" s="40">
        <f t="shared" si="3"/>
        <v>1.0388493475682088</v>
      </c>
      <c r="W16" s="99" t="s">
        <v>61</v>
      </c>
    </row>
    <row r="17" spans="2:23" x14ac:dyDescent="0.25">
      <c r="B17" s="7" t="s">
        <v>16</v>
      </c>
      <c r="C17" s="43">
        <v>46.8</v>
      </c>
      <c r="D17" s="43"/>
      <c r="E17" s="43">
        <v>0.55000000000000004</v>
      </c>
      <c r="F17" s="43">
        <v>0.12</v>
      </c>
      <c r="G17" s="43">
        <v>0.22</v>
      </c>
      <c r="H17" s="43">
        <v>51.1</v>
      </c>
      <c r="I17" s="24"/>
      <c r="J17" s="43">
        <v>10</v>
      </c>
      <c r="K17" s="43"/>
      <c r="L17" s="43">
        <v>1000</v>
      </c>
      <c r="M17" s="43">
        <v>1000</v>
      </c>
      <c r="N17" s="43">
        <v>500</v>
      </c>
      <c r="O17" s="46">
        <v>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1503.5</v>
      </c>
      <c r="V17" s="40">
        <f t="shared" si="3"/>
        <v>1.0305003427004797</v>
      </c>
      <c r="W17" s="99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99"/>
    </row>
    <row r="19" spans="2:23" x14ac:dyDescent="0.25">
      <c r="B19" s="7" t="s">
        <v>40</v>
      </c>
      <c r="C19" s="43">
        <v>10</v>
      </c>
      <c r="D19" s="43"/>
      <c r="E19" s="43">
        <v>0.2</v>
      </c>
      <c r="F19" s="43">
        <v>0.04</v>
      </c>
      <c r="G19" s="43">
        <v>7.0000000000000007E-2</v>
      </c>
      <c r="H19" s="43">
        <v>10</v>
      </c>
      <c r="I19" s="24"/>
      <c r="J19" s="43">
        <v>5</v>
      </c>
      <c r="K19" s="43"/>
      <c r="L19" s="43">
        <v>200</v>
      </c>
      <c r="M19" s="43">
        <v>200</v>
      </c>
      <c r="N19" s="43">
        <v>50</v>
      </c>
      <c r="O19" s="46">
        <v>0.65</v>
      </c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108</v>
      </c>
      <c r="V19" s="40" t="e">
        <f t="shared" si="3"/>
        <v>#DIV/0!</v>
      </c>
      <c r="W19" s="1">
        <f>U19/D37</f>
        <v>9.9083659636619824E-3</v>
      </c>
    </row>
    <row r="20" spans="2:23" x14ac:dyDescent="0.25">
      <c r="B20" s="7" t="s">
        <v>41</v>
      </c>
      <c r="C20" s="43">
        <v>20</v>
      </c>
      <c r="D20" s="43"/>
      <c r="E20" s="43"/>
      <c r="F20" s="43"/>
      <c r="G20" s="43"/>
      <c r="H20" s="43"/>
      <c r="I20" s="24"/>
      <c r="J20" s="43">
        <v>5</v>
      </c>
      <c r="K20" s="43"/>
      <c r="L20" s="43"/>
      <c r="M20" s="43"/>
      <c r="N20" s="43"/>
      <c r="O20" s="46"/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100</v>
      </c>
      <c r="V20" s="40" t="e">
        <f t="shared" si="3"/>
        <v>#DIV/0!</v>
      </c>
      <c r="W20" s="1">
        <f>U20/D37</f>
        <v>9.1744129293166513E-3</v>
      </c>
    </row>
    <row r="21" spans="2:23" x14ac:dyDescent="0.25">
      <c r="B21" s="7" t="s">
        <v>42</v>
      </c>
      <c r="C21" s="43">
        <v>20</v>
      </c>
      <c r="D21" s="43"/>
      <c r="E21" s="43">
        <v>0.4</v>
      </c>
      <c r="F21" s="43">
        <v>0.08</v>
      </c>
      <c r="G21" s="43">
        <v>0.14000000000000001</v>
      </c>
      <c r="H21" s="43">
        <v>20</v>
      </c>
      <c r="I21" s="24"/>
      <c r="J21" s="43">
        <v>2</v>
      </c>
      <c r="K21" s="43"/>
      <c r="L21" s="43">
        <v>80</v>
      </c>
      <c r="M21" s="43">
        <v>80</v>
      </c>
      <c r="N21" s="43">
        <v>40</v>
      </c>
      <c r="O21" s="46">
        <v>1</v>
      </c>
      <c r="P21" s="43"/>
      <c r="R21" s="7" t="str">
        <f t="shared" si="1"/>
        <v>New tariff 3</v>
      </c>
      <c r="S21" s="14" t="s">
        <v>25</v>
      </c>
      <c r="T21" s="28" t="s">
        <v>39</v>
      </c>
      <c r="U21" s="14">
        <f t="shared" si="2"/>
        <v>104</v>
      </c>
      <c r="V21" s="40" t="e">
        <f t="shared" si="3"/>
        <v>#DIV/0!</v>
      </c>
      <c r="W21" s="1">
        <f>U21/D37</f>
        <v>9.5413894464893168E-3</v>
      </c>
    </row>
    <row r="22" spans="2:23" x14ac:dyDescent="0.25">
      <c r="B22" s="7" t="s">
        <v>43</v>
      </c>
      <c r="C22" s="43">
        <v>50</v>
      </c>
      <c r="D22" s="43"/>
      <c r="E22" s="43"/>
      <c r="F22" s="43"/>
      <c r="G22" s="43"/>
      <c r="H22" s="43"/>
      <c r="I22" s="24"/>
      <c r="J22" s="43">
        <v>2</v>
      </c>
      <c r="K22" s="43"/>
      <c r="L22" s="43"/>
      <c r="M22" s="43"/>
      <c r="N22" s="43"/>
      <c r="O22" s="46"/>
      <c r="P22" s="43"/>
      <c r="R22" s="7" t="str">
        <f t="shared" si="1"/>
        <v>New tariff 4</v>
      </c>
      <c r="S22" s="14" t="s">
        <v>25</v>
      </c>
      <c r="T22" s="28" t="s">
        <v>39</v>
      </c>
      <c r="U22" s="14">
        <f t="shared" si="2"/>
        <v>100</v>
      </c>
      <c r="V22" s="40" t="e">
        <f t="shared" si="3"/>
        <v>#DIV/0!</v>
      </c>
      <c r="W22" s="1">
        <f>U22/D37</f>
        <v>9.1744129293166513E-3</v>
      </c>
    </row>
    <row r="23" spans="2:23" x14ac:dyDescent="0.25">
      <c r="B23" s="29" t="s">
        <v>44</v>
      </c>
      <c r="C23" s="44">
        <v>100</v>
      </c>
      <c r="D23" s="44"/>
      <c r="E23" s="44"/>
      <c r="F23" s="44"/>
      <c r="G23" s="44"/>
      <c r="H23" s="44"/>
      <c r="I23" s="24"/>
      <c r="J23" s="44">
        <v>1</v>
      </c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16</v>
      </c>
      <c r="T23" s="28" t="s">
        <v>39</v>
      </c>
      <c r="U23" s="14">
        <f t="shared" si="2"/>
        <v>100</v>
      </c>
      <c r="V23" s="40" t="e">
        <f t="shared" si="3"/>
        <v>#DIV/0!</v>
      </c>
      <c r="W23" s="1">
        <f>U23/D37</f>
        <v>9.1744129293166513E-3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1041</v>
      </c>
      <c r="V27" s="10"/>
    </row>
    <row r="28" spans="2:23" x14ac:dyDescent="0.25">
      <c r="B28" s="7" t="str">
        <f t="shared" si="5"/>
        <v>SB flat</v>
      </c>
      <c r="C28" s="43">
        <v>19.2</v>
      </c>
      <c r="D28" s="43">
        <v>0.17499999999999999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3286</v>
      </c>
      <c r="V28" s="10"/>
    </row>
    <row r="29" spans="2:23" x14ac:dyDescent="0.25">
      <c r="B29" s="7" t="str">
        <f t="shared" si="5"/>
        <v>SB TOU</v>
      </c>
      <c r="C29" s="43">
        <v>19.2</v>
      </c>
      <c r="D29" s="43"/>
      <c r="E29" s="43">
        <v>0.36</v>
      </c>
      <c r="F29" s="43">
        <v>7.0000000000000007E-2</v>
      </c>
      <c r="G29" s="43">
        <v>0.124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1686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0.105</v>
      </c>
      <c r="G30" s="43">
        <v>0.21</v>
      </c>
      <c r="H30" s="43">
        <v>46.2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1459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/>
      <c r="D32" s="43"/>
      <c r="E32" s="43"/>
      <c r="F32" s="43"/>
      <c r="G32" s="43"/>
      <c r="H32" s="43"/>
      <c r="I32" s="24"/>
      <c r="J32" s="43"/>
      <c r="K32" s="43"/>
      <c r="L32" s="43"/>
      <c r="M32" s="43"/>
      <c r="N32" s="43"/>
      <c r="O32" s="46"/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 t="str">
        <f t="shared" si="6"/>
        <v>New tariff 3</v>
      </c>
      <c r="S34" s="14" t="str">
        <f t="shared" si="7"/>
        <v>SB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SB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Other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10899.8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31" priority="15">
      <formula>E6="NON-COMPLIANT"</formula>
    </cfRule>
    <cfRule type="expression" dxfId="30" priority="16">
      <formula>E6="COMPLIANT"</formula>
    </cfRule>
  </conditionalFormatting>
  <conditionalFormatting sqref="U4:U7">
    <cfRule type="expression" dxfId="29" priority="13">
      <formula>U4="NON-COMPLIANT"</formula>
    </cfRule>
    <cfRule type="expression" dxfId="28" priority="14">
      <formula>U4="COMPLIANT"</formula>
    </cfRule>
  </conditionalFormatting>
  <conditionalFormatting sqref="E5">
    <cfRule type="expression" dxfId="27" priority="11">
      <formula>E5="NON-COMPLIANT"</formula>
    </cfRule>
    <cfRule type="expression" dxfId="26" priority="12">
      <formula>E5="COMPLIANT"</formula>
    </cfRule>
  </conditionalFormatting>
  <conditionalFormatting sqref="O37:P37">
    <cfRule type="expression" dxfId="25" priority="9">
      <formula>O37="NON-COMPLIANT"</formula>
    </cfRule>
    <cfRule type="expression" dxfId="24" priority="10">
      <formula>O37="COMPLIANT"</formula>
    </cfRule>
  </conditionalFormatting>
  <conditionalFormatting sqref="V4:V7">
    <cfRule type="expression" dxfId="23" priority="7">
      <formula>V4="NON-COMPLIANT"</formula>
    </cfRule>
    <cfRule type="expression" dxfId="22" priority="8">
      <formula>V4="COMPLIANT"</formula>
    </cfRule>
  </conditionalFormatting>
  <conditionalFormatting sqref="H37">
    <cfRule type="expression" dxfId="21" priority="5">
      <formula>H37="NON-COMPLIANT"</formula>
    </cfRule>
    <cfRule type="expression" dxfId="20" priority="6">
      <formula>H37="COMPLIANT"</formula>
    </cfRule>
  </conditionalFormatting>
  <conditionalFormatting sqref="T8">
    <cfRule type="expression" dxfId="19" priority="3">
      <formula>T8="NON-COMPLIANT"</formula>
    </cfRule>
    <cfRule type="expression" dxfId="18" priority="4">
      <formula>T8="COMPLIANT"</formula>
    </cfRule>
  </conditionalFormatting>
  <conditionalFormatting sqref="T4:T7">
    <cfRule type="expression" dxfId="17" priority="1">
      <formula>T4="NON-COMPLIANT"</formula>
    </cfRule>
    <cfRule type="expression" dxfId="16" priority="2">
      <formula>T4="COMPLIANT"</formula>
    </cfRule>
  </conditionalFormatting>
  <dataValidations count="2">
    <dataValidation type="list" allowBlank="1" showInputMessage="1" showErrorMessage="1" sqref="T13:T23" xr:uid="{0652513B-B578-4181-8E41-498A30990594}">
      <formula1>"new,existing"</formula1>
    </dataValidation>
    <dataValidation type="list" allowBlank="1" showInputMessage="1" showErrorMessage="1" sqref="S13:S23" xr:uid="{E5827123-2BF8-447B-825B-9BFD8D363DFC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0D9A-6B25-43D4-9A1F-C17D35F0DE21}">
  <dimension ref="B1:W37"/>
  <sheetViews>
    <sheetView showGridLines="0" workbookViewId="0">
      <selection activeCell="N9" sqref="N9:T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3" t="s">
        <v>62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3" ht="15" customHeight="1" thickBot="1" x14ac:dyDescent="0.3">
      <c r="B3" s="11" t="s">
        <v>33</v>
      </c>
      <c r="C3" s="12">
        <f>'Scenario 6'!C3*(1+'Scenario 6'!D4)*(1-'Scenario 6'!D5)</f>
        <v>10499.880000000003</v>
      </c>
      <c r="D3" s="31"/>
      <c r="E3" s="7"/>
      <c r="F3" s="11" t="s">
        <v>64</v>
      </c>
      <c r="G3" s="60">
        <f>D4</f>
        <v>2.7300000000000001E-2</v>
      </c>
      <c r="H3" s="72" t="s">
        <v>46</v>
      </c>
      <c r="I3" s="73"/>
      <c r="J3" s="74"/>
      <c r="K3" s="75">
        <f>(1+G3)*(1-G4)*(1+G5)+G7</f>
        <v>1.0685933508000003</v>
      </c>
      <c r="L3" s="41">
        <f>(K3-R8)/(1+G3)/(1-G4)</f>
        <v>-2.7536046222663684E-2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2.7300000000000001E-2</v>
      </c>
      <c r="E4" s="23"/>
      <c r="F4" s="7" t="s">
        <v>45</v>
      </c>
      <c r="G4" s="59">
        <f>IF(D5&gt;0,0,D5)</f>
        <v>-1.9800000000000002E-2</v>
      </c>
      <c r="H4" s="69"/>
      <c r="I4" s="69"/>
      <c r="K4" s="41"/>
      <c r="L4" s="41"/>
      <c r="N4" s="7" t="s">
        <v>10</v>
      </c>
      <c r="O4" s="64">
        <f>SUMIF(S13:S23,N4,U13:U23)</f>
        <v>4075</v>
      </c>
      <c r="P4" s="64"/>
      <c r="Q4" s="14">
        <f>SUMIF(S26:S36,N4,U26:U36)</f>
        <v>3784</v>
      </c>
      <c r="R4" s="58">
        <f>IF(O4=0,"",O4/Q4)</f>
        <v>1.0769027484143763</v>
      </c>
      <c r="S4" s="58">
        <f>IF(R4="","",((R4)-(G7+G8)-1)/(G6)+1)</f>
        <v>1.0273117759420922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-1.9800000000000002E-2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1.1178896406785119</v>
      </c>
      <c r="L5" s="41">
        <f>(K5-R8)/(1+G3)/(1-G4)</f>
        <v>1.9518537860643781E-2</v>
      </c>
      <c r="N5" s="7" t="s">
        <v>25</v>
      </c>
      <c r="O5" s="64">
        <f>SUMIF(S13:S23,N5,U13:U23)</f>
        <v>5651.5</v>
      </c>
      <c r="P5" s="64"/>
      <c r="Q5" s="14">
        <f>SUMIF(S26:S36,N5,U26:U36)</f>
        <v>5100.3</v>
      </c>
      <c r="R5" s="58">
        <f>IF(O5=0,"",O5/Q5)</f>
        <v>1.1080720741917143</v>
      </c>
      <c r="S5" s="58">
        <f>IF(R5="","",((R5)-(G7+G8)-1)/(G6)+1)</f>
        <v>1.0581483876281144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-100</v>
      </c>
      <c r="D6" s="14">
        <v>50</v>
      </c>
      <c r="E6" s="23"/>
      <c r="F6" s="16" t="s">
        <v>49</v>
      </c>
      <c r="G6" s="60">
        <f>C3/Q8</f>
        <v>1.0107895800843301</v>
      </c>
      <c r="H6" s="79" t="s">
        <v>48</v>
      </c>
      <c r="I6" s="80"/>
      <c r="J6" s="81"/>
      <c r="K6" s="82">
        <f>1+((1+G3)*(1-G4)*(1+G5)-1)*G6+G7+G8</f>
        <v>1.1186297341302212</v>
      </c>
      <c r="L6" s="58">
        <f>(K6-R8)/(1+G3)/(1-G4)/G6</f>
        <v>2.0009086566088762E-2</v>
      </c>
      <c r="N6" s="7" t="s">
        <v>16</v>
      </c>
      <c r="O6" s="64">
        <f>SUMIF(S13:S23,N6,U13:U23)</f>
        <v>1673.5</v>
      </c>
      <c r="P6" s="64"/>
      <c r="Q6" s="14">
        <f>SUMIF(S26:S36,N6,U26:U36)</f>
        <v>1503.5</v>
      </c>
      <c r="R6" s="58">
        <f>IF(O6=0,"",O6/Q6)</f>
        <v>1.1130695044895245</v>
      </c>
      <c r="S6" s="58">
        <f>IF(R6="","",((R6)-(G7+G8)-1)/(G6)+1)</f>
        <v>1.0630924733174358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0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300</v>
      </c>
      <c r="D8" s="21">
        <v>150</v>
      </c>
      <c r="E8" s="7"/>
      <c r="F8" s="19" t="s">
        <v>23</v>
      </c>
      <c r="G8" s="61">
        <f>IF(Q8=0,0,(K37/Q8)-1)</f>
        <v>4.9296289878511645E-2</v>
      </c>
      <c r="H8" s="83" t="s">
        <v>51</v>
      </c>
      <c r="I8" s="84"/>
      <c r="J8" s="85"/>
      <c r="K8" s="86">
        <f>(1+G3)*(1-G4)*(1+G5)</f>
        <v>1.0685933508000003</v>
      </c>
      <c r="L8" s="71">
        <f>(K8-S8)/(1+G3)/(1-G4)</f>
        <v>2.0009086566088723E-2</v>
      </c>
      <c r="N8" s="51" t="s">
        <v>30</v>
      </c>
      <c r="O8" s="65">
        <f>SUM(O4:O7)</f>
        <v>11400</v>
      </c>
      <c r="P8" s="65"/>
      <c r="Q8" s="52">
        <f>SUM(Q4:Q7)</f>
        <v>10387.799999999999</v>
      </c>
      <c r="R8" s="42">
        <f>IF(O8=0,0,O8/Q8)</f>
        <v>1.0974412291341766</v>
      </c>
      <c r="S8" s="63">
        <f>((R8)-(G7+G8)-1)/(G6)+1</f>
        <v>1.0476310205449963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0.97370497233118369</v>
      </c>
      <c r="U9" s="66"/>
      <c r="V9" s="58"/>
    </row>
    <row r="10" spans="2:23" ht="15.75" thickBot="1" x14ac:dyDescent="0.3">
      <c r="O10" s="1"/>
      <c r="P10" s="1"/>
      <c r="U10" s="1"/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10.35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2863</v>
      </c>
      <c r="V13" s="40">
        <f>IF(U13=0,0,U13/U26)</f>
        <v>1.0494868035190617</v>
      </c>
    </row>
    <row r="14" spans="2:23" x14ac:dyDescent="0.25">
      <c r="B14" s="7" t="s">
        <v>12</v>
      </c>
      <c r="C14" s="43">
        <v>10.35</v>
      </c>
      <c r="D14" s="43"/>
      <c r="E14" s="43">
        <v>0.2</v>
      </c>
      <c r="F14" s="43">
        <v>7.0000000000000007E-2</v>
      </c>
      <c r="G14" s="43">
        <v>0.11</v>
      </c>
      <c r="H14" s="43"/>
      <c r="I14" s="24"/>
      <c r="J14" s="43">
        <v>70</v>
      </c>
      <c r="K14" s="43"/>
      <c r="L14" s="43">
        <v>1500</v>
      </c>
      <c r="M14" s="43">
        <v>1500</v>
      </c>
      <c r="N14" s="43">
        <v>750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1212</v>
      </c>
      <c r="V14" s="40">
        <f t="shared" ref="V14:V23" si="3">IF(U14=0,0,U14/U27)</f>
        <v>1.1477272727272727</v>
      </c>
    </row>
    <row r="15" spans="2:23" x14ac:dyDescent="0.25">
      <c r="B15" s="7" t="s">
        <v>13</v>
      </c>
      <c r="C15" s="43">
        <v>20.7</v>
      </c>
      <c r="D15" s="43">
        <v>0.2</v>
      </c>
      <c r="E15" s="43"/>
      <c r="F15" s="43"/>
      <c r="G15" s="43"/>
      <c r="H15" s="43"/>
      <c r="I15" s="24"/>
      <c r="J15" s="43">
        <v>80</v>
      </c>
      <c r="K15" s="43">
        <v>10000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3656</v>
      </c>
      <c r="V15" s="40">
        <f t="shared" si="3"/>
        <v>1.0917343526039178</v>
      </c>
    </row>
    <row r="16" spans="2:23" x14ac:dyDescent="0.25">
      <c r="B16" s="7" t="s">
        <v>14</v>
      </c>
      <c r="C16" s="43">
        <v>20.7</v>
      </c>
      <c r="D16" s="43"/>
      <c r="E16" s="43">
        <v>0.4</v>
      </c>
      <c r="F16" s="43">
        <v>0.14000000000000001</v>
      </c>
      <c r="G16" s="43">
        <v>0.21</v>
      </c>
      <c r="H16" s="43"/>
      <c r="I16" s="24"/>
      <c r="J16" s="43">
        <v>40</v>
      </c>
      <c r="K16" s="43"/>
      <c r="L16" s="43">
        <v>2000</v>
      </c>
      <c r="M16" s="43">
        <v>1500</v>
      </c>
      <c r="N16" s="43">
        <v>750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1995.5</v>
      </c>
      <c r="V16" s="40">
        <f t="shared" si="3"/>
        <v>1.1393091635740793</v>
      </c>
      <c r="W16" s="99" t="s">
        <v>61</v>
      </c>
    </row>
    <row r="17" spans="2:23" x14ac:dyDescent="0.25">
      <c r="B17" s="7" t="s">
        <v>16</v>
      </c>
      <c r="C17" s="43">
        <v>49.85</v>
      </c>
      <c r="D17" s="43"/>
      <c r="E17" s="43">
        <v>0.6</v>
      </c>
      <c r="F17" s="43">
        <v>0.15</v>
      </c>
      <c r="G17" s="43">
        <v>0.3</v>
      </c>
      <c r="H17" s="43">
        <v>55</v>
      </c>
      <c r="I17" s="24"/>
      <c r="J17" s="43">
        <v>10</v>
      </c>
      <c r="K17" s="43"/>
      <c r="L17" s="43">
        <v>1000</v>
      </c>
      <c r="M17" s="43">
        <v>1000</v>
      </c>
      <c r="N17" s="43">
        <v>500</v>
      </c>
      <c r="O17" s="46">
        <v>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1673.5</v>
      </c>
      <c r="V17" s="40">
        <f t="shared" si="3"/>
        <v>1.1130695044895245</v>
      </c>
      <c r="W17" s="99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99"/>
    </row>
    <row r="19" spans="2:23" x14ac:dyDescent="0.25">
      <c r="B19" s="7" t="s">
        <v>40</v>
      </c>
      <c r="C19" s="43"/>
      <c r="D19" s="43"/>
      <c r="E19" s="43"/>
      <c r="F19" s="43"/>
      <c r="G19" s="43"/>
      <c r="H19" s="43"/>
      <c r="I19" s="24"/>
      <c r="J19" s="43"/>
      <c r="K19" s="43"/>
      <c r="L19" s="43"/>
      <c r="M19" s="43"/>
      <c r="N19" s="43"/>
      <c r="O19" s="46"/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0</v>
      </c>
      <c r="V19" s="40">
        <f t="shared" si="3"/>
        <v>0</v>
      </c>
      <c r="W19" s="1">
        <f>U19/D37</f>
        <v>0</v>
      </c>
    </row>
    <row r="20" spans="2:23" x14ac:dyDescent="0.25">
      <c r="B20" s="7" t="s">
        <v>41</v>
      </c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0</v>
      </c>
      <c r="V20" s="40">
        <f t="shared" si="3"/>
        <v>0</v>
      </c>
      <c r="W20" s="1">
        <f>U20/D37</f>
        <v>0</v>
      </c>
    </row>
    <row r="21" spans="2:23" x14ac:dyDescent="0.25">
      <c r="B21" s="7" t="s">
        <v>42</v>
      </c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 t="str">
        <f t="shared" si="1"/>
        <v>New tariff 3</v>
      </c>
      <c r="S21" s="14" t="s">
        <v>25</v>
      </c>
      <c r="T21" s="28" t="s">
        <v>39</v>
      </c>
      <c r="U21" s="14">
        <f t="shared" si="2"/>
        <v>0</v>
      </c>
      <c r="V21" s="40">
        <f t="shared" si="3"/>
        <v>0</v>
      </c>
      <c r="W21" s="1">
        <f>U21/D37</f>
        <v>0</v>
      </c>
    </row>
    <row r="22" spans="2:23" x14ac:dyDescent="0.25">
      <c r="B22" s="7" t="s">
        <v>43</v>
      </c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 t="str">
        <f t="shared" si="1"/>
        <v>New tariff 4</v>
      </c>
      <c r="S22" s="14" t="s">
        <v>25</v>
      </c>
      <c r="T22" s="28" t="s">
        <v>39</v>
      </c>
      <c r="U22" s="14">
        <f t="shared" si="2"/>
        <v>0</v>
      </c>
      <c r="V22" s="40">
        <f t="shared" si="3"/>
        <v>0</v>
      </c>
      <c r="W22" s="1">
        <f>U22/D37</f>
        <v>0</v>
      </c>
    </row>
    <row r="23" spans="2:23" x14ac:dyDescent="0.25">
      <c r="B23" s="29" t="s">
        <v>44</v>
      </c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16</v>
      </c>
      <c r="T23" s="28" t="s">
        <v>39</v>
      </c>
      <c r="U23" s="14">
        <f t="shared" si="2"/>
        <v>0</v>
      </c>
      <c r="V23" s="40">
        <f t="shared" si="3"/>
        <v>0</v>
      </c>
      <c r="W23" s="1">
        <f>U23/D37</f>
        <v>0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0.1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2728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0.19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1056</v>
      </c>
      <c r="V27" s="10"/>
    </row>
    <row r="28" spans="2:23" x14ac:dyDescent="0.25">
      <c r="B28" s="7" t="str">
        <f t="shared" si="5"/>
        <v>SB flat</v>
      </c>
      <c r="C28" s="43">
        <v>19.36</v>
      </c>
      <c r="D28" s="43">
        <v>0.18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3348.8</v>
      </c>
      <c r="V28" s="10"/>
    </row>
    <row r="29" spans="2:23" x14ac:dyDescent="0.25">
      <c r="B29" s="7" t="str">
        <f t="shared" si="5"/>
        <v>SB TOU</v>
      </c>
      <c r="C29" s="43">
        <v>19.350000000000001</v>
      </c>
      <c r="D29" s="43"/>
      <c r="E29" s="43">
        <v>0.38</v>
      </c>
      <c r="F29" s="43">
        <v>0.08</v>
      </c>
      <c r="G29" s="43">
        <v>0.13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1751.5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0.12</v>
      </c>
      <c r="G30" s="43">
        <v>0.22</v>
      </c>
      <c r="H30" s="43">
        <v>51.1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1503.5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>
        <v>10</v>
      </c>
      <c r="D32" s="43"/>
      <c r="E32" s="43">
        <v>0.2</v>
      </c>
      <c r="F32" s="43">
        <v>0.04</v>
      </c>
      <c r="G32" s="43">
        <v>7.0000000000000007E-2</v>
      </c>
      <c r="H32" s="43">
        <v>10</v>
      </c>
      <c r="I32" s="24"/>
      <c r="J32" s="43">
        <v>5</v>
      </c>
      <c r="K32" s="43"/>
      <c r="L32" s="43">
        <v>200</v>
      </c>
      <c r="M32" s="43">
        <v>200</v>
      </c>
      <c r="N32" s="43">
        <v>50</v>
      </c>
      <c r="O32" s="46">
        <v>0.65</v>
      </c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>
        <v>20</v>
      </c>
      <c r="D33" s="43"/>
      <c r="E33" s="43"/>
      <c r="F33" s="43"/>
      <c r="G33" s="43"/>
      <c r="H33" s="43"/>
      <c r="I33" s="24"/>
      <c r="J33" s="43">
        <v>5</v>
      </c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>
        <v>20</v>
      </c>
      <c r="D34" s="43"/>
      <c r="E34" s="43">
        <v>0.4</v>
      </c>
      <c r="F34" s="43">
        <v>0.08</v>
      </c>
      <c r="G34" s="43">
        <v>0.14000000000000001</v>
      </c>
      <c r="H34" s="43">
        <v>20</v>
      </c>
      <c r="I34" s="24"/>
      <c r="J34" s="43">
        <v>2</v>
      </c>
      <c r="K34" s="43"/>
      <c r="L34" s="43">
        <v>80</v>
      </c>
      <c r="M34" s="43">
        <v>80</v>
      </c>
      <c r="N34" s="43">
        <v>40</v>
      </c>
      <c r="O34" s="46">
        <v>1</v>
      </c>
      <c r="P34" s="43"/>
      <c r="R34" s="7" t="str">
        <f t="shared" si="6"/>
        <v>New tariff 3</v>
      </c>
      <c r="S34" s="14" t="str">
        <f t="shared" si="7"/>
        <v>SB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>
        <v>50</v>
      </c>
      <c r="D35" s="43"/>
      <c r="E35" s="43"/>
      <c r="F35" s="43"/>
      <c r="G35" s="43"/>
      <c r="H35" s="43"/>
      <c r="I35" s="24"/>
      <c r="J35" s="43">
        <v>2</v>
      </c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SB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>
        <v>100</v>
      </c>
      <c r="D36" s="45"/>
      <c r="E36" s="45"/>
      <c r="F36" s="45"/>
      <c r="G36" s="45"/>
      <c r="H36" s="45"/>
      <c r="I36" s="39"/>
      <c r="J36" s="45">
        <v>1</v>
      </c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Other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11400.099953135204</v>
      </c>
      <c r="E37" s="54" t="s">
        <v>65</v>
      </c>
      <c r="F37" s="54">
        <f>SUMPRODUCT(C13:H23,J13:O23)</f>
        <v>11400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10899.880000000003</v>
      </c>
      <c r="L37" s="55" t="s">
        <v>37</v>
      </c>
      <c r="M37" s="54">
        <f>SUMPRODUCT(C26:H36,J26:O36)</f>
        <v>10899.8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15" priority="15">
      <formula>E6="NON-COMPLIANT"</formula>
    </cfRule>
    <cfRule type="expression" dxfId="14" priority="16">
      <formula>E6="COMPLIANT"</formula>
    </cfRule>
  </conditionalFormatting>
  <conditionalFormatting sqref="U4:U7">
    <cfRule type="expression" dxfId="13" priority="13">
      <formula>U4="NON-COMPLIANT"</formula>
    </cfRule>
    <cfRule type="expression" dxfId="12" priority="14">
      <formula>U4="COMPLIANT"</formula>
    </cfRule>
  </conditionalFormatting>
  <conditionalFormatting sqref="E5">
    <cfRule type="expression" dxfId="11" priority="11">
      <formula>E5="NON-COMPLIANT"</formula>
    </cfRule>
    <cfRule type="expression" dxfId="10" priority="12">
      <formula>E5="COMPLIANT"</formula>
    </cfRule>
  </conditionalFormatting>
  <conditionalFormatting sqref="O37:P37">
    <cfRule type="expression" dxfId="9" priority="9">
      <formula>O37="NON-COMPLIANT"</formula>
    </cfRule>
    <cfRule type="expression" dxfId="8" priority="10">
      <formula>O37="COMPLIANT"</formula>
    </cfRule>
  </conditionalFormatting>
  <conditionalFormatting sqref="V4:V7">
    <cfRule type="expression" dxfId="7" priority="7">
      <formula>V4="NON-COMPLIANT"</formula>
    </cfRule>
    <cfRule type="expression" dxfId="6" priority="8">
      <formula>V4="COMPLIANT"</formula>
    </cfRule>
  </conditionalFormatting>
  <conditionalFormatting sqref="H37">
    <cfRule type="expression" dxfId="5" priority="5">
      <formula>H37="NON-COMPLIANT"</formula>
    </cfRule>
    <cfRule type="expression" dxfId="4" priority="6">
      <formula>H37="COMPLIANT"</formula>
    </cfRule>
  </conditionalFormatting>
  <conditionalFormatting sqref="T8">
    <cfRule type="expression" dxfId="3" priority="3">
      <formula>T8="NON-COMPLIANT"</formula>
    </cfRule>
    <cfRule type="expression" dxfId="2" priority="4">
      <formula>T8="COMPLIANT"</formula>
    </cfRule>
  </conditionalFormatting>
  <conditionalFormatting sqref="T4:T7">
    <cfRule type="expression" dxfId="1" priority="1">
      <formula>T4="NON-COMPLIANT"</formula>
    </cfRule>
    <cfRule type="expression" dxfId="0" priority="2">
      <formula>T4="COMPLIANT"</formula>
    </cfRule>
  </conditionalFormatting>
  <dataValidations count="2">
    <dataValidation type="list" allowBlank="1" showInputMessage="1" showErrorMessage="1" sqref="S13:S23" xr:uid="{DFD4B7DA-475B-4F5A-868F-1AAFA4B58F13}">
      <formula1>$N$4:$N$7</formula1>
    </dataValidation>
    <dataValidation type="list" allowBlank="1" showInputMessage="1" showErrorMessage="1" sqref="T13:T23" xr:uid="{367EA888-90A5-4ADD-B446-9294E5CC531C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78F2-9E4C-472A-B812-4BC174CCE1AF}">
  <dimension ref="B1:V37"/>
  <sheetViews>
    <sheetView showGridLines="0" workbookViewId="0">
      <selection activeCell="T8" sqref="T8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3" t="s">
        <v>54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1.7999999999999999E-2</v>
      </c>
      <c r="H3" s="72" t="s">
        <v>46</v>
      </c>
      <c r="I3" s="73"/>
      <c r="J3" s="74"/>
      <c r="K3" s="75">
        <f>(1+G3)*(1-G4)*(1+G5)+G7</f>
        <v>1.1116743843887562</v>
      </c>
      <c r="L3" s="41">
        <f>(K3-R8)/(1+G3)/(1-G4)</f>
        <v>2.0562795331479408E-2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1.7999999999999999E-2</v>
      </c>
      <c r="E4" s="23"/>
      <c r="F4" s="7" t="s">
        <v>45</v>
      </c>
      <c r="G4" s="59">
        <f>IF(D5&gt;0,0,D5)</f>
        <v>-4.2000000000000003E-2</v>
      </c>
      <c r="H4" s="69"/>
      <c r="I4" s="69"/>
      <c r="K4" s="41"/>
      <c r="L4" s="41"/>
      <c r="N4" s="7" t="s">
        <v>10</v>
      </c>
      <c r="O4" s="64">
        <f>SUMIF(S13:S23,N4,U13:U23)</f>
        <v>3965</v>
      </c>
      <c r="P4" s="64"/>
      <c r="Q4" s="14">
        <f>SUMIF(S26:S36,N4,U26:U36)</f>
        <v>3673.2</v>
      </c>
      <c r="R4" s="58">
        <f>IF(O4=0,"",O4/Q4)</f>
        <v>1.0794402700642491</v>
      </c>
      <c r="S4" s="58">
        <f>IF(R4="","",((R4)-(G7+G8)-1)/(G6)+1)</f>
        <v>1.0502238783621911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-4.2000000000000003E-2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1.1116842854768858</v>
      </c>
      <c r="L5" s="41">
        <f>(K5-R8)/(1+G3)/(1-G4)</f>
        <v>2.0572129323584657E-2</v>
      </c>
      <c r="N5" s="7" t="s">
        <v>25</v>
      </c>
      <c r="O5" s="64">
        <f>SUMIF(S13:S23,N5,U13:U23)</f>
        <v>5458</v>
      </c>
      <c r="P5" s="64"/>
      <c r="Q5" s="14">
        <f>SUMIF(S26:S36,N5,U26:U36)</f>
        <v>4961.2</v>
      </c>
      <c r="R5" s="58">
        <f>IF(O5=0,"",O5/Q5)</f>
        <v>1.1001370636136418</v>
      </c>
      <c r="S5" s="58">
        <f>IF(R5="","",((R5)-(G7+G8)-1)/(G6)+1)</f>
        <v>1.0711274328791422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0.99010881295854414</v>
      </c>
      <c r="H6" s="79" t="s">
        <v>48</v>
      </c>
      <c r="I6" s="80"/>
      <c r="J6" s="81"/>
      <c r="K6" s="82">
        <f>1+((1+G3)*(1-G4)*(1+G5)-1)*G6+G7+G8</f>
        <v>1.1108734937969682</v>
      </c>
      <c r="L6" s="58">
        <f>(K6-R8)/(1+G3)/(1-G4)/G6</f>
        <v>2.0005656343211775E-2</v>
      </c>
      <c r="N6" s="7" t="s">
        <v>16</v>
      </c>
      <c r="O6" s="64">
        <f>SUMIF(S13:S23,N6,U13:U23)</f>
        <v>1584.5</v>
      </c>
      <c r="P6" s="64"/>
      <c r="Q6" s="14">
        <f>SUMIF(S26:S36,N6,U26:U36)</f>
        <v>1465.5</v>
      </c>
      <c r="R6" s="58">
        <f>IF(O6=0,"",O6/Q6)</f>
        <v>1.0812009553053565</v>
      </c>
      <c r="S6" s="58">
        <f>IF(R6="","",((R6)-(G7+G8)-1)/(G6)+1)</f>
        <v>1.052002152848857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2.9703264388756326E-2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9.9010881295935604E-6</v>
      </c>
      <c r="H8" s="83" t="s">
        <v>51</v>
      </c>
      <c r="I8" s="84"/>
      <c r="J8" s="85"/>
      <c r="K8" s="86">
        <f>(1+G3)*(1-G4)*(1+G5)</f>
        <v>1.08197112</v>
      </c>
      <c r="L8" s="71">
        <f>(K8-S8)/(1+G3)/(1-G4)</f>
        <v>2.0005656343211702E-2</v>
      </c>
      <c r="N8" s="51" t="s">
        <v>30</v>
      </c>
      <c r="O8" s="65">
        <f>SUM(O4:O7)</f>
        <v>11007.5</v>
      </c>
      <c r="P8" s="65"/>
      <c r="Q8" s="52">
        <f>SUM(Q4:Q7)</f>
        <v>10099.9</v>
      </c>
      <c r="R8" s="42">
        <f>IF(O8=0,0,O8/Q8)</f>
        <v>1.0898622758641174</v>
      </c>
      <c r="S8" s="63">
        <f>((R8)-(G7+G8)-1)/(G6)+1</f>
        <v>1.0607500000000001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10.199999999999999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2836</v>
      </c>
      <c r="V13" s="40">
        <f>IF(U13=0,0,U13/U26)</f>
        <v>1.0791476407914764</v>
      </c>
    </row>
    <row r="14" spans="2:22" x14ac:dyDescent="0.25">
      <c r="B14" s="7" t="s">
        <v>12</v>
      </c>
      <c r="C14" s="43">
        <v>10.199999999999999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785</v>
      </c>
      <c r="V14" s="40">
        <f t="shared" ref="V14:V23" si="3">IF(U14=0,0,U14/U27)</f>
        <v>1.081267217630854</v>
      </c>
    </row>
    <row r="15" spans="2:22" x14ac:dyDescent="0.25">
      <c r="B15" s="7" t="s">
        <v>32</v>
      </c>
      <c r="C15" s="43">
        <v>10.199999999999999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344</v>
      </c>
      <c r="V15" s="40">
        <f t="shared" si="3"/>
        <v>1.0776942355889725</v>
      </c>
    </row>
    <row r="16" spans="2:22" x14ac:dyDescent="0.25">
      <c r="B16" s="7" t="s">
        <v>13</v>
      </c>
      <c r="C16" s="43">
        <v>20.399999999999999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3632</v>
      </c>
      <c r="V16" s="40">
        <f t="shared" si="3"/>
        <v>1.1052951917224589</v>
      </c>
    </row>
    <row r="17" spans="2:22" x14ac:dyDescent="0.25">
      <c r="B17" s="7" t="s">
        <v>14</v>
      </c>
      <c r="C17" s="43">
        <v>20.399999999999999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1362</v>
      </c>
      <c r="V17" s="40">
        <f t="shared" si="3"/>
        <v>1.0913461538461537</v>
      </c>
    </row>
    <row r="18" spans="2:22" x14ac:dyDescent="0.25">
      <c r="B18" s="7" t="s">
        <v>15</v>
      </c>
      <c r="C18" s="43">
        <v>20.399999999999999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464</v>
      </c>
      <c r="V18" s="40">
        <f t="shared" si="3"/>
        <v>1.0861423220973783</v>
      </c>
    </row>
    <row r="19" spans="2:22" x14ac:dyDescent="0.25">
      <c r="B19" s="7" t="s">
        <v>16</v>
      </c>
      <c r="C19" s="43">
        <v>51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1584.5</v>
      </c>
      <c r="V19" s="40">
        <f t="shared" si="3"/>
        <v>1.0812009553053565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2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726</v>
      </c>
      <c r="V27" s="10"/>
    </row>
    <row r="28" spans="2:22" x14ac:dyDescent="0.25">
      <c r="B28" s="7" t="str">
        <f t="shared" si="5"/>
        <v>Residential Dmd</v>
      </c>
      <c r="C28" s="43">
        <v>9.6</v>
      </c>
      <c r="D28" s="43"/>
      <c r="E28" s="43">
        <v>0.18</v>
      </c>
      <c r="F28" s="43">
        <v>3.5000000000000003E-2</v>
      </c>
      <c r="G28" s="43">
        <v>6.2E-2</v>
      </c>
      <c r="H28" s="43">
        <v>9.6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319.2</v>
      </c>
      <c r="V28" s="10"/>
    </row>
    <row r="29" spans="2:22" x14ac:dyDescent="0.25">
      <c r="B29" s="7" t="str">
        <f t="shared" si="5"/>
        <v>SB flat</v>
      </c>
      <c r="C29" s="43">
        <v>19.2</v>
      </c>
      <c r="D29" s="43">
        <v>0.17499999999999999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3286</v>
      </c>
      <c r="V29" s="10"/>
    </row>
    <row r="30" spans="2:22" x14ac:dyDescent="0.25">
      <c r="B30" s="7" t="str">
        <f t="shared" si="5"/>
        <v>SB TOU</v>
      </c>
      <c r="C30" s="43">
        <v>19.2</v>
      </c>
      <c r="D30" s="43"/>
      <c r="E30" s="43">
        <v>0.36</v>
      </c>
      <c r="F30" s="43">
        <v>7.0000000000000007E-2</v>
      </c>
      <c r="G30" s="43">
        <v>0.124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1248</v>
      </c>
      <c r="V30" s="10"/>
    </row>
    <row r="31" spans="2:22" x14ac:dyDescent="0.25">
      <c r="B31" s="7" t="str">
        <f t="shared" si="5"/>
        <v>SB Demand</v>
      </c>
      <c r="C31" s="43">
        <v>19.2</v>
      </c>
      <c r="D31" s="43"/>
      <c r="E31" s="43">
        <v>0.36</v>
      </c>
      <c r="F31" s="43">
        <v>7.0000000000000007E-2</v>
      </c>
      <c r="G31" s="43">
        <v>0.124</v>
      </c>
      <c r="H31" s="43">
        <v>19.2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427.2</v>
      </c>
      <c r="V31" s="10"/>
    </row>
    <row r="32" spans="2:22" x14ac:dyDescent="0.25">
      <c r="B32" s="7" t="str">
        <f t="shared" si="5"/>
        <v>Other</v>
      </c>
      <c r="C32" s="43">
        <v>46.8</v>
      </c>
      <c r="D32" s="43"/>
      <c r="E32" s="43">
        <v>0.55000000000000004</v>
      </c>
      <c r="F32" s="43">
        <v>0.105</v>
      </c>
      <c r="G32" s="43">
        <v>0.21</v>
      </c>
      <c r="H32" s="43">
        <v>47.5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1465.5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11007.56</v>
      </c>
      <c r="E37" s="54" t="s">
        <v>65</v>
      </c>
      <c r="F37" s="54">
        <f>SUMPRODUCT(C13:H23,J13:O23)</f>
        <v>11007.5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10099.9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59" priority="15">
      <formula>E6="NON-COMPLIANT"</formula>
    </cfRule>
    <cfRule type="expression" dxfId="158" priority="16">
      <formula>E6="COMPLIANT"</formula>
    </cfRule>
  </conditionalFormatting>
  <conditionalFormatting sqref="U4:U7">
    <cfRule type="expression" dxfId="157" priority="13">
      <formula>U4="NON-COMPLIANT"</formula>
    </cfRule>
    <cfRule type="expression" dxfId="156" priority="14">
      <formula>U4="COMPLIANT"</formula>
    </cfRule>
  </conditionalFormatting>
  <conditionalFormatting sqref="E5">
    <cfRule type="expression" dxfId="155" priority="11">
      <formula>E5="NON-COMPLIANT"</formula>
    </cfRule>
    <cfRule type="expression" dxfId="154" priority="12">
      <formula>E5="COMPLIANT"</formula>
    </cfRule>
  </conditionalFormatting>
  <conditionalFormatting sqref="O37:P37">
    <cfRule type="expression" dxfId="153" priority="9">
      <formula>O37="NON-COMPLIANT"</formula>
    </cfRule>
    <cfRule type="expression" dxfId="152" priority="10">
      <formula>O37="COMPLIANT"</formula>
    </cfRule>
  </conditionalFormatting>
  <conditionalFormatting sqref="V4:V7">
    <cfRule type="expression" dxfId="151" priority="7">
      <formula>V4="NON-COMPLIANT"</formula>
    </cfRule>
    <cfRule type="expression" dxfId="150" priority="8">
      <formula>V4="COMPLIANT"</formula>
    </cfRule>
  </conditionalFormatting>
  <conditionalFormatting sqref="H37">
    <cfRule type="expression" dxfId="149" priority="5">
      <formula>H37="NON-COMPLIANT"</formula>
    </cfRule>
    <cfRule type="expression" dxfId="148" priority="6">
      <formula>H37="COMPLIANT"</formula>
    </cfRule>
  </conditionalFormatting>
  <conditionalFormatting sqref="T8">
    <cfRule type="expression" dxfId="147" priority="3">
      <formula>T8="NON-COMPLIANT"</formula>
    </cfRule>
    <cfRule type="expression" dxfId="146" priority="4">
      <formula>T8="COMPLIANT"</formula>
    </cfRule>
  </conditionalFormatting>
  <conditionalFormatting sqref="T4:T7">
    <cfRule type="expression" dxfId="145" priority="1">
      <formula>T4="NON-COMPLIANT"</formula>
    </cfRule>
    <cfRule type="expression" dxfId="144" priority="2">
      <formula>T4="COMPLIANT"</formula>
    </cfRule>
  </conditionalFormatting>
  <dataValidations count="2">
    <dataValidation type="list" allowBlank="1" showInputMessage="1" showErrorMessage="1" sqref="S13:S23" xr:uid="{608BE7F1-7631-4F1F-8C46-262A8EB9AC5A}">
      <formula1>$N$4:$N$7</formula1>
    </dataValidation>
    <dataValidation type="list" allowBlank="1" showInputMessage="1" showErrorMessage="1" sqref="T13:T23" xr:uid="{CF45547E-C39D-4581-97C5-071C2F946DCB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3B62-C9EE-4DAA-9590-CA0E4048EFD3}">
  <dimension ref="B1:V37"/>
  <sheetViews>
    <sheetView showGridLines="0" workbookViewId="0">
      <selection activeCell="T8" sqref="T8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3" t="s">
        <v>53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1.1006910243887564</v>
      </c>
      <c r="L3" s="41">
        <f>(K3-R8)/(1+G3)/(1-G4)</f>
        <v>8.216764388933967E-2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3715</v>
      </c>
      <c r="P4" s="64"/>
      <c r="Q4" s="14">
        <f>SUMIF(S26:S36,N4,U26:U36)</f>
        <v>3673.2</v>
      </c>
      <c r="R4" s="58">
        <f>IF(O4=0,"",O4/Q4)</f>
        <v>1.0113797234019384</v>
      </c>
      <c r="S4" s="58">
        <f>IF(R4="","",((R4)-(G7+G8)-1)/(G6)+1)</f>
        <v>0.9814834068387237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1.100700925476886</v>
      </c>
      <c r="L5" s="41">
        <f>(K5-R8)/(1+G3)/(1-G4)</f>
        <v>8.2177073604850298E-2</v>
      </c>
      <c r="N5" s="7" t="s">
        <v>25</v>
      </c>
      <c r="O5" s="64">
        <f>SUMIF(S13:S23,N5,U13:U23)</f>
        <v>5050</v>
      </c>
      <c r="P5" s="64"/>
      <c r="Q5" s="14">
        <f>SUMIF(S26:S36,N5,U26:U36)</f>
        <v>4961.2</v>
      </c>
      <c r="R5" s="58">
        <f>IF(O5=0,"",O5/Q5)</f>
        <v>1.0178988954285253</v>
      </c>
      <c r="S5" s="58">
        <f>IF(R5="","",((R5)-(G7+G8)-1)/(G6)+1)</f>
        <v>0.98806770539385624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0.99010881295854414</v>
      </c>
      <c r="H6" s="79" t="s">
        <v>48</v>
      </c>
      <c r="I6" s="80"/>
      <c r="J6" s="81"/>
      <c r="K6" s="82">
        <f>1+((1+G3)*(1-G4)*(1+G5)-1)*G6+G7+G8</f>
        <v>1.0999987722650721</v>
      </c>
      <c r="L6" s="58">
        <f>(K6-R8)/(1+G3)/(1-G4)/G6</f>
        <v>8.2322617020385125E-2</v>
      </c>
      <c r="N6" s="7" t="s">
        <v>16</v>
      </c>
      <c r="O6" s="64">
        <f>SUMIF(S13:S23,N6,U13:U23)</f>
        <v>1480.5</v>
      </c>
      <c r="P6" s="64"/>
      <c r="Q6" s="14">
        <f>SUMIF(S26:S36,N6,U26:U36)</f>
        <v>1465.5</v>
      </c>
      <c r="R6" s="58">
        <f>IF(O6=0,"",O6/Q6)</f>
        <v>1.0102354145342887</v>
      </c>
      <c r="S6" s="58">
        <f>IF(R6="","",((R6)-(G7+G8)-1)/(G6)+1)</f>
        <v>0.98032766632548618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2.9703264388756326E-2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9.9010881295935604E-6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8.2322617020385111E-2</v>
      </c>
      <c r="N8" s="51" t="s">
        <v>30</v>
      </c>
      <c r="O8" s="65">
        <f>SUM(O4:O7)</f>
        <v>10245.5</v>
      </c>
      <c r="P8" s="65"/>
      <c r="Q8" s="52">
        <f>SUM(Q4:Q7)</f>
        <v>10099.9</v>
      </c>
      <c r="R8" s="42">
        <f>IF(O8=0,0,O8/Q8)</f>
        <v>1.0144159843166765</v>
      </c>
      <c r="S8" s="63">
        <f>((R8)-(G7+G8)-1)/(G6)+1</f>
        <v>0.98455000000000004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9.1999999999999993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2656</v>
      </c>
      <c r="V13" s="40">
        <f>IF(U13=0,0,U13/U26)</f>
        <v>1.0106544901065448</v>
      </c>
    </row>
    <row r="14" spans="2:22" x14ac:dyDescent="0.25">
      <c r="B14" s="7" t="s">
        <v>12</v>
      </c>
      <c r="C14" s="43">
        <v>9.1999999999999993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735</v>
      </c>
      <c r="V14" s="40">
        <f t="shared" ref="V14:V23" si="3">IF(U14=0,0,U14/U27)</f>
        <v>1.0123966942148761</v>
      </c>
    </row>
    <row r="15" spans="2:22" x14ac:dyDescent="0.25">
      <c r="B15" s="7" t="s">
        <v>32</v>
      </c>
      <c r="C15" s="43">
        <v>9.1999999999999993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324</v>
      </c>
      <c r="V15" s="40">
        <f t="shared" si="3"/>
        <v>1.0150375939849625</v>
      </c>
    </row>
    <row r="16" spans="2:22" x14ac:dyDescent="0.25">
      <c r="B16" s="7" t="s">
        <v>13</v>
      </c>
      <c r="C16" s="43">
        <v>17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3360</v>
      </c>
      <c r="V16" s="40">
        <f t="shared" si="3"/>
        <v>1.0225197808886184</v>
      </c>
    </row>
    <row r="17" spans="2:22" x14ac:dyDescent="0.25">
      <c r="B17" s="7" t="s">
        <v>14</v>
      </c>
      <c r="C17" s="43">
        <v>17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1260</v>
      </c>
      <c r="V17" s="40">
        <f t="shared" si="3"/>
        <v>1.0096153846153846</v>
      </c>
    </row>
    <row r="18" spans="2:22" x14ac:dyDescent="0.25">
      <c r="B18" s="7" t="s">
        <v>15</v>
      </c>
      <c r="C18" s="43">
        <v>17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430</v>
      </c>
      <c r="V18" s="40">
        <f t="shared" si="3"/>
        <v>1.0065543071161049</v>
      </c>
    </row>
    <row r="19" spans="2:22" x14ac:dyDescent="0.25">
      <c r="B19" s="7" t="s">
        <v>16</v>
      </c>
      <c r="C19" s="43">
        <v>40.6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1480.5</v>
      </c>
      <c r="V19" s="40">
        <f t="shared" si="3"/>
        <v>1.0102354145342887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2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726</v>
      </c>
      <c r="V27" s="10"/>
    </row>
    <row r="28" spans="2:22" x14ac:dyDescent="0.25">
      <c r="B28" s="7" t="str">
        <f t="shared" si="5"/>
        <v>Residential Dmd</v>
      </c>
      <c r="C28" s="43">
        <v>9.6</v>
      </c>
      <c r="D28" s="43"/>
      <c r="E28" s="43">
        <v>0.18</v>
      </c>
      <c r="F28" s="43">
        <v>3.5000000000000003E-2</v>
      </c>
      <c r="G28" s="43">
        <v>6.2E-2</v>
      </c>
      <c r="H28" s="43">
        <v>9.6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319.2</v>
      </c>
      <c r="V28" s="10"/>
    </row>
    <row r="29" spans="2:22" x14ac:dyDescent="0.25">
      <c r="B29" s="7" t="str">
        <f t="shared" si="5"/>
        <v>SB flat</v>
      </c>
      <c r="C29" s="43">
        <v>19.2</v>
      </c>
      <c r="D29" s="43">
        <v>0.17499999999999999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3286</v>
      </c>
      <c r="V29" s="10"/>
    </row>
    <row r="30" spans="2:22" x14ac:dyDescent="0.25">
      <c r="B30" s="7" t="str">
        <f t="shared" si="5"/>
        <v>SB TOU</v>
      </c>
      <c r="C30" s="43">
        <v>19.2</v>
      </c>
      <c r="D30" s="43"/>
      <c r="E30" s="43">
        <v>0.36</v>
      </c>
      <c r="F30" s="43">
        <v>7.0000000000000007E-2</v>
      </c>
      <c r="G30" s="43">
        <v>0.124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1248</v>
      </c>
      <c r="V30" s="10"/>
    </row>
    <row r="31" spans="2:22" x14ac:dyDescent="0.25">
      <c r="B31" s="7" t="str">
        <f t="shared" si="5"/>
        <v>SB Demand</v>
      </c>
      <c r="C31" s="43">
        <v>19.2</v>
      </c>
      <c r="D31" s="43"/>
      <c r="E31" s="43">
        <v>0.36</v>
      </c>
      <c r="F31" s="43">
        <v>7.0000000000000007E-2</v>
      </c>
      <c r="G31" s="43">
        <v>0.124</v>
      </c>
      <c r="H31" s="43">
        <v>19.2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427.2</v>
      </c>
      <c r="V31" s="10"/>
    </row>
    <row r="32" spans="2:22" x14ac:dyDescent="0.25">
      <c r="B32" s="7" t="str">
        <f t="shared" si="5"/>
        <v>Other</v>
      </c>
      <c r="C32" s="43">
        <v>46.8</v>
      </c>
      <c r="D32" s="43"/>
      <c r="E32" s="43">
        <v>0.55000000000000004</v>
      </c>
      <c r="F32" s="43">
        <v>0.105</v>
      </c>
      <c r="G32" s="43">
        <v>0.21</v>
      </c>
      <c r="H32" s="43">
        <v>47.5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1465.5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10245.5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10099.9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43" priority="15">
      <formula>E6="NON-COMPLIANT"</formula>
    </cfRule>
    <cfRule type="expression" dxfId="142" priority="16">
      <formula>E6="COMPLIANT"</formula>
    </cfRule>
  </conditionalFormatting>
  <conditionalFormatting sqref="U4:U7">
    <cfRule type="expression" dxfId="141" priority="13">
      <formula>U4="NON-COMPLIANT"</formula>
    </cfRule>
    <cfRule type="expression" dxfId="140" priority="14">
      <formula>U4="COMPLIANT"</formula>
    </cfRule>
  </conditionalFormatting>
  <conditionalFormatting sqref="E5">
    <cfRule type="expression" dxfId="139" priority="11">
      <formula>E5="NON-COMPLIANT"</formula>
    </cfRule>
    <cfRule type="expression" dxfId="138" priority="12">
      <formula>E5="COMPLIANT"</formula>
    </cfRule>
  </conditionalFormatting>
  <conditionalFormatting sqref="O37:P37">
    <cfRule type="expression" dxfId="137" priority="9">
      <formula>O37="NON-COMPLIANT"</formula>
    </cfRule>
    <cfRule type="expression" dxfId="136" priority="10">
      <formula>O37="COMPLIANT"</formula>
    </cfRule>
  </conditionalFormatting>
  <conditionalFormatting sqref="V4:V7">
    <cfRule type="expression" dxfId="135" priority="7">
      <formula>V4="NON-COMPLIANT"</formula>
    </cfRule>
    <cfRule type="expression" dxfId="134" priority="8">
      <formula>V4="COMPLIANT"</formula>
    </cfRule>
  </conditionalFormatting>
  <conditionalFormatting sqref="H37">
    <cfRule type="expression" dxfId="133" priority="5">
      <formula>H37="NON-COMPLIANT"</formula>
    </cfRule>
    <cfRule type="expression" dxfId="132" priority="6">
      <formula>H37="COMPLIANT"</formula>
    </cfRule>
  </conditionalFormatting>
  <conditionalFormatting sqref="T8">
    <cfRule type="expression" dxfId="131" priority="3">
      <formula>T8="NON-COMPLIANT"</formula>
    </cfRule>
    <cfRule type="expression" dxfId="130" priority="4">
      <formula>T8="COMPLIANT"</formula>
    </cfRule>
  </conditionalFormatting>
  <conditionalFormatting sqref="T4:T7">
    <cfRule type="expression" dxfId="129" priority="1">
      <formula>T4="NON-COMPLIANT"</formula>
    </cfRule>
    <cfRule type="expression" dxfId="128" priority="2">
      <formula>T4="COMPLIANT"</formula>
    </cfRule>
  </conditionalFormatting>
  <dataValidations count="2">
    <dataValidation type="list" allowBlank="1" showInputMessage="1" showErrorMessage="1" sqref="S13:S23" xr:uid="{7DED11EB-78BA-456B-91D4-E8B150183FFD}">
      <formula1>$N$4:$N$7</formula1>
    </dataValidation>
    <dataValidation type="list" allowBlank="1" showInputMessage="1" showErrorMessage="1" sqref="T13:T23" xr:uid="{35BFF1CF-456D-4EC1-9775-0CA7546025B0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FFD0-9829-40C6-9D7A-C816AC070A37}">
  <dimension ref="B1:V37"/>
  <sheetViews>
    <sheetView showGridLines="0" workbookViewId="0">
      <selection activeCell="N9" sqref="N9:T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3" t="s">
        <v>73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2" ht="15" customHeight="1" thickBot="1" x14ac:dyDescent="0.3">
      <c r="B3" s="11" t="s">
        <v>33</v>
      </c>
      <c r="C3" s="12">
        <f>'Scenario 2'!C3*(1+'Scenario 2'!D4)*(1-'Scenario 2'!D5)</f>
        <v>10499.880000000003</v>
      </c>
      <c r="D3" s="31"/>
      <c r="E3" s="7"/>
      <c r="F3" s="11" t="s">
        <v>64</v>
      </c>
      <c r="G3" s="60">
        <f>D4</f>
        <v>2.7300000000000001E-2</v>
      </c>
      <c r="H3" s="72" t="s">
        <v>46</v>
      </c>
      <c r="I3" s="73"/>
      <c r="J3" s="74"/>
      <c r="K3" s="75">
        <f>(1+G3)*(1-G4)*(1+G5)+G7</f>
        <v>1.0685933508000003</v>
      </c>
      <c r="L3" s="41">
        <f>(K3-R8)/(1+G3)/(1-G4)</f>
        <v>-4.2085299980653461E-2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2.7300000000000001E-2</v>
      </c>
      <c r="E4" s="23"/>
      <c r="F4" s="7" t="s">
        <v>45</v>
      </c>
      <c r="G4" s="59">
        <f>IF(D5&gt;0,0,D5)</f>
        <v>-1.9800000000000002E-2</v>
      </c>
      <c r="H4" s="69"/>
      <c r="I4" s="69"/>
      <c r="K4" s="41"/>
      <c r="L4" s="41"/>
      <c r="N4" s="7" t="s">
        <v>10</v>
      </c>
      <c r="O4" s="64">
        <f>SUMIF(S13:S23,N4,U13:U23)</f>
        <v>4170</v>
      </c>
      <c r="P4" s="64"/>
      <c r="Q4" s="14">
        <f>SUMIF(S26:S36,N4,U26:U36)</f>
        <v>3715</v>
      </c>
      <c r="R4" s="58">
        <f>IF(O4=0,"",O4/Q4)</f>
        <v>1.1224764468371466</v>
      </c>
      <c r="S4" s="58">
        <f>IF(R4="","",((R4)-(G7+G8)-1)/(G6)+1)</f>
        <v>1.0571865998535204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-1.9800000000000002E-2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1.1324633425036754</v>
      </c>
      <c r="L5" s="41">
        <f>(K5-R8)/(1+G3)/(1-G4)</f>
        <v>1.888025954578022E-2</v>
      </c>
      <c r="N5" s="7" t="s">
        <v>25</v>
      </c>
      <c r="O5" s="64">
        <f>SUMIF(S13:S23,N5,U13:U23)</f>
        <v>5580</v>
      </c>
      <c r="P5" s="64"/>
      <c r="Q5" s="14">
        <f>SUMIF(S26:S36,N5,U26:U36)</f>
        <v>5050</v>
      </c>
      <c r="R5" s="58">
        <f>IF(O5=0,"",O5/Q5)</f>
        <v>1.104950495049505</v>
      </c>
      <c r="S5" s="58">
        <f>IF(R5="","",((R5)-(G7+G8)-1)/(G6)+1)</f>
        <v>1.0400852483104284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-100</v>
      </c>
      <c r="D6" s="14">
        <v>50</v>
      </c>
      <c r="E6" s="23"/>
      <c r="F6" s="16" t="s">
        <v>49</v>
      </c>
      <c r="G6" s="60">
        <f>C3/Q8</f>
        <v>1.0248284612756824</v>
      </c>
      <c r="H6" s="79" t="s">
        <v>48</v>
      </c>
      <c r="I6" s="80"/>
      <c r="J6" s="81"/>
      <c r="K6" s="82">
        <f>1+((1+G3)*(1-G4)*(1+G5)-1)*G6+G7+G8</f>
        <v>1.1341664098577826</v>
      </c>
      <c r="L6" s="58">
        <f>(K6-R8)/(1+G3)/(1-G4)/G6</f>
        <v>2.0009086566088879E-2</v>
      </c>
      <c r="N6" s="7" t="s">
        <v>16</v>
      </c>
      <c r="O6" s="64">
        <f>SUMIF(S13:S23,N6,U13:U23)</f>
        <v>1650</v>
      </c>
      <c r="P6" s="64"/>
      <c r="Q6" s="14">
        <f>SUMIF(S26:S36,N6,U26:U36)</f>
        <v>1480.5</v>
      </c>
      <c r="R6" s="58">
        <f>IF(O6=0,"",O6/Q6)</f>
        <v>1.1144883485309016</v>
      </c>
      <c r="S6" s="58">
        <f>IF(R6="","",((R6)-(G7+G8)-1)/(G6)+1)</f>
        <v>1.0493920287539809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0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300</v>
      </c>
      <c r="D8" s="21">
        <v>150</v>
      </c>
      <c r="E8" s="7"/>
      <c r="F8" s="19" t="s">
        <v>23</v>
      </c>
      <c r="G8" s="61">
        <f>IF(Q8=0,0,(K37/Q8)-1)</f>
        <v>6.3869991703675133E-2</v>
      </c>
      <c r="H8" s="83" t="s">
        <v>51</v>
      </c>
      <c r="I8" s="84"/>
      <c r="J8" s="85"/>
      <c r="K8" s="86">
        <f>(1+G3)*(1-G4)*(1+G5)</f>
        <v>1.0685933508000003</v>
      </c>
      <c r="L8" s="71">
        <f>(K8-S8)/(1+G3)/(1-G4)</f>
        <v>2.0009086566088723E-2</v>
      </c>
      <c r="N8" s="51" t="s">
        <v>30</v>
      </c>
      <c r="O8" s="65">
        <f>SUM(O4:O7)</f>
        <v>11400</v>
      </c>
      <c r="P8" s="65"/>
      <c r="Q8" s="52">
        <f>SUM(Q4:Q7)</f>
        <v>10245.5</v>
      </c>
      <c r="R8" s="42">
        <f>IF(O8=0,0,O8/Q8)</f>
        <v>1.1126836171977941</v>
      </c>
      <c r="S8" s="63">
        <f>((R8)-(G7+G8)-1)/(G6)+1</f>
        <v>1.0476310205449963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0.96036641964796621</v>
      </c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0.115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2950</v>
      </c>
      <c r="V13" s="40">
        <f>IF(U13=0,0,U13/U26)</f>
        <v>1.1106927710843373</v>
      </c>
    </row>
    <row r="14" spans="2:22" x14ac:dyDescent="0.25">
      <c r="B14" s="7" t="s">
        <v>12</v>
      </c>
      <c r="C14" s="43">
        <v>10</v>
      </c>
      <c r="D14" s="43"/>
      <c r="E14" s="43">
        <v>0.25</v>
      </c>
      <c r="F14" s="43">
        <v>0.05</v>
      </c>
      <c r="G14" s="43">
        <v>0.1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850</v>
      </c>
      <c r="V14" s="40">
        <f t="shared" ref="V14:V23" si="3">IF(U14=0,0,U14/U27)</f>
        <v>1.1564625850340136</v>
      </c>
    </row>
    <row r="15" spans="2:22" x14ac:dyDescent="0.25">
      <c r="B15" s="7" t="s">
        <v>32</v>
      </c>
      <c r="C15" s="43">
        <v>10</v>
      </c>
      <c r="D15" s="43"/>
      <c r="E15" s="43">
        <v>0.25</v>
      </c>
      <c r="F15" s="43">
        <v>0.05</v>
      </c>
      <c r="G15" s="43">
        <v>0.1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370</v>
      </c>
      <c r="V15" s="40">
        <f t="shared" si="3"/>
        <v>1.1419753086419753</v>
      </c>
    </row>
    <row r="16" spans="2:22" x14ac:dyDescent="0.25">
      <c r="B16" s="7" t="s">
        <v>13</v>
      </c>
      <c r="C16" s="43">
        <v>20</v>
      </c>
      <c r="D16" s="43">
        <v>0.21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3700</v>
      </c>
      <c r="V16" s="40">
        <f t="shared" si="3"/>
        <v>1.1011904761904763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0.1</v>
      </c>
      <c r="G17" s="43">
        <v>0.2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1400</v>
      </c>
      <c r="V17" s="40">
        <f t="shared" si="3"/>
        <v>1.1111111111111112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0.1</v>
      </c>
      <c r="G18" s="43">
        <v>0.2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480</v>
      </c>
      <c r="V18" s="40">
        <f t="shared" si="3"/>
        <v>1.1162790697674418</v>
      </c>
    </row>
    <row r="19" spans="2:22" x14ac:dyDescent="0.25">
      <c r="B19" s="7" t="s">
        <v>16</v>
      </c>
      <c r="C19" s="43">
        <v>50</v>
      </c>
      <c r="D19" s="43"/>
      <c r="E19" s="43">
        <v>0.6</v>
      </c>
      <c r="F19" s="43">
        <v>0.15</v>
      </c>
      <c r="G19" s="43">
        <v>0.3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1650</v>
      </c>
      <c r="V19" s="40">
        <f t="shared" si="3"/>
        <v>1.1144883485309016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9.1999999999999993</v>
      </c>
      <c r="D26" s="43">
        <v>0.1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2656</v>
      </c>
      <c r="V26" s="10"/>
    </row>
    <row r="27" spans="2:22" x14ac:dyDescent="0.25">
      <c r="B27" s="7" t="str">
        <f t="shared" ref="B27:B36" si="5">B14</f>
        <v>Residential TOU</v>
      </c>
      <c r="C27" s="43">
        <v>9.1999999999999993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735</v>
      </c>
      <c r="V27" s="10"/>
    </row>
    <row r="28" spans="2:22" x14ac:dyDescent="0.25">
      <c r="B28" s="7" t="str">
        <f t="shared" si="5"/>
        <v>Residential Dmd</v>
      </c>
      <c r="C28" s="43">
        <v>9.1999999999999993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324</v>
      </c>
      <c r="V28" s="10"/>
    </row>
    <row r="29" spans="2:22" x14ac:dyDescent="0.25">
      <c r="B29" s="7" t="str">
        <f t="shared" si="5"/>
        <v>SB flat</v>
      </c>
      <c r="C29" s="43">
        <v>17</v>
      </c>
      <c r="D29" s="43">
        <v>0.2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3360</v>
      </c>
      <c r="V29" s="10"/>
    </row>
    <row r="30" spans="2:22" x14ac:dyDescent="0.25">
      <c r="B30" s="7" t="str">
        <f t="shared" si="5"/>
        <v>SB TOU</v>
      </c>
      <c r="C30" s="43">
        <v>17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1260</v>
      </c>
      <c r="V30" s="10"/>
    </row>
    <row r="31" spans="2:22" x14ac:dyDescent="0.25">
      <c r="B31" s="7" t="str">
        <f t="shared" si="5"/>
        <v>SB Demand</v>
      </c>
      <c r="C31" s="43">
        <v>17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430</v>
      </c>
      <c r="V31" s="10"/>
    </row>
    <row r="32" spans="2:22" x14ac:dyDescent="0.25">
      <c r="B32" s="7" t="str">
        <f t="shared" si="5"/>
        <v>Other</v>
      </c>
      <c r="C32" s="43">
        <v>40.6</v>
      </c>
      <c r="D32" s="43"/>
      <c r="E32" s="43">
        <v>0.59950000000000003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1480.5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11400.099953135204</v>
      </c>
      <c r="E37" s="54" t="s">
        <v>65</v>
      </c>
      <c r="F37" s="54">
        <f>SUMPRODUCT(C13:H23,J13:O23)</f>
        <v>11400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10899.880000000003</v>
      </c>
      <c r="L37" s="55" t="s">
        <v>37</v>
      </c>
      <c r="M37" s="54">
        <f>SUMPRODUCT(C26:H36,J26:O36)</f>
        <v>10245.5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27" priority="15">
      <formula>E6="NON-COMPLIANT"</formula>
    </cfRule>
    <cfRule type="expression" dxfId="126" priority="16">
      <formula>E6="COMPLIANT"</formula>
    </cfRule>
  </conditionalFormatting>
  <conditionalFormatting sqref="U4:U7">
    <cfRule type="expression" dxfId="125" priority="13">
      <formula>U4="NON-COMPLIANT"</formula>
    </cfRule>
    <cfRule type="expression" dxfId="124" priority="14">
      <formula>U4="COMPLIANT"</formula>
    </cfRule>
  </conditionalFormatting>
  <conditionalFormatting sqref="E5">
    <cfRule type="expression" dxfId="123" priority="11">
      <formula>E5="NON-COMPLIANT"</formula>
    </cfRule>
    <cfRule type="expression" dxfId="122" priority="12">
      <formula>E5="COMPLIANT"</formula>
    </cfRule>
  </conditionalFormatting>
  <conditionalFormatting sqref="O37:P37">
    <cfRule type="expression" dxfId="121" priority="9">
      <formula>O37="NON-COMPLIANT"</formula>
    </cfRule>
    <cfRule type="expression" dxfId="120" priority="10">
      <formula>O37="COMPLIANT"</formula>
    </cfRule>
  </conditionalFormatting>
  <conditionalFormatting sqref="V4:V7">
    <cfRule type="expression" dxfId="119" priority="7">
      <formula>V4="NON-COMPLIANT"</formula>
    </cfRule>
    <cfRule type="expression" dxfId="118" priority="8">
      <formula>V4="COMPLIANT"</formula>
    </cfRule>
  </conditionalFormatting>
  <conditionalFormatting sqref="H37">
    <cfRule type="expression" dxfId="117" priority="5">
      <formula>H37="NON-COMPLIANT"</formula>
    </cfRule>
    <cfRule type="expression" dxfId="116" priority="6">
      <formula>H37="COMPLIANT"</formula>
    </cfRule>
  </conditionalFormatting>
  <conditionalFormatting sqref="T8">
    <cfRule type="expression" dxfId="115" priority="3">
      <formula>T8="NON-COMPLIANT"</formula>
    </cfRule>
    <cfRule type="expression" dxfId="114" priority="4">
      <formula>T8="COMPLIANT"</formula>
    </cfRule>
  </conditionalFormatting>
  <conditionalFormatting sqref="T4:T7">
    <cfRule type="expression" dxfId="113" priority="1">
      <formula>T4="NON-COMPLIANT"</formula>
    </cfRule>
    <cfRule type="expression" dxfId="112" priority="2">
      <formula>T4="COMPLIANT"</formula>
    </cfRule>
  </conditionalFormatting>
  <dataValidations count="2">
    <dataValidation type="list" allowBlank="1" showInputMessage="1" showErrorMessage="1" sqref="T13:T23" xr:uid="{31DCF653-8AF4-4340-957B-2637FCB51248}">
      <formula1>"new,existing"</formula1>
    </dataValidation>
    <dataValidation type="list" allowBlank="1" showInputMessage="1" showErrorMessage="1" sqref="S13:S23" xr:uid="{26F43CA9-1B7C-4389-9390-A88DC54319D9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3F7D-BA6D-49F3-B44F-8082C643D1D0}">
  <dimension ref="B1:V37"/>
  <sheetViews>
    <sheetView showGridLines="0" workbookViewId="0">
      <selection activeCell="J26" sqref="J26:O32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3" t="s">
        <v>55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1.098511958357723</v>
      </c>
      <c r="L3" s="41">
        <f>(K3-R8)/(1+G3)/(1-G4)</f>
        <v>9.3821984972897746E-2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3915</v>
      </c>
      <c r="P4" s="64"/>
      <c r="Q4" s="14">
        <f>SUMIF(S26:S36,N4,U26:U36)</f>
        <v>3915</v>
      </c>
      <c r="R4" s="58">
        <f>IF(O4=0,"",O4/Q4)</f>
        <v>1</v>
      </c>
      <c r="S4" s="58">
        <f>IF(R4="","",((R4)-(G7+G8)-1)/(G6)+1)</f>
        <v>1.0499500000000002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1.0251599697343916</v>
      </c>
      <c r="L5" s="41">
        <f>(K5-R8)/(1+G3)/(1-G4)</f>
        <v>2.3962149790656279E-2</v>
      </c>
      <c r="N5" s="7" t="s">
        <v>25</v>
      </c>
      <c r="O5" s="64">
        <f>SUMIF(S13:S23,N5,U13:U23)</f>
        <v>5410</v>
      </c>
      <c r="P5" s="64"/>
      <c r="Q5" s="14">
        <f>SUMIF(S26:S36,N5,U26:U36)</f>
        <v>5410</v>
      </c>
      <c r="R5" s="58">
        <f>IF(O5=0,"",O5/Q5)</f>
        <v>1</v>
      </c>
      <c r="S5" s="58">
        <f>IF(R5="","",((R5)-(G7+G8)-1)/(G6)+1)</f>
        <v>1.0499500000000002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0.917473278590761</v>
      </c>
      <c r="H6" s="79" t="s">
        <v>48</v>
      </c>
      <c r="I6" s="80"/>
      <c r="J6" s="81"/>
      <c r="K6" s="82">
        <f>1+((1+G3)*(1-G4)*(1+G5)-1)*G6+G7+G8</f>
        <v>1.0193015826414056</v>
      </c>
      <c r="L6" s="58">
        <f>(K6-R8)/(1+G3)/(1-G4)/G6</f>
        <v>2.0036190889800656E-2</v>
      </c>
      <c r="N6" s="7" t="s">
        <v>16</v>
      </c>
      <c r="O6" s="64">
        <f>SUMIF(S13:S23,N6,U13:U23)</f>
        <v>1574.5</v>
      </c>
      <c r="P6" s="64"/>
      <c r="Q6" s="14">
        <f>SUMIF(S26:S36,N6,U26:U36)</f>
        <v>1574.5</v>
      </c>
      <c r="R6" s="58">
        <f>IF(O6=0,"",O6/Q6)</f>
        <v>1</v>
      </c>
      <c r="S6" s="58">
        <f>IF(R6="","",((R6)-(G7+G8)-1)/(G6)+1)</f>
        <v>1.0499500000000002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2.752419835772283E-2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-7.3351988623331366E-2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2.0036190889800659E-2</v>
      </c>
      <c r="N8" s="51" t="s">
        <v>30</v>
      </c>
      <c r="O8" s="65">
        <f>SUM(O4:O7)</f>
        <v>10899.5</v>
      </c>
      <c r="P8" s="65"/>
      <c r="Q8" s="52">
        <f>SUM(Q4:Q7)</f>
        <v>10899.5</v>
      </c>
      <c r="R8" s="42">
        <f>IF(O8=0,0,O8/Q8)</f>
        <v>1</v>
      </c>
      <c r="S8" s="63">
        <f>((R8)-(G7+G8)-1)/(G6)+1</f>
        <v>1.0499500000000002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2800</v>
      </c>
      <c r="V13" s="40">
        <f>IF(U13=0,0,U13/U26)</f>
        <v>1</v>
      </c>
    </row>
    <row r="14" spans="2:22" x14ac:dyDescent="0.25">
      <c r="B14" s="7" t="s">
        <v>12</v>
      </c>
      <c r="C14" s="43">
        <v>10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775</v>
      </c>
      <c r="V14" s="40">
        <f t="shared" ref="V14:V23" si="3">IF(U14=0,0,U14/U27)</f>
        <v>1</v>
      </c>
    </row>
    <row r="15" spans="2:22" x14ac:dyDescent="0.25">
      <c r="B15" s="7" t="s">
        <v>32</v>
      </c>
      <c r="C15" s="43">
        <v>10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340</v>
      </c>
      <c r="V15" s="40">
        <f t="shared" si="3"/>
        <v>1</v>
      </c>
    </row>
    <row r="16" spans="2:22" x14ac:dyDescent="0.25">
      <c r="B16" s="7" t="s">
        <v>13</v>
      </c>
      <c r="C16" s="43">
        <v>20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3600</v>
      </c>
      <c r="V16" s="40">
        <f t="shared" si="3"/>
        <v>1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1350</v>
      </c>
      <c r="V17" s="40">
        <f t="shared" si="3"/>
        <v>1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460</v>
      </c>
      <c r="V18" s="40">
        <f t="shared" si="3"/>
        <v>1</v>
      </c>
    </row>
    <row r="19" spans="2:22" x14ac:dyDescent="0.25">
      <c r="B19" s="7" t="s">
        <v>16</v>
      </c>
      <c r="C19" s="43">
        <v>50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1574.5</v>
      </c>
      <c r="V19" s="40">
        <f t="shared" si="3"/>
        <v>1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2800</v>
      </c>
      <c r="V26" s="10"/>
    </row>
    <row r="27" spans="2:22" x14ac:dyDescent="0.25">
      <c r="B27" s="7" t="str">
        <f t="shared" ref="B27:B36" si="5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775</v>
      </c>
      <c r="V27" s="10"/>
    </row>
    <row r="28" spans="2:22" x14ac:dyDescent="0.25">
      <c r="B28" s="7" t="str">
        <f t="shared" si="5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340</v>
      </c>
      <c r="V28" s="10"/>
    </row>
    <row r="29" spans="2:22" x14ac:dyDescent="0.25">
      <c r="B29" s="7" t="str">
        <f t="shared" si="5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3600</v>
      </c>
      <c r="V29" s="10"/>
    </row>
    <row r="30" spans="2:22" x14ac:dyDescent="0.25">
      <c r="B30" s="7" t="str">
        <f t="shared" si="5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1350</v>
      </c>
      <c r="V30" s="10"/>
    </row>
    <row r="31" spans="2:22" x14ac:dyDescent="0.25">
      <c r="B31" s="7" t="str">
        <f t="shared" si="5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460</v>
      </c>
      <c r="V31" s="10"/>
    </row>
    <row r="32" spans="2:22" x14ac:dyDescent="0.25">
      <c r="B32" s="7" t="str">
        <f t="shared" si="5"/>
        <v>Other</v>
      </c>
      <c r="C32" s="43">
        <v>50</v>
      </c>
      <c r="D32" s="43"/>
      <c r="E32" s="43">
        <v>0.59950000000000003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1574.5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10099.5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11" priority="15">
      <formula>E6="NON-COMPLIANT"</formula>
    </cfRule>
    <cfRule type="expression" dxfId="110" priority="16">
      <formula>E6="COMPLIANT"</formula>
    </cfRule>
  </conditionalFormatting>
  <conditionalFormatting sqref="U4:U7">
    <cfRule type="expression" dxfId="109" priority="13">
      <formula>U4="NON-COMPLIANT"</formula>
    </cfRule>
    <cfRule type="expression" dxfId="108" priority="14">
      <formula>U4="COMPLIANT"</formula>
    </cfRule>
  </conditionalFormatting>
  <conditionalFormatting sqref="E5">
    <cfRule type="expression" dxfId="107" priority="11">
      <formula>E5="NON-COMPLIANT"</formula>
    </cfRule>
    <cfRule type="expression" dxfId="106" priority="12">
      <formula>E5="COMPLIANT"</formula>
    </cfRule>
  </conditionalFormatting>
  <conditionalFormatting sqref="O37:P37">
    <cfRule type="expression" dxfId="105" priority="9">
      <formula>O37="NON-COMPLIANT"</formula>
    </cfRule>
    <cfRule type="expression" dxfId="104" priority="10">
      <formula>O37="COMPLIANT"</formula>
    </cfRule>
  </conditionalFormatting>
  <conditionalFormatting sqref="V4:V7">
    <cfRule type="expression" dxfId="103" priority="7">
      <formula>V4="NON-COMPLIANT"</formula>
    </cfRule>
    <cfRule type="expression" dxfId="102" priority="8">
      <formula>V4="COMPLIANT"</formula>
    </cfRule>
  </conditionalFormatting>
  <conditionalFormatting sqref="H37">
    <cfRule type="expression" dxfId="101" priority="5">
      <formula>H37="NON-COMPLIANT"</formula>
    </cfRule>
    <cfRule type="expression" dxfId="100" priority="6">
      <formula>H37="COMPLIANT"</formula>
    </cfRule>
  </conditionalFormatting>
  <conditionalFormatting sqref="T8">
    <cfRule type="expression" dxfId="99" priority="3">
      <formula>T8="NON-COMPLIANT"</formula>
    </cfRule>
    <cfRule type="expression" dxfId="98" priority="4">
      <formula>T8="COMPLIANT"</formula>
    </cfRule>
  </conditionalFormatting>
  <conditionalFormatting sqref="T4:T7">
    <cfRule type="expression" dxfId="97" priority="1">
      <formula>T4="NON-COMPLIANT"</formula>
    </cfRule>
    <cfRule type="expression" dxfId="96" priority="2">
      <formula>T4="COMPLIANT"</formula>
    </cfRule>
  </conditionalFormatting>
  <dataValidations count="2">
    <dataValidation type="list" allowBlank="1" showInputMessage="1" showErrorMessage="1" sqref="S13:S23" xr:uid="{44651770-7615-45DD-BB17-EA4F3BA7A5BE}">
      <formula1>$N$4:$N$7</formula1>
    </dataValidation>
    <dataValidation type="list" allowBlank="1" showInputMessage="1" showErrorMessage="1" sqref="T13:T23" xr:uid="{7550B4F5-E60E-481A-B81E-8B442601BCD3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FE4A-8085-499F-BF67-9B9F0BC70934}">
  <dimension ref="B1:V37"/>
  <sheetViews>
    <sheetView showGridLines="0" workbookViewId="0">
      <selection activeCell="F36" sqref="F36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3" t="s">
        <v>56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1.0709877600000002</v>
      </c>
      <c r="L3" s="41">
        <f>(K3-R8)/(1+G3)/(1-G4)</f>
        <v>6.7608163140912253E-2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3754.8</v>
      </c>
      <c r="P4" s="64"/>
      <c r="Q4" s="14">
        <f>SUMIF(S26:S36,N4,U26:U36)</f>
        <v>3754.8</v>
      </c>
      <c r="R4" s="58">
        <f>IF(O4=0,"",O4/Q4)</f>
        <v>1</v>
      </c>
      <c r="S4" s="58">
        <f>IF(R4="","",((R4)-(G7+G8)-1)/(G6)+1)</f>
        <v>1.0499800000000001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1.0233868533160635</v>
      </c>
      <c r="L5" s="41">
        <f>(K5-R8)/(1+G3)/(1-G4)</f>
        <v>2.2273448188039762E-2</v>
      </c>
      <c r="N5" s="7" t="s">
        <v>25</v>
      </c>
      <c r="O5" s="64">
        <f>SUMIF(S13:S23,N5,U13:U23)</f>
        <v>5270</v>
      </c>
      <c r="P5" s="64"/>
      <c r="Q5" s="14">
        <f>SUMIF(S26:S36,N5,U26:U36)</f>
        <v>5270</v>
      </c>
      <c r="R5" s="58">
        <f>IF(O5=0,"",O5/Q5)</f>
        <v>1</v>
      </c>
      <c r="S5" s="58">
        <f>IF(R5="","",((R5)-(G7+G8)-1)/(G6)+1)</f>
        <v>1.0499800000000001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/>
      <c r="D6" s="14"/>
      <c r="E6" s="23"/>
      <c r="F6" s="16" t="s">
        <v>49</v>
      </c>
      <c r="G6" s="60">
        <f>C3/Q8</f>
        <v>0.95239909331606321</v>
      </c>
      <c r="H6" s="79" t="s">
        <v>48</v>
      </c>
      <c r="I6" s="80"/>
      <c r="J6" s="81"/>
      <c r="K6" s="82">
        <f>1+((1+G3)*(1-G4)*(1+G5)-1)*G6+G7+G8</f>
        <v>1.0200077715766018</v>
      </c>
      <c r="L6" s="58">
        <f>(K6-R8)/(1+G3)/(1-G4)/G6</f>
        <v>2.0007619134695238E-2</v>
      </c>
      <c r="N6" s="7" t="s">
        <v>16</v>
      </c>
      <c r="O6" s="64">
        <f>SUMIF(S13:S23,N6,U13:U23)</f>
        <v>1475</v>
      </c>
      <c r="P6" s="64"/>
      <c r="Q6" s="14">
        <f>SUMIF(S26:S36,N6,U26:U36)</f>
        <v>1475</v>
      </c>
      <c r="R6" s="58">
        <f>IF(O6=0,"",O6/Q6)</f>
        <v>1</v>
      </c>
      <c r="S6" s="58">
        <f>IF(R6="","",((R6)-(G7+G8)-1)/(G6)+1)</f>
        <v>1.0499800000000001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/>
      <c r="D7" s="14"/>
      <c r="E7" s="7"/>
      <c r="F7" s="16" t="s">
        <v>50</v>
      </c>
      <c r="G7" s="60">
        <f>((D6+D7+D8)-(C6+C7+C8))/Q8</f>
        <v>0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/>
      <c r="D8" s="21"/>
      <c r="E8" s="7"/>
      <c r="F8" s="19" t="s">
        <v>23</v>
      </c>
      <c r="G8" s="61">
        <f>IF(Q8=0,0,(K37/Q8)-1)</f>
        <v>-4.7600906683936794E-2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2.0007619134694912E-2</v>
      </c>
      <c r="N8" s="51" t="s">
        <v>30</v>
      </c>
      <c r="O8" s="65">
        <f>SUM(O4:O7)</f>
        <v>10499.8</v>
      </c>
      <c r="P8" s="65"/>
      <c r="Q8" s="52">
        <f>SUM(Q4:Q7)</f>
        <v>10499.8</v>
      </c>
      <c r="R8" s="42">
        <f>IF(O8=0,0,O8/Q8)</f>
        <v>1</v>
      </c>
      <c r="S8" s="63">
        <f>((R8)-(G7+G8)-1)/(G6)+1</f>
        <v>1.0499800000000001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</v>
      </c>
      <c r="E13" s="43"/>
      <c r="F13" s="43"/>
      <c r="G13" s="43"/>
      <c r="H13" s="43"/>
      <c r="I13" s="24"/>
      <c r="J13" s="43">
        <v>170</v>
      </c>
      <c r="K13" s="43">
        <v>9998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2699.8</v>
      </c>
      <c r="V13" s="40">
        <f>IF(U13=0,0,U13/U26)</f>
        <v>1</v>
      </c>
    </row>
    <row r="14" spans="2:22" x14ac:dyDescent="0.25">
      <c r="B14" s="7" t="s">
        <v>12</v>
      </c>
      <c r="C14" s="43">
        <v>10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45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725</v>
      </c>
      <c r="V14" s="40">
        <f t="shared" ref="V14:V23" si="3">IF(U14=0,0,U14/U27)</f>
        <v>1</v>
      </c>
    </row>
    <row r="15" spans="2:22" x14ac:dyDescent="0.25">
      <c r="B15" s="7" t="s">
        <v>32</v>
      </c>
      <c r="C15" s="43">
        <v>10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19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330</v>
      </c>
      <c r="V15" s="40">
        <f t="shared" si="3"/>
        <v>1</v>
      </c>
    </row>
    <row r="16" spans="2:22" x14ac:dyDescent="0.25">
      <c r="B16" s="7" t="s">
        <v>13</v>
      </c>
      <c r="C16" s="43">
        <v>20</v>
      </c>
      <c r="D16" s="43">
        <v>0.2</v>
      </c>
      <c r="E16" s="43"/>
      <c r="F16" s="43"/>
      <c r="G16" s="43"/>
      <c r="H16" s="43"/>
      <c r="I16" s="24"/>
      <c r="J16" s="43">
        <v>75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3500</v>
      </c>
      <c r="V16" s="40">
        <f t="shared" si="3"/>
        <v>1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28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1310</v>
      </c>
      <c r="V17" s="40">
        <f t="shared" si="3"/>
        <v>1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460</v>
      </c>
      <c r="V18" s="40">
        <f t="shared" si="3"/>
        <v>1</v>
      </c>
    </row>
    <row r="19" spans="2:22" x14ac:dyDescent="0.25">
      <c r="B19" s="7" t="s">
        <v>16</v>
      </c>
      <c r="C19" s="43">
        <v>50</v>
      </c>
      <c r="D19" s="43"/>
      <c r="E19" s="43">
        <v>0.5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1475</v>
      </c>
      <c r="V19" s="40">
        <f t="shared" si="3"/>
        <v>1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9998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2699.8</v>
      </c>
      <c r="V26" s="10"/>
    </row>
    <row r="27" spans="2:22" x14ac:dyDescent="0.25">
      <c r="B27" s="7" t="str">
        <f t="shared" ref="B27:B36" si="5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725</v>
      </c>
      <c r="V27" s="10"/>
    </row>
    <row r="28" spans="2:22" x14ac:dyDescent="0.25">
      <c r="B28" s="7" t="str">
        <f t="shared" si="5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330</v>
      </c>
      <c r="V28" s="10"/>
    </row>
    <row r="29" spans="2:22" x14ac:dyDescent="0.25">
      <c r="B29" s="7" t="str">
        <f t="shared" si="5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3500</v>
      </c>
      <c r="V29" s="10"/>
    </row>
    <row r="30" spans="2:22" x14ac:dyDescent="0.25">
      <c r="B30" s="7" t="str">
        <f t="shared" si="5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1310</v>
      </c>
      <c r="V30" s="10"/>
    </row>
    <row r="31" spans="2:22" x14ac:dyDescent="0.25">
      <c r="B31" s="7" t="str">
        <f t="shared" si="5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460</v>
      </c>
      <c r="V31" s="10"/>
    </row>
    <row r="32" spans="2:22" x14ac:dyDescent="0.25">
      <c r="B32" s="7" t="str">
        <f t="shared" si="5"/>
        <v>Other</v>
      </c>
      <c r="C32" s="43">
        <v>50</v>
      </c>
      <c r="D32" s="43"/>
      <c r="E32" s="43">
        <v>0.5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1475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10499.880000000003</v>
      </c>
      <c r="E37" s="54" t="s">
        <v>65</v>
      </c>
      <c r="F37" s="54">
        <f>SUMPRODUCT(C13:H23,J13:O23)</f>
        <v>10499.8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10000</v>
      </c>
      <c r="L37" s="55" t="s">
        <v>37</v>
      </c>
      <c r="M37" s="54">
        <f>SUMPRODUCT(C26:H36,J26:O36)</f>
        <v>9999.7999999999993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95" priority="15">
      <formula>E6="NON-COMPLIANT"</formula>
    </cfRule>
    <cfRule type="expression" dxfId="94" priority="16">
      <formula>E6="COMPLIANT"</formula>
    </cfRule>
  </conditionalFormatting>
  <conditionalFormatting sqref="U4:U7">
    <cfRule type="expression" dxfId="93" priority="13">
      <formula>U4="NON-COMPLIANT"</formula>
    </cfRule>
    <cfRule type="expression" dxfId="92" priority="14">
      <formula>U4="COMPLIANT"</formula>
    </cfRule>
  </conditionalFormatting>
  <conditionalFormatting sqref="E5">
    <cfRule type="expression" dxfId="91" priority="11">
      <formula>E5="NON-COMPLIANT"</formula>
    </cfRule>
    <cfRule type="expression" dxfId="90" priority="12">
      <formula>E5="COMPLIANT"</formula>
    </cfRule>
  </conditionalFormatting>
  <conditionalFormatting sqref="O37:P37">
    <cfRule type="expression" dxfId="89" priority="9">
      <formula>O37="NON-COMPLIANT"</formula>
    </cfRule>
    <cfRule type="expression" dxfId="88" priority="10">
      <formula>O37="COMPLIANT"</formula>
    </cfRule>
  </conditionalFormatting>
  <conditionalFormatting sqref="V4:V7">
    <cfRule type="expression" dxfId="87" priority="7">
      <formula>V4="NON-COMPLIANT"</formula>
    </cfRule>
    <cfRule type="expression" dxfId="86" priority="8">
      <formula>V4="COMPLIANT"</formula>
    </cfRule>
  </conditionalFormatting>
  <conditionalFormatting sqref="H37">
    <cfRule type="expression" dxfId="85" priority="5">
      <formula>H37="NON-COMPLIANT"</formula>
    </cfRule>
    <cfRule type="expression" dxfId="84" priority="6">
      <formula>H37="COMPLIANT"</formula>
    </cfRule>
  </conditionalFormatting>
  <conditionalFormatting sqref="T8">
    <cfRule type="expression" dxfId="83" priority="3">
      <formula>T8="NON-COMPLIANT"</formula>
    </cfRule>
    <cfRule type="expression" dxfId="82" priority="4">
      <formula>T8="COMPLIANT"</formula>
    </cfRule>
  </conditionalFormatting>
  <conditionalFormatting sqref="T4:T7">
    <cfRule type="expression" dxfId="81" priority="1">
      <formula>T4="NON-COMPLIANT"</formula>
    </cfRule>
    <cfRule type="expression" dxfId="80" priority="2">
      <formula>T4="COMPLIANT"</formula>
    </cfRule>
  </conditionalFormatting>
  <dataValidations count="2">
    <dataValidation type="list" allowBlank="1" showInputMessage="1" showErrorMessage="1" sqref="T13:T23" xr:uid="{180BF135-C471-48EB-8314-FD5BCE84A6A0}">
      <formula1>"new,existing"</formula1>
    </dataValidation>
    <dataValidation type="list" allowBlank="1" showInputMessage="1" showErrorMessage="1" sqref="S13:S23" xr:uid="{5AE1C8A7-235A-41A2-947D-826DD5B36406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A8A7-2552-4935-864E-2BEFEED0E4F2}">
  <dimension ref="B1:V37"/>
  <sheetViews>
    <sheetView showGridLines="0" workbookViewId="0">
      <selection activeCell="N9" sqref="N9:T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3" t="s">
        <v>57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1.1473294654737005</v>
      </c>
      <c r="L3" s="41">
        <f>(K3-R8)/(1+G3)/(1-G4)</f>
        <v>-8.0974228385913755E-2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3991.7</v>
      </c>
      <c r="P4" s="64"/>
      <c r="Q4" s="14">
        <f>SUMIF(S26:S36,N4,U26:U36)</f>
        <v>3236.1</v>
      </c>
      <c r="R4" s="58">
        <f>IF(O4=0,"",O4/Q4)</f>
        <v>1.2334909304409629</v>
      </c>
      <c r="S4" s="58">
        <f>IF(R4="","",((R4)-(G7+G8)-1)/(G6)+1)</f>
        <v>1.051024838849232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1.2488312158799475</v>
      </c>
      <c r="L5" s="41">
        <f>(K5-R8)/(1+G3)/(1-G4)</f>
        <v>1.5695210127904466E-2</v>
      </c>
      <c r="N5" s="7" t="s">
        <v>25</v>
      </c>
      <c r="O5" s="64">
        <f>SUMIF(S13:S23,N5,U13:U23)</f>
        <v>5466.1</v>
      </c>
      <c r="P5" s="64"/>
      <c r="Q5" s="14">
        <f>SUMIF(S26:S36,N5,U26:U36)</f>
        <v>4408.2</v>
      </c>
      <c r="R5" s="58">
        <f>IF(O5=0,"",O5/Q5)</f>
        <v>1.2399845742026225</v>
      </c>
      <c r="S5" s="58">
        <f>IF(R5="","",((R5)-(G7+G8)-1)/(G6)+1)</f>
        <v>1.0569790556236105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1.0905957924814327</v>
      </c>
      <c r="H6" s="79" t="s">
        <v>48</v>
      </c>
      <c r="I6" s="80"/>
      <c r="J6" s="81"/>
      <c r="K6" s="82">
        <f>1+((1+G3)*(1-G4)*(1+G5)-1)*G6+G7+G8</f>
        <v>1.2552624082536292</v>
      </c>
      <c r="L6" s="58">
        <f>(K6-R8)/(1+G3)/(1-G4)/G6</f>
        <v>2.0007619134694992E-2</v>
      </c>
      <c r="N6" s="7" t="s">
        <v>16</v>
      </c>
      <c r="O6" s="64">
        <f>SUMIF(S13:S23,N6,U13:U23)</f>
        <v>1842</v>
      </c>
      <c r="P6" s="64"/>
      <c r="Q6" s="14">
        <f>SUMIF(S26:S36,N6,U26:U36)</f>
        <v>1525</v>
      </c>
      <c r="R6" s="58">
        <f>IF(O6=0,"",O6/Q6)</f>
        <v>1.2078688524590164</v>
      </c>
      <c r="S6" s="58">
        <f>IF(R6="","",((R6)-(G7+G8)-1)/(G6)+1)</f>
        <v>1.0275311868852459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7.6341705473700283E-2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700</v>
      </c>
      <c r="E8" s="7"/>
      <c r="F8" s="19" t="s">
        <v>23</v>
      </c>
      <c r="G8" s="61">
        <f>IF(Q8=0,0,(K37/Q8)-1)</f>
        <v>0.10150175040624698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2.0007619134695124E-2</v>
      </c>
      <c r="N8" s="51" t="s">
        <v>30</v>
      </c>
      <c r="O8" s="65">
        <f>SUM(O4:O7)</f>
        <v>11299.8</v>
      </c>
      <c r="P8" s="65"/>
      <c r="Q8" s="52">
        <f>SUM(Q4:Q7)</f>
        <v>9169.2999999999993</v>
      </c>
      <c r="R8" s="42">
        <f>IF(O8=0,0,O8/Q8)</f>
        <v>1.2323514335881693</v>
      </c>
      <c r="S8" s="63">
        <f>((R8)-(G7+G8)-1)/(G6)+1</f>
        <v>1.0499799999999999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0.93100175114850758</v>
      </c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13</v>
      </c>
      <c r="D13" s="43">
        <v>0.11</v>
      </c>
      <c r="E13" s="43"/>
      <c r="F13" s="43"/>
      <c r="G13" s="43"/>
      <c r="H13" s="43"/>
      <c r="I13" s="24"/>
      <c r="J13" s="43">
        <v>140</v>
      </c>
      <c r="K13" s="43">
        <v>9000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2810</v>
      </c>
      <c r="V13" s="40">
        <f>IF(U13=0,0,U13/U26)</f>
        <v>1.2217391304347827</v>
      </c>
    </row>
    <row r="14" spans="2:22" x14ac:dyDescent="0.25">
      <c r="B14" s="7" t="s">
        <v>12</v>
      </c>
      <c r="C14" s="43">
        <v>13</v>
      </c>
      <c r="D14" s="43"/>
      <c r="E14" s="43">
        <v>0.24</v>
      </c>
      <c r="F14" s="43">
        <v>0.05</v>
      </c>
      <c r="G14" s="43">
        <v>0.09</v>
      </c>
      <c r="H14" s="43"/>
      <c r="I14" s="24"/>
      <c r="J14" s="43">
        <v>40</v>
      </c>
      <c r="K14" s="43"/>
      <c r="L14" s="43">
        <v>950</v>
      </c>
      <c r="M14" s="43">
        <v>950</v>
      </c>
      <c r="N14" s="43">
        <v>450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836</v>
      </c>
      <c r="V14" s="40">
        <f t="shared" ref="V14:V23" si="3">IF(U14=0,0,U14/U27)</f>
        <v>1.2676269901440484</v>
      </c>
    </row>
    <row r="15" spans="2:22" x14ac:dyDescent="0.25">
      <c r="B15" s="7" t="s">
        <v>32</v>
      </c>
      <c r="C15" s="43">
        <v>13</v>
      </c>
      <c r="D15" s="43"/>
      <c r="E15" s="43">
        <v>0.24</v>
      </c>
      <c r="F15" s="43">
        <v>0.05</v>
      </c>
      <c r="G15" s="43">
        <v>0.09</v>
      </c>
      <c r="H15" s="43">
        <v>11</v>
      </c>
      <c r="I15" s="24"/>
      <c r="J15" s="43">
        <v>15</v>
      </c>
      <c r="K15" s="43"/>
      <c r="L15" s="43">
        <v>350</v>
      </c>
      <c r="M15" s="43">
        <v>350</v>
      </c>
      <c r="N15" s="43">
        <v>180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345.7</v>
      </c>
      <c r="V15" s="40">
        <f t="shared" si="3"/>
        <v>1.2498192335502529</v>
      </c>
    </row>
    <row r="16" spans="2:22" x14ac:dyDescent="0.25">
      <c r="B16" s="7" t="s">
        <v>13</v>
      </c>
      <c r="C16" s="43">
        <v>25</v>
      </c>
      <c r="D16" s="43">
        <v>0.25</v>
      </c>
      <c r="E16" s="43"/>
      <c r="F16" s="43"/>
      <c r="G16" s="43"/>
      <c r="H16" s="43"/>
      <c r="I16" s="24"/>
      <c r="J16" s="43">
        <v>60</v>
      </c>
      <c r="K16" s="43">
        <v>9000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3750</v>
      </c>
      <c r="V16" s="40">
        <f t="shared" si="3"/>
        <v>1.25</v>
      </c>
    </row>
    <row r="17" spans="2:22" x14ac:dyDescent="0.25">
      <c r="B17" s="7" t="s">
        <v>14</v>
      </c>
      <c r="C17" s="43">
        <v>25</v>
      </c>
      <c r="D17" s="43"/>
      <c r="E17" s="43">
        <v>0.48</v>
      </c>
      <c r="F17" s="43">
        <v>0.1</v>
      </c>
      <c r="G17" s="43">
        <v>0.17</v>
      </c>
      <c r="H17" s="43"/>
      <c r="I17" s="24"/>
      <c r="J17" s="43">
        <v>15</v>
      </c>
      <c r="K17" s="43"/>
      <c r="L17" s="43">
        <v>1400</v>
      </c>
      <c r="M17" s="43">
        <v>900</v>
      </c>
      <c r="N17" s="43">
        <v>450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1213.5</v>
      </c>
      <c r="V17" s="40">
        <f t="shared" si="3"/>
        <v>1.2195979899497487</v>
      </c>
    </row>
    <row r="18" spans="2:22" x14ac:dyDescent="0.25">
      <c r="B18" s="7" t="s">
        <v>15</v>
      </c>
      <c r="C18" s="43">
        <v>25</v>
      </c>
      <c r="D18" s="43"/>
      <c r="E18" s="43">
        <v>0.48</v>
      </c>
      <c r="F18" s="43">
        <v>0.1</v>
      </c>
      <c r="G18" s="43">
        <v>0.17</v>
      </c>
      <c r="H18" s="43">
        <v>22</v>
      </c>
      <c r="I18" s="24"/>
      <c r="J18" s="43">
        <v>9</v>
      </c>
      <c r="K18" s="43"/>
      <c r="L18" s="43">
        <v>350</v>
      </c>
      <c r="M18" s="43">
        <v>350</v>
      </c>
      <c r="N18" s="43">
        <v>180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502.6</v>
      </c>
      <c r="V18" s="40">
        <f t="shared" si="3"/>
        <v>1.2163601161665054</v>
      </c>
    </row>
    <row r="19" spans="2:22" x14ac:dyDescent="0.25">
      <c r="B19" s="7" t="s">
        <v>16</v>
      </c>
      <c r="C19" s="43">
        <v>60</v>
      </c>
      <c r="D19" s="43"/>
      <c r="E19" s="43">
        <v>0.72</v>
      </c>
      <c r="F19" s="43">
        <v>0.192</v>
      </c>
      <c r="G19" s="43">
        <v>0.23</v>
      </c>
      <c r="H19" s="43">
        <v>55</v>
      </c>
      <c r="I19" s="24"/>
      <c r="J19" s="43">
        <v>9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1842</v>
      </c>
      <c r="V19" s="40">
        <f t="shared" si="3"/>
        <v>1.2078688524590164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2300</v>
      </c>
      <c r="V26" s="10"/>
    </row>
    <row r="27" spans="2:22" x14ac:dyDescent="0.25">
      <c r="B27" s="7" t="str">
        <f t="shared" ref="B27:B36" si="5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659.5</v>
      </c>
      <c r="V27" s="10"/>
    </row>
    <row r="28" spans="2:22" x14ac:dyDescent="0.25">
      <c r="B28" s="7" t="str">
        <f t="shared" si="5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276.60000000000002</v>
      </c>
      <c r="V28" s="10"/>
    </row>
    <row r="29" spans="2:22" x14ac:dyDescent="0.25">
      <c r="B29" s="7" t="str">
        <f t="shared" si="5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3000</v>
      </c>
      <c r="V29" s="10"/>
    </row>
    <row r="30" spans="2:22" x14ac:dyDescent="0.25">
      <c r="B30" s="7" t="str">
        <f t="shared" si="5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995</v>
      </c>
      <c r="V30" s="10"/>
    </row>
    <row r="31" spans="2:22" x14ac:dyDescent="0.25">
      <c r="B31" s="7" t="str">
        <f t="shared" si="5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413.2</v>
      </c>
      <c r="V31" s="10"/>
    </row>
    <row r="32" spans="2:22" x14ac:dyDescent="0.25">
      <c r="B32" s="7" t="str">
        <f t="shared" si="5"/>
        <v>Other</v>
      </c>
      <c r="C32" s="43">
        <v>50</v>
      </c>
      <c r="D32" s="43"/>
      <c r="E32" s="43">
        <v>0.6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1525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11299.880000000003</v>
      </c>
      <c r="E37" s="54" t="s">
        <v>65</v>
      </c>
      <c r="F37" s="54">
        <f>SUMPRODUCT(C13:H23,J13:O23)</f>
        <v>11299.800000000001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79" priority="15">
      <formula>E6="NON-COMPLIANT"</formula>
    </cfRule>
    <cfRule type="expression" dxfId="78" priority="16">
      <formula>E6="COMPLIANT"</formula>
    </cfRule>
  </conditionalFormatting>
  <conditionalFormatting sqref="U4:U7">
    <cfRule type="expression" dxfId="77" priority="13">
      <formula>U4="NON-COMPLIANT"</formula>
    </cfRule>
    <cfRule type="expression" dxfId="76" priority="14">
      <formula>U4="COMPLIANT"</formula>
    </cfRule>
  </conditionalFormatting>
  <conditionalFormatting sqref="E5">
    <cfRule type="expression" dxfId="75" priority="11">
      <formula>E5="NON-COMPLIANT"</formula>
    </cfRule>
    <cfRule type="expression" dxfId="74" priority="12">
      <formula>E5="COMPLIANT"</formula>
    </cfRule>
  </conditionalFormatting>
  <conditionalFormatting sqref="O37:P37">
    <cfRule type="expression" dxfId="73" priority="9">
      <formula>O37="NON-COMPLIANT"</formula>
    </cfRule>
    <cfRule type="expression" dxfId="72" priority="10">
      <formula>O37="COMPLIANT"</formula>
    </cfRule>
  </conditionalFormatting>
  <conditionalFormatting sqref="V4:V7">
    <cfRule type="expression" dxfId="71" priority="7">
      <formula>V4="NON-COMPLIANT"</formula>
    </cfRule>
    <cfRule type="expression" dxfId="70" priority="8">
      <formula>V4="COMPLIANT"</formula>
    </cfRule>
  </conditionalFormatting>
  <conditionalFormatting sqref="H37">
    <cfRule type="expression" dxfId="69" priority="5">
      <formula>H37="NON-COMPLIANT"</formula>
    </cfRule>
    <cfRule type="expression" dxfId="68" priority="6">
      <formula>H37="COMPLIANT"</formula>
    </cfRule>
  </conditionalFormatting>
  <conditionalFormatting sqref="T8">
    <cfRule type="expression" dxfId="67" priority="3">
      <formula>T8="NON-COMPLIANT"</formula>
    </cfRule>
    <cfRule type="expression" dxfId="66" priority="4">
      <formula>T8="COMPLIANT"</formula>
    </cfRule>
  </conditionalFormatting>
  <conditionalFormatting sqref="T4:T7">
    <cfRule type="expression" dxfId="65" priority="1">
      <formula>T4="NON-COMPLIANT"</formula>
    </cfRule>
    <cfRule type="expression" dxfId="64" priority="2">
      <formula>T4="COMPLIANT"</formula>
    </cfRule>
  </conditionalFormatting>
  <dataValidations count="2">
    <dataValidation type="list" allowBlank="1" showInputMessage="1" showErrorMessage="1" sqref="S13:S23" xr:uid="{3A4BBF30-C49A-497F-85E5-9032144417EA}">
      <formula1>$N$4:$N$7</formula1>
    </dataValidation>
    <dataValidation type="list" allowBlank="1" showInputMessage="1" showErrorMessage="1" sqref="T13:T23" xr:uid="{E35371BE-1821-46C7-9A4B-697D7E1783AF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9687-9614-4D5A-89B4-D9FD0C82CF8B}">
  <dimension ref="B1:W37"/>
  <sheetViews>
    <sheetView showGridLines="0" workbookViewId="0">
      <selection activeCell="T9" sqref="N9:T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3" t="s">
        <v>58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3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1.1026005163794543</v>
      </c>
      <c r="L3" s="41">
        <f>(K3-R8)/(1+G3)/(1-G4)</f>
        <v>-4.376133784971533E-2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4065.4</v>
      </c>
      <c r="P4" s="64"/>
      <c r="Q4" s="14">
        <f>SUMIF(S26:S36,N4,U26:U36)</f>
        <v>3526.9</v>
      </c>
      <c r="R4" s="58">
        <f>IF(O4=0,"",O4/Q4)</f>
        <v>1.1526836598712751</v>
      </c>
      <c r="S4" s="58">
        <f>IF(R4="","",((R4)-(G7+G8)-1)/(G6)+1)</f>
        <v>1.0538783502792823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1.1668966478210803</v>
      </c>
      <c r="L5" s="41">
        <f>(K5-R8)/(1+G3)/(1-G4)</f>
        <v>1.7473772876908142E-2</v>
      </c>
      <c r="N5" s="7" t="s">
        <v>25</v>
      </c>
      <c r="O5" s="64">
        <f>SUMIF(S13:S23,N5,U13:U23)</f>
        <v>5313.15</v>
      </c>
      <c r="P5" s="64"/>
      <c r="Q5" s="14">
        <f>SUMIF(S26:S36,N5,U26:U36)</f>
        <v>4649.84</v>
      </c>
      <c r="R5" s="58">
        <f>IF(O5=0,"",O5/Q5)</f>
        <v>1.1426522202914509</v>
      </c>
      <c r="S5" s="58">
        <f>IF(R5="","",((R5)-(G7+G8)-1)/(G6)+1)</f>
        <v>1.0443586746210622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1.053758545981808</v>
      </c>
      <c r="H6" s="79" t="s">
        <v>48</v>
      </c>
      <c r="I6" s="80"/>
      <c r="J6" s="81"/>
      <c r="K6" s="82">
        <f>1+((1+G3)*(1-G4)*(1+G5)-1)*G6+G7+G8</f>
        <v>1.1707128465811858</v>
      </c>
      <c r="L6" s="58">
        <f>(K6-R8)/(1+G3)/(1-G4)/G6</f>
        <v>2.003142893061655E-2</v>
      </c>
      <c r="N6" s="7" t="s">
        <v>16</v>
      </c>
      <c r="O6" s="64">
        <f>SUMIF(S13:S23,N6,U13:U23)</f>
        <v>1521</v>
      </c>
      <c r="P6" s="64"/>
      <c r="Q6" s="14">
        <f>SUMIF(S26:S36,N6,U26:U36)</f>
        <v>1313.1000000000001</v>
      </c>
      <c r="R6" s="58">
        <f>IF(O6=0,"",O6/Q6)</f>
        <v>1.1583276216586702</v>
      </c>
      <c r="S6" s="58">
        <f>IF(R6="","",((R6)-(G7+G8)-1)/(G6)+1)</f>
        <v>1.0592343797121315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3.1612756379454238E-2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6.4296131441625937E-2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2.0031428930616543E-2</v>
      </c>
      <c r="N8" s="51" t="s">
        <v>30</v>
      </c>
      <c r="O8" s="65">
        <f>SUM(O4:O7)</f>
        <v>10899.55</v>
      </c>
      <c r="P8" s="65"/>
      <c r="Q8" s="52">
        <f>SUM(Q4:Q7)</f>
        <v>9489.84</v>
      </c>
      <c r="R8" s="42">
        <f>IF(O8=0,0,O8/Q8)</f>
        <v>1.1485493959856012</v>
      </c>
      <c r="S8" s="63">
        <f>((R8)-(G7+G8)-1)/(G6)+1</f>
        <v>1.049955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0.95996492478434614</v>
      </c>
      <c r="U9" s="66">
        <f>IF(Q8=0,0,-(SUMIF(T13:T23,"New",U13:U23)/Q8))</f>
        <v>-4.9252674439189702E-2</v>
      </c>
      <c r="V9" s="58" t="s">
        <v>75</v>
      </c>
    </row>
    <row r="10" spans="2:23" ht="15.75" thickBot="1" x14ac:dyDescent="0.3">
      <c r="O10" s="1" t="s">
        <v>74</v>
      </c>
      <c r="P10" s="1"/>
      <c r="U10" s="1">
        <f>(Q8*(K6+U9))/D37</f>
        <v>0.97638484093402844</v>
      </c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10.5</v>
      </c>
      <c r="D13" s="43">
        <v>0.1</v>
      </c>
      <c r="E13" s="43"/>
      <c r="F13" s="43"/>
      <c r="G13" s="43"/>
      <c r="H13" s="43"/>
      <c r="I13" s="24"/>
      <c r="J13" s="43">
        <v>175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2837.5</v>
      </c>
      <c r="V13" s="40">
        <f>IF(U13=0,0,U13/U26)</f>
        <v>1.0998062015503876</v>
      </c>
    </row>
    <row r="14" spans="2:23" x14ac:dyDescent="0.25">
      <c r="B14" s="7" t="s">
        <v>12</v>
      </c>
      <c r="C14" s="43">
        <v>10.5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65</v>
      </c>
      <c r="K14" s="43"/>
      <c r="L14" s="43">
        <v>1300</v>
      </c>
      <c r="M14" s="43">
        <v>1300</v>
      </c>
      <c r="N14" s="43">
        <v>700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1043.5</v>
      </c>
      <c r="V14" s="40">
        <f t="shared" ref="V14:V23" si="3">IF(U14=0,0,U14/U27)</f>
        <v>1.1020171084591825</v>
      </c>
    </row>
    <row r="15" spans="2:23" x14ac:dyDescent="0.25">
      <c r="B15" s="7" t="s">
        <v>13</v>
      </c>
      <c r="C15" s="43">
        <v>20.5</v>
      </c>
      <c r="D15" s="43">
        <v>0.19855</v>
      </c>
      <c r="E15" s="43"/>
      <c r="F15" s="43"/>
      <c r="G15" s="43"/>
      <c r="H15" s="43"/>
      <c r="I15" s="24"/>
      <c r="J15" s="43">
        <v>79</v>
      </c>
      <c r="K15" s="43">
        <v>9000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3406.45</v>
      </c>
      <c r="V15" s="40">
        <f t="shared" si="3"/>
        <v>1.1017691959376414</v>
      </c>
    </row>
    <row r="16" spans="2:23" x14ac:dyDescent="0.25">
      <c r="B16" s="7" t="s">
        <v>14</v>
      </c>
      <c r="C16" s="43">
        <v>20.5</v>
      </c>
      <c r="D16" s="43"/>
      <c r="E16" s="43">
        <v>0.4</v>
      </c>
      <c r="F16" s="43">
        <v>0.08</v>
      </c>
      <c r="G16" s="43">
        <v>0.16</v>
      </c>
      <c r="H16" s="43"/>
      <c r="I16" s="24"/>
      <c r="J16" s="43">
        <v>37</v>
      </c>
      <c r="K16" s="43"/>
      <c r="L16" s="43">
        <v>1920</v>
      </c>
      <c r="M16" s="43">
        <v>1420</v>
      </c>
      <c r="N16" s="43">
        <v>460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1713.6999999999998</v>
      </c>
      <c r="V16" s="40">
        <f t="shared" si="3"/>
        <v>1.0999075761854638</v>
      </c>
      <c r="W16" s="99" t="s">
        <v>61</v>
      </c>
    </row>
    <row r="17" spans="2:23" x14ac:dyDescent="0.25">
      <c r="B17" s="7" t="s">
        <v>16</v>
      </c>
      <c r="C17" s="43">
        <v>49</v>
      </c>
      <c r="D17" s="43"/>
      <c r="E17" s="43">
        <v>0.63</v>
      </c>
      <c r="F17" s="43">
        <v>0.12</v>
      </c>
      <c r="G17" s="43">
        <v>0.21</v>
      </c>
      <c r="H17" s="43">
        <v>49</v>
      </c>
      <c r="I17" s="24"/>
      <c r="J17" s="43">
        <v>9</v>
      </c>
      <c r="K17" s="43"/>
      <c r="L17" s="43">
        <v>900</v>
      </c>
      <c r="M17" s="43">
        <v>900</v>
      </c>
      <c r="N17" s="43">
        <v>450</v>
      </c>
      <c r="O17" s="46">
        <v>4.5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1431</v>
      </c>
      <c r="V17" s="40">
        <f t="shared" si="3"/>
        <v>1.0897875257025358</v>
      </c>
      <c r="W17" s="99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99"/>
    </row>
    <row r="19" spans="2:23" x14ac:dyDescent="0.25">
      <c r="B19" s="7" t="s">
        <v>40</v>
      </c>
      <c r="C19" s="43">
        <v>10</v>
      </c>
      <c r="D19" s="43"/>
      <c r="E19" s="43">
        <v>0.2</v>
      </c>
      <c r="F19" s="43">
        <v>0.04</v>
      </c>
      <c r="G19" s="43">
        <v>7.0000000000000007E-2</v>
      </c>
      <c r="H19" s="43">
        <v>10</v>
      </c>
      <c r="I19" s="24"/>
      <c r="J19" s="43">
        <v>5</v>
      </c>
      <c r="K19" s="43"/>
      <c r="L19" s="43">
        <v>100</v>
      </c>
      <c r="M19" s="43">
        <v>100</v>
      </c>
      <c r="N19" s="43">
        <v>20</v>
      </c>
      <c r="O19" s="46">
        <v>0.9</v>
      </c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84.4</v>
      </c>
      <c r="V19" s="40" t="e">
        <f t="shared" si="3"/>
        <v>#DIV/0!</v>
      </c>
      <c r="W19" s="1">
        <f>U19/D37</f>
        <v>7.7432045123432538E-3</v>
      </c>
    </row>
    <row r="20" spans="2:23" x14ac:dyDescent="0.25">
      <c r="B20" s="7" t="s">
        <v>41</v>
      </c>
      <c r="C20" s="43">
        <v>20</v>
      </c>
      <c r="D20" s="43"/>
      <c r="E20" s="43"/>
      <c r="F20" s="43"/>
      <c r="G20" s="43"/>
      <c r="H20" s="43"/>
      <c r="I20" s="24"/>
      <c r="J20" s="43">
        <v>5</v>
      </c>
      <c r="K20" s="43"/>
      <c r="L20" s="43"/>
      <c r="M20" s="43"/>
      <c r="N20" s="43"/>
      <c r="O20" s="46"/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100</v>
      </c>
      <c r="V20" s="40" t="e">
        <f t="shared" si="3"/>
        <v>#DIV/0!</v>
      </c>
      <c r="W20" s="1">
        <f>U20/D37</f>
        <v>9.1744129293166513E-3</v>
      </c>
    </row>
    <row r="21" spans="2:23" x14ac:dyDescent="0.25">
      <c r="B21" s="7" t="s">
        <v>42</v>
      </c>
      <c r="C21" s="43">
        <v>20</v>
      </c>
      <c r="D21" s="43"/>
      <c r="E21" s="43">
        <v>0.4</v>
      </c>
      <c r="F21" s="43">
        <v>0.08</v>
      </c>
      <c r="G21" s="43">
        <v>0.14000000000000001</v>
      </c>
      <c r="H21" s="43">
        <v>20</v>
      </c>
      <c r="I21" s="24"/>
      <c r="J21" s="43">
        <v>2</v>
      </c>
      <c r="K21" s="43"/>
      <c r="L21" s="43">
        <v>60</v>
      </c>
      <c r="M21" s="43">
        <v>60</v>
      </c>
      <c r="N21" s="43">
        <v>30</v>
      </c>
      <c r="O21" s="46">
        <v>1</v>
      </c>
      <c r="P21" s="43"/>
      <c r="R21" s="7" t="str">
        <f t="shared" si="1"/>
        <v>New tariff 3</v>
      </c>
      <c r="S21" s="14" t="s">
        <v>25</v>
      </c>
      <c r="T21" s="28" t="s">
        <v>39</v>
      </c>
      <c r="U21" s="14">
        <f t="shared" si="2"/>
        <v>93</v>
      </c>
      <c r="V21" s="40" t="e">
        <f t="shared" si="3"/>
        <v>#DIV/0!</v>
      </c>
      <c r="W21" s="1">
        <f>U21/D37</f>
        <v>8.5322040242644843E-3</v>
      </c>
    </row>
    <row r="22" spans="2:23" x14ac:dyDescent="0.25">
      <c r="B22" s="7" t="s">
        <v>43</v>
      </c>
      <c r="C22" s="43">
        <v>50</v>
      </c>
      <c r="D22" s="43"/>
      <c r="E22" s="43"/>
      <c r="F22" s="43"/>
      <c r="G22" s="43"/>
      <c r="H22" s="43"/>
      <c r="I22" s="24"/>
      <c r="J22" s="43">
        <v>2</v>
      </c>
      <c r="K22" s="43"/>
      <c r="L22" s="43"/>
      <c r="M22" s="43"/>
      <c r="N22" s="43"/>
      <c r="O22" s="46"/>
      <c r="P22" s="43"/>
      <c r="R22" s="7" t="str">
        <f t="shared" si="1"/>
        <v>New tariff 4</v>
      </c>
      <c r="S22" s="14" t="s">
        <v>25</v>
      </c>
      <c r="T22" s="28" t="s">
        <v>39</v>
      </c>
      <c r="U22" s="14">
        <f t="shared" si="2"/>
        <v>100</v>
      </c>
      <c r="V22" s="40" t="e">
        <f t="shared" si="3"/>
        <v>#DIV/0!</v>
      </c>
      <c r="W22" s="1">
        <f>U22/D37</f>
        <v>9.1744129293166513E-3</v>
      </c>
    </row>
    <row r="23" spans="2:23" x14ac:dyDescent="0.25">
      <c r="B23" s="29" t="s">
        <v>44</v>
      </c>
      <c r="C23" s="44">
        <v>90</v>
      </c>
      <c r="D23" s="44"/>
      <c r="E23" s="44"/>
      <c r="F23" s="44"/>
      <c r="G23" s="44"/>
      <c r="H23" s="44"/>
      <c r="I23" s="24"/>
      <c r="J23" s="44">
        <v>1</v>
      </c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16</v>
      </c>
      <c r="T23" s="28" t="s">
        <v>39</v>
      </c>
      <c r="U23" s="14">
        <f t="shared" si="2"/>
        <v>90</v>
      </c>
      <c r="V23" s="40" t="e">
        <f t="shared" si="3"/>
        <v>#DIV/0!</v>
      </c>
      <c r="W23" s="1">
        <f>U23/D37</f>
        <v>8.2569716363849847E-3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2580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946.9</v>
      </c>
      <c r="V27" s="10"/>
    </row>
    <row r="28" spans="2:23" x14ac:dyDescent="0.25">
      <c r="B28" s="7" t="str">
        <f t="shared" si="5"/>
        <v>SB flat</v>
      </c>
      <c r="C28" s="43">
        <v>19.2</v>
      </c>
      <c r="D28" s="43">
        <v>0.17499999999999999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3091.8</v>
      </c>
      <c r="V28" s="10"/>
    </row>
    <row r="29" spans="2:23" x14ac:dyDescent="0.25">
      <c r="B29" s="7" t="str">
        <f t="shared" si="5"/>
        <v>SB TOU</v>
      </c>
      <c r="C29" s="43">
        <v>19.2</v>
      </c>
      <c r="D29" s="43"/>
      <c r="E29" s="43">
        <v>0.36</v>
      </c>
      <c r="F29" s="43">
        <v>7.0000000000000007E-2</v>
      </c>
      <c r="G29" s="43">
        <v>0.124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1558.04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0.105</v>
      </c>
      <c r="G30" s="43">
        <v>0.21</v>
      </c>
      <c r="H30" s="43">
        <v>46.2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1313.1000000000001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/>
      <c r="D32" s="43"/>
      <c r="E32" s="43"/>
      <c r="F32" s="43"/>
      <c r="G32" s="43"/>
      <c r="H32" s="43"/>
      <c r="I32" s="24"/>
      <c r="J32" s="43"/>
      <c r="K32" s="43"/>
      <c r="L32" s="43"/>
      <c r="M32" s="43"/>
      <c r="N32" s="43"/>
      <c r="O32" s="46"/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 t="str">
        <f t="shared" si="6"/>
        <v>New tariff 3</v>
      </c>
      <c r="S34" s="14" t="str">
        <f t="shared" si="7"/>
        <v>SB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SB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Other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10899.550000000001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63" priority="15">
      <formula>E6="NON-COMPLIANT"</formula>
    </cfRule>
    <cfRule type="expression" dxfId="62" priority="16">
      <formula>E6="COMPLIANT"</formula>
    </cfRule>
  </conditionalFormatting>
  <conditionalFormatting sqref="U4:U7">
    <cfRule type="expression" dxfId="61" priority="13">
      <formula>U4="NON-COMPLIANT"</formula>
    </cfRule>
    <cfRule type="expression" dxfId="60" priority="14">
      <formula>U4="COMPLIANT"</formula>
    </cfRule>
  </conditionalFormatting>
  <conditionalFormatting sqref="E5">
    <cfRule type="expression" dxfId="59" priority="11">
      <formula>E5="NON-COMPLIANT"</formula>
    </cfRule>
    <cfRule type="expression" dxfId="58" priority="12">
      <formula>E5="COMPLIANT"</formula>
    </cfRule>
  </conditionalFormatting>
  <conditionalFormatting sqref="O37:P37">
    <cfRule type="expression" dxfId="57" priority="9">
      <formula>O37="NON-COMPLIANT"</formula>
    </cfRule>
    <cfRule type="expression" dxfId="56" priority="10">
      <formula>O37="COMPLIANT"</formula>
    </cfRule>
  </conditionalFormatting>
  <conditionalFormatting sqref="V4:V7">
    <cfRule type="expression" dxfId="55" priority="7">
      <formula>V4="NON-COMPLIANT"</formula>
    </cfRule>
    <cfRule type="expression" dxfId="54" priority="8">
      <formula>V4="COMPLIANT"</formula>
    </cfRule>
  </conditionalFormatting>
  <conditionalFormatting sqref="H37">
    <cfRule type="expression" dxfId="53" priority="5">
      <formula>H37="NON-COMPLIANT"</formula>
    </cfRule>
    <cfRule type="expression" dxfId="52" priority="6">
      <formula>H37="COMPLIANT"</formula>
    </cfRule>
  </conditionalFormatting>
  <conditionalFormatting sqref="T8">
    <cfRule type="expression" dxfId="51" priority="3">
      <formula>T8="NON-COMPLIANT"</formula>
    </cfRule>
    <cfRule type="expression" dxfId="50" priority="4">
      <formula>T8="COMPLIANT"</formula>
    </cfRule>
  </conditionalFormatting>
  <conditionalFormatting sqref="T4:T7">
    <cfRule type="expression" dxfId="49" priority="1">
      <formula>T4="NON-COMPLIANT"</formula>
    </cfRule>
    <cfRule type="expression" dxfId="48" priority="2">
      <formula>T4="COMPLIANT"</formula>
    </cfRule>
  </conditionalFormatting>
  <dataValidations count="2">
    <dataValidation type="list" allowBlank="1" showInputMessage="1" showErrorMessage="1" sqref="S13:S23" xr:uid="{A7A61F9E-DE5D-4269-8339-5E25769BA20C}">
      <formula1>$N$4:$N$7</formula1>
    </dataValidation>
    <dataValidation type="list" allowBlank="1" showInputMessage="1" showErrorMessage="1" sqref="T13:T23" xr:uid="{C237FC18-2B24-4A22-8061-293423AF186E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1C0C2-5D63-4D1E-B06C-43D1E2EFC085}">
  <dimension ref="B1:W37"/>
  <sheetViews>
    <sheetView showGridLines="0" workbookViewId="0">
      <selection activeCell="S23" sqref="S23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3" t="s">
        <v>59</v>
      </c>
      <c r="G2" s="94"/>
      <c r="H2" s="94"/>
      <c r="I2" s="94"/>
      <c r="J2" s="94"/>
      <c r="K2" s="94"/>
      <c r="L2" s="95"/>
      <c r="N2" s="8"/>
      <c r="O2" s="96" t="s">
        <v>66</v>
      </c>
      <c r="P2" s="96"/>
      <c r="Q2" s="96"/>
      <c r="R2" s="96" t="s">
        <v>29</v>
      </c>
      <c r="S2" s="96"/>
      <c r="T2" s="96" t="s">
        <v>31</v>
      </c>
      <c r="U2" s="96"/>
      <c r="V2" s="97"/>
    </row>
    <row r="3" spans="2:23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1.1015641244702647</v>
      </c>
      <c r="L3" s="41">
        <f>(K3-R8)/(1+G3)/(1-G4)</f>
        <v>-8.9112768016060134E-3</v>
      </c>
      <c r="N3" s="23" t="s">
        <v>24</v>
      </c>
      <c r="O3" s="91" t="s">
        <v>67</v>
      </c>
      <c r="P3" s="98" t="s">
        <v>68</v>
      </c>
      <c r="Q3" s="98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3742.3</v>
      </c>
      <c r="P4" s="64"/>
      <c r="Q4" s="14">
        <f>SUMIF(S26:S36,N4,U26:U36)</f>
        <v>3380.5</v>
      </c>
      <c r="R4" s="58">
        <f>IF(O4=0,"",O4/Q4)</f>
        <v>1.1070255879307795</v>
      </c>
      <c r="S4" s="58">
        <f>IF(R4="","",((R4)-(G7+G8)-1)/(G6)+1)</f>
        <v>1.0461581555982842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1.1309683949691691</v>
      </c>
      <c r="L5" s="41">
        <f>(K5-R8)/(1+G3)/(1-G4)</f>
        <v>1.9093110390347008E-2</v>
      </c>
      <c r="N5" s="7" t="s">
        <v>25</v>
      </c>
      <c r="O5" s="64">
        <f>SUMIF(S13:S23,N5,U13:U23)</f>
        <v>5547</v>
      </c>
      <c r="P5" s="64"/>
      <c r="Q5" s="14">
        <f>SUMIF(S26:S36,N5,U26:U36)</f>
        <v>4972</v>
      </c>
      <c r="R5" s="58">
        <f>IF(O5=0,"",O5/Q5)</f>
        <v>1.1156476267095736</v>
      </c>
      <c r="S5" s="58">
        <f>IF(R5="","",((R5)-(G7+G8)-1)/(G6)+1)</f>
        <v>1.054617668946098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1.0192121490088162</v>
      </c>
      <c r="H6" s="79" t="s">
        <v>48</v>
      </c>
      <c r="I6" s="80"/>
      <c r="J6" s="81"/>
      <c r="K6" s="82">
        <f>1+((1+G3)*(1-G4)*(1+G5)-1)*G6+G7+G8</f>
        <v>1.1323322223920913</v>
      </c>
      <c r="L6" s="58">
        <f>(K6-R8)/(1+G3)/(1-G4)/G6</f>
        <v>2.0007619134695256E-2</v>
      </c>
      <c r="N6" s="7" t="s">
        <v>16</v>
      </c>
      <c r="O6" s="64">
        <f>SUMIF(S13:S23,N6,U13:U23)</f>
        <v>1610.5</v>
      </c>
      <c r="P6" s="64"/>
      <c r="Q6" s="14">
        <f>SUMIF(S26:S36,N6,U26:U36)</f>
        <v>1459</v>
      </c>
      <c r="R6" s="58">
        <f>IF(O6=0,"",O6/Q6)</f>
        <v>1.1038382453735436</v>
      </c>
      <c r="S6" s="58">
        <f>IF(R6="","",((R6)-(G7+G8)-1)/(G6)+1)</f>
        <v>1.0430308944482523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3.0576364470264485E-2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2.9404270498904372E-2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2.0007619134695124E-2</v>
      </c>
      <c r="N8" s="51" t="s">
        <v>30</v>
      </c>
      <c r="O8" s="65">
        <f>SUM(O4:O7)</f>
        <v>10899.8</v>
      </c>
      <c r="P8" s="65"/>
      <c r="Q8" s="52">
        <f>SUM(Q4:Q7)</f>
        <v>9811.5</v>
      </c>
      <c r="R8" s="42">
        <f>IF(O8=0,0,O8/Q8)</f>
        <v>1.1109208581766294</v>
      </c>
      <c r="S8" s="63">
        <f>((R8)-(G7+G8)-1)/(G6)+1</f>
        <v>1.0499799999999999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0.99157021978590598</v>
      </c>
      <c r="U9" s="66">
        <f>IF(Q8=0,0,-(SUMIF(T13:T23,"New",U13:U23)/Q8))</f>
        <v>-5.2234622636701832E-2</v>
      </c>
      <c r="V9" s="58" t="s">
        <v>75</v>
      </c>
    </row>
    <row r="10" spans="2:23" ht="15.75" thickBot="1" x14ac:dyDescent="0.3">
      <c r="O10" s="1" t="s">
        <v>74</v>
      </c>
      <c r="P10" s="1"/>
      <c r="U10" s="1">
        <f>(Q8*(K6+U9))/D37</f>
        <v>0.97224718070290683</v>
      </c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8.8000000000000007</v>
      </c>
      <c r="D13" s="43">
        <v>0.09</v>
      </c>
      <c r="E13" s="43"/>
      <c r="F13" s="43"/>
      <c r="G13" s="43"/>
      <c r="H13" s="43"/>
      <c r="I13" s="24"/>
      <c r="J13" s="43">
        <v>171</v>
      </c>
      <c r="K13" s="43">
        <v>8800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2296.8000000000002</v>
      </c>
      <c r="V13" s="40">
        <f>IF(U13=0,0,U13/U26)</f>
        <v>0.94378698224852087</v>
      </c>
    </row>
    <row r="14" spans="2:23" x14ac:dyDescent="0.25">
      <c r="B14" s="7" t="s">
        <v>12</v>
      </c>
      <c r="C14" s="43">
        <v>8.8000000000000007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65</v>
      </c>
      <c r="K14" s="43"/>
      <c r="L14" s="43">
        <v>1300</v>
      </c>
      <c r="M14" s="43">
        <v>1300</v>
      </c>
      <c r="N14" s="43">
        <v>700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933</v>
      </c>
      <c r="V14" s="40">
        <f t="shared" ref="V14:V23" si="3">IF(U14=0,0,U14/U27)</f>
        <v>0.98532051959024192</v>
      </c>
    </row>
    <row r="15" spans="2:23" x14ac:dyDescent="0.25">
      <c r="B15" s="7" t="s">
        <v>13</v>
      </c>
      <c r="C15" s="43">
        <v>21</v>
      </c>
      <c r="D15" s="43">
        <v>0.19869999999999999</v>
      </c>
      <c r="E15" s="43"/>
      <c r="F15" s="43"/>
      <c r="G15" s="43"/>
      <c r="H15" s="43"/>
      <c r="I15" s="24"/>
      <c r="J15" s="43">
        <v>80</v>
      </c>
      <c r="K15" s="43">
        <v>10000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3667</v>
      </c>
      <c r="V15" s="40">
        <f t="shared" si="3"/>
        <v>1.1159464394400487</v>
      </c>
    </row>
    <row r="16" spans="2:23" x14ac:dyDescent="0.25">
      <c r="B16" s="7" t="s">
        <v>14</v>
      </c>
      <c r="C16" s="43">
        <v>21</v>
      </c>
      <c r="D16" s="43"/>
      <c r="E16" s="43">
        <v>0.4</v>
      </c>
      <c r="F16" s="43">
        <v>0.08</v>
      </c>
      <c r="G16" s="43">
        <v>0.16</v>
      </c>
      <c r="H16" s="43"/>
      <c r="I16" s="24"/>
      <c r="J16" s="43">
        <v>40</v>
      </c>
      <c r="K16" s="43"/>
      <c r="L16" s="43">
        <v>2000</v>
      </c>
      <c r="M16" s="43">
        <v>1500</v>
      </c>
      <c r="N16" s="43">
        <v>750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1880</v>
      </c>
      <c r="V16" s="40">
        <f t="shared" si="3"/>
        <v>1.1150652431791221</v>
      </c>
      <c r="W16" s="99" t="s">
        <v>61</v>
      </c>
    </row>
    <row r="17" spans="2:23" x14ac:dyDescent="0.25">
      <c r="B17" s="7" t="s">
        <v>16</v>
      </c>
      <c r="C17" s="43">
        <v>50</v>
      </c>
      <c r="D17" s="43"/>
      <c r="E17" s="43">
        <v>0.63</v>
      </c>
      <c r="F17" s="43">
        <v>0.12</v>
      </c>
      <c r="G17" s="43">
        <v>0.21</v>
      </c>
      <c r="H17" s="43">
        <v>51.1</v>
      </c>
      <c r="I17" s="24"/>
      <c r="J17" s="43">
        <v>10</v>
      </c>
      <c r="K17" s="43"/>
      <c r="L17" s="43">
        <v>1000</v>
      </c>
      <c r="M17" s="43">
        <v>1000</v>
      </c>
      <c r="N17" s="43">
        <v>500</v>
      </c>
      <c r="O17" s="46">
        <v>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1610.5</v>
      </c>
      <c r="V17" s="40">
        <f t="shared" si="3"/>
        <v>1.1038382453735436</v>
      </c>
      <c r="W17" s="99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99"/>
    </row>
    <row r="19" spans="2:23" x14ac:dyDescent="0.25">
      <c r="B19" s="7" t="s">
        <v>40</v>
      </c>
      <c r="C19" s="43">
        <v>10</v>
      </c>
      <c r="D19" s="43"/>
      <c r="E19" s="43">
        <v>0.2</v>
      </c>
      <c r="F19" s="43">
        <v>0.04</v>
      </c>
      <c r="G19" s="43">
        <v>7.0000000000000007E-2</v>
      </c>
      <c r="H19" s="43">
        <v>10</v>
      </c>
      <c r="I19" s="24"/>
      <c r="J19" s="43">
        <v>5</v>
      </c>
      <c r="K19" s="43"/>
      <c r="L19" s="43">
        <v>180</v>
      </c>
      <c r="M19" s="43">
        <v>200</v>
      </c>
      <c r="N19" s="43">
        <v>50</v>
      </c>
      <c r="O19" s="46">
        <v>0.9</v>
      </c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106.5</v>
      </c>
      <c r="V19" s="40" t="e">
        <f t="shared" si="3"/>
        <v>#DIV/0!</v>
      </c>
      <c r="W19" s="1">
        <f>U19/D37</f>
        <v>9.7707497697222326E-3</v>
      </c>
    </row>
    <row r="20" spans="2:23" x14ac:dyDescent="0.25">
      <c r="B20" s="7" t="s">
        <v>41</v>
      </c>
      <c r="C20" s="43">
        <v>10</v>
      </c>
      <c r="D20" s="43">
        <v>0.1</v>
      </c>
      <c r="E20" s="43"/>
      <c r="F20" s="43"/>
      <c r="G20" s="43"/>
      <c r="H20" s="43">
        <v>10</v>
      </c>
      <c r="I20" s="24"/>
      <c r="J20" s="43">
        <v>3</v>
      </c>
      <c r="K20" s="43">
        <v>700</v>
      </c>
      <c r="L20" s="43"/>
      <c r="M20" s="43"/>
      <c r="N20" s="43"/>
      <c r="O20" s="46">
        <v>0.7</v>
      </c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107</v>
      </c>
      <c r="V20" s="40" t="e">
        <f t="shared" si="3"/>
        <v>#DIV/0!</v>
      </c>
      <c r="W20" s="1">
        <f>U20/D37</f>
        <v>9.8166218343688164E-3</v>
      </c>
    </row>
    <row r="21" spans="2:23" x14ac:dyDescent="0.25">
      <c r="B21" s="7" t="s">
        <v>42</v>
      </c>
      <c r="C21" s="43">
        <v>15</v>
      </c>
      <c r="D21" s="43"/>
      <c r="E21" s="43"/>
      <c r="F21" s="43"/>
      <c r="G21" s="43"/>
      <c r="H21" s="43">
        <v>10</v>
      </c>
      <c r="I21" s="24"/>
      <c r="J21" s="43">
        <v>6</v>
      </c>
      <c r="K21" s="43"/>
      <c r="L21" s="43"/>
      <c r="M21" s="43"/>
      <c r="N21" s="43"/>
      <c r="O21" s="46">
        <v>0.9</v>
      </c>
      <c r="P21" s="43"/>
      <c r="R21" s="7" t="str">
        <f t="shared" si="1"/>
        <v>New tariff 3</v>
      </c>
      <c r="S21" s="14" t="s">
        <v>10</v>
      </c>
      <c r="T21" s="28" t="s">
        <v>39</v>
      </c>
      <c r="U21" s="14">
        <f t="shared" si="2"/>
        <v>99</v>
      </c>
      <c r="V21" s="40" t="e">
        <f t="shared" si="3"/>
        <v>#DIV/0!</v>
      </c>
      <c r="W21" s="1">
        <f>U21/D37</f>
        <v>9.0826688000234836E-3</v>
      </c>
    </row>
    <row r="22" spans="2:23" x14ac:dyDescent="0.25">
      <c r="B22" s="7" t="s">
        <v>43</v>
      </c>
      <c r="C22" s="43">
        <v>20</v>
      </c>
      <c r="D22" s="43">
        <v>0.1</v>
      </c>
      <c r="E22" s="43"/>
      <c r="F22" s="43"/>
      <c r="G22" s="43"/>
      <c r="H22" s="43"/>
      <c r="I22" s="24"/>
      <c r="J22" s="43">
        <v>3</v>
      </c>
      <c r="K22" s="43">
        <v>400</v>
      </c>
      <c r="L22" s="43"/>
      <c r="M22" s="43"/>
      <c r="N22" s="43"/>
      <c r="O22" s="46"/>
      <c r="P22" s="43"/>
      <c r="R22" s="7" t="str">
        <f t="shared" si="1"/>
        <v>New tariff 4</v>
      </c>
      <c r="S22" s="14" t="s">
        <v>10</v>
      </c>
      <c r="T22" s="28" t="s">
        <v>39</v>
      </c>
      <c r="U22" s="14">
        <f t="shared" si="2"/>
        <v>100</v>
      </c>
      <c r="V22" s="40" t="e">
        <f t="shared" si="3"/>
        <v>#DIV/0!</v>
      </c>
      <c r="W22" s="1">
        <f>U22/D37</f>
        <v>9.1744129293166513E-3</v>
      </c>
    </row>
    <row r="23" spans="2:23" x14ac:dyDescent="0.25">
      <c r="B23" s="29" t="s">
        <v>44</v>
      </c>
      <c r="C23" s="44">
        <v>25</v>
      </c>
      <c r="D23" s="44"/>
      <c r="E23" s="44"/>
      <c r="F23" s="44"/>
      <c r="G23" s="44"/>
      <c r="H23" s="44"/>
      <c r="I23" s="24"/>
      <c r="J23" s="44">
        <v>4</v>
      </c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10</v>
      </c>
      <c r="T23" s="28" t="s">
        <v>39</v>
      </c>
      <c r="U23" s="14">
        <f t="shared" si="2"/>
        <v>100</v>
      </c>
      <c r="V23" s="40" t="e">
        <f t="shared" si="3"/>
        <v>#DIV/0!</v>
      </c>
      <c r="W23" s="1">
        <f>U23/D37</f>
        <v>9.1744129293166513E-3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2433.6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946.9</v>
      </c>
      <c r="V27" s="10"/>
    </row>
    <row r="28" spans="2:23" x14ac:dyDescent="0.25">
      <c r="B28" s="7" t="str">
        <f t="shared" si="5"/>
        <v>SB flat</v>
      </c>
      <c r="C28" s="43">
        <v>19.2</v>
      </c>
      <c r="D28" s="43">
        <v>0.17499999999999999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3286</v>
      </c>
      <c r="V28" s="10"/>
    </row>
    <row r="29" spans="2:23" x14ac:dyDescent="0.25">
      <c r="B29" s="7" t="str">
        <f t="shared" si="5"/>
        <v>SB TOU</v>
      </c>
      <c r="C29" s="43">
        <v>19.2</v>
      </c>
      <c r="D29" s="43"/>
      <c r="E29" s="43">
        <v>0.36</v>
      </c>
      <c r="F29" s="43">
        <v>7.0000000000000007E-2</v>
      </c>
      <c r="G29" s="43">
        <v>0.124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1686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0.105</v>
      </c>
      <c r="G30" s="43">
        <v>0.21</v>
      </c>
      <c r="H30" s="43">
        <v>46.2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1459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/>
      <c r="D32" s="43"/>
      <c r="E32" s="43"/>
      <c r="F32" s="43"/>
      <c r="G32" s="43"/>
      <c r="H32" s="43"/>
      <c r="I32" s="24"/>
      <c r="J32" s="43"/>
      <c r="K32" s="43"/>
      <c r="L32" s="43"/>
      <c r="M32" s="43"/>
      <c r="N32" s="43"/>
      <c r="O32" s="46"/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 t="str">
        <f t="shared" si="6"/>
        <v>New tariff 3</v>
      </c>
      <c r="S34" s="14" t="str">
        <f t="shared" si="7"/>
        <v>Residential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Residential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Residential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10899.8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47" priority="15">
      <formula>E6="NON-COMPLIANT"</formula>
    </cfRule>
    <cfRule type="expression" dxfId="46" priority="16">
      <formula>E6="COMPLIANT"</formula>
    </cfRule>
  </conditionalFormatting>
  <conditionalFormatting sqref="U4:U7">
    <cfRule type="expression" dxfId="45" priority="13">
      <formula>U4="NON-COMPLIANT"</formula>
    </cfRule>
    <cfRule type="expression" dxfId="44" priority="14">
      <formula>U4="COMPLIANT"</formula>
    </cfRule>
  </conditionalFormatting>
  <conditionalFormatting sqref="E5">
    <cfRule type="expression" dxfId="43" priority="11">
      <formula>E5="NON-COMPLIANT"</formula>
    </cfRule>
    <cfRule type="expression" dxfId="42" priority="12">
      <formula>E5="COMPLIANT"</formula>
    </cfRule>
  </conditionalFormatting>
  <conditionalFormatting sqref="O37:P37">
    <cfRule type="expression" dxfId="41" priority="9">
      <formula>O37="NON-COMPLIANT"</formula>
    </cfRule>
    <cfRule type="expression" dxfId="40" priority="10">
      <formula>O37="COMPLIANT"</formula>
    </cfRule>
  </conditionalFormatting>
  <conditionalFormatting sqref="V4:V7">
    <cfRule type="expression" dxfId="39" priority="7">
      <formula>V4="NON-COMPLIANT"</formula>
    </cfRule>
    <cfRule type="expression" dxfId="38" priority="8">
      <formula>V4="COMPLIANT"</formula>
    </cfRule>
  </conditionalFormatting>
  <conditionalFormatting sqref="H37">
    <cfRule type="expression" dxfId="37" priority="5">
      <formula>H37="NON-COMPLIANT"</formula>
    </cfRule>
    <cfRule type="expression" dxfId="36" priority="6">
      <formula>H37="COMPLIANT"</formula>
    </cfRule>
  </conditionalFormatting>
  <conditionalFormatting sqref="T8">
    <cfRule type="expression" dxfId="35" priority="3">
      <formula>T8="NON-COMPLIANT"</formula>
    </cfRule>
    <cfRule type="expression" dxfId="34" priority="4">
      <formula>T8="COMPLIANT"</formula>
    </cfRule>
  </conditionalFormatting>
  <conditionalFormatting sqref="T4:T7">
    <cfRule type="expression" dxfId="33" priority="1">
      <formula>T4="NON-COMPLIANT"</formula>
    </cfRule>
    <cfRule type="expression" dxfId="32" priority="2">
      <formula>T4="COMPLIANT"</formula>
    </cfRule>
  </conditionalFormatting>
  <dataValidations count="2">
    <dataValidation type="list" allowBlank="1" showInputMessage="1" showErrorMessage="1" sqref="T13:T23" xr:uid="{D50B9A5A-2625-421F-8E30-AFCBDACC8F83}">
      <formula1>"new,existing"</formula1>
    </dataValidation>
    <dataValidation type="list" allowBlank="1" showInputMessage="1" showErrorMessage="1" sqref="S13:S23" xr:uid="{C88EB616-7401-4F0A-87B4-704E9C56ABE0}">
      <formula1>$N$4:$N$7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Scenario 1</vt:lpstr>
      <vt:lpstr>Scenario 1a</vt:lpstr>
      <vt:lpstr>Scenario 2</vt:lpstr>
      <vt:lpstr>Scenario 2a</vt:lpstr>
      <vt:lpstr>Scenario 3</vt:lpstr>
      <vt:lpstr>Scenario 3a</vt:lpstr>
      <vt:lpstr>Scenario 4</vt:lpstr>
      <vt:lpstr>Scenario 5</vt:lpstr>
      <vt:lpstr>Scenario 5a</vt:lpstr>
      <vt:lpstr>Scenario 6</vt:lpstr>
      <vt:lpstr>Scenario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2022-07-28T22:37:05Z</dcterms:created>
  <dcterms:modified xsi:type="dcterms:W3CDTF">2022-07-28T22:37:10Z</dcterms:modified>
</cp:coreProperties>
</file>